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240" windowWidth="20985" windowHeight="12300" activeTab="0"/>
  </bookViews>
  <sheets>
    <sheet name="GER+PAA" sheetId="1" r:id="rId1"/>
  </sheets>
  <definedNames>
    <definedName name="_xlfn.IFERROR" hidden="1">#NAME?</definedName>
    <definedName name="_xlnm.Print_Area" localSheetId="0">'GER+PAA'!$A$1:$I$139</definedName>
  </definedNames>
  <calcPr fullCalcOnLoad="1"/>
</workbook>
</file>

<file path=xl/comments1.xml><?xml version="1.0" encoding="utf-8"?>
<comments xmlns="http://schemas.openxmlformats.org/spreadsheetml/2006/main">
  <authors>
    <author>S?bastien Pagliaro</author>
  </authors>
  <commentList>
    <comment ref="D69" authorId="0">
      <text>
        <r>
          <rPr>
            <sz val="8"/>
            <rFont val="Tahoma"/>
            <family val="2"/>
          </rPr>
          <t>= (365 jours - 104 - 25 - 1.25 - 10 - 2 - 3) X 7.8 heures/jour</t>
        </r>
      </text>
    </comment>
    <comment ref="H148" authorId="0">
      <text>
        <r>
          <rPr>
            <b/>
            <sz val="8"/>
            <rFont val="Tahoma"/>
            <family val="0"/>
          </rPr>
          <t>Sébastien Pagliaro:</t>
        </r>
        <r>
          <rPr>
            <sz val="8"/>
            <rFont val="Tahoma"/>
            <family val="0"/>
          </rPr>
          <t xml:space="preserve">
= 365/ColDotaRequHote*8.3</t>
        </r>
      </text>
    </comment>
    <comment ref="G76" authorId="0">
      <text>
        <r>
          <rPr>
            <b/>
            <sz val="8"/>
            <rFont val="Tahoma"/>
            <family val="0"/>
          </rPr>
          <t>Sébastien Pagliaro:
S'applique sur le total de lits, y.c. le court séjour</t>
        </r>
      </text>
    </comment>
    <comment ref="D76" authorId="0">
      <text>
        <r>
          <rPr>
            <b/>
            <sz val="8"/>
            <rFont val="Tahoma"/>
            <family val="0"/>
          </rPr>
          <t>Sébastien Pagliaro:</t>
        </r>
        <r>
          <rPr>
            <sz val="8"/>
            <rFont val="Tahoma"/>
            <family val="0"/>
          </rPr>
          <t xml:space="preserve">
S'applique uniquement sur les lits C de long séjour.</t>
        </r>
      </text>
    </comment>
    <comment ref="D77" authorId="0">
      <text>
        <r>
          <rPr>
            <b/>
            <sz val="8"/>
            <rFont val="Tahoma"/>
            <family val="0"/>
          </rPr>
          <t>Sébastien Pagliaro:</t>
        </r>
        <r>
          <rPr>
            <sz val="8"/>
            <rFont val="Tahoma"/>
            <family val="0"/>
          </rPr>
          <t xml:space="preserve">
S'applique uniquement sur les lits C de long séjour.</t>
        </r>
      </text>
    </comment>
  </commentList>
</comments>
</file>

<file path=xl/sharedStrings.xml><?xml version="1.0" encoding="utf-8"?>
<sst xmlns="http://schemas.openxmlformats.org/spreadsheetml/2006/main" count="400" uniqueCount="245">
  <si>
    <t>Jour</t>
  </si>
  <si>
    <t>Nuit</t>
  </si>
  <si>
    <t xml:space="preserve">Veuillez reporter les données PLAISIR des deux derniers EXTRANTS </t>
  </si>
  <si>
    <t>Minutes de soins requises par année</t>
  </si>
  <si>
    <t>Taux de financement</t>
  </si>
  <si>
    <t>Jours</t>
  </si>
  <si>
    <t>Week end</t>
  </si>
  <si>
    <t>Vacances</t>
  </si>
  <si>
    <t>Jours fériés</t>
  </si>
  <si>
    <t>Absence maladie</t>
  </si>
  <si>
    <t>Absence formation</t>
  </si>
  <si>
    <t>pause 30 min</t>
  </si>
  <si>
    <t>Heures annuelles de soins nettes par EPT</t>
  </si>
  <si>
    <t>Heures de soins nettes par jour</t>
  </si>
  <si>
    <t>Jours travaillés par année</t>
  </si>
  <si>
    <t>Total</t>
  </si>
  <si>
    <t>Total heures de soins nettes par EPT</t>
  </si>
  <si>
    <t>Horaire de base 42h30 / semaine</t>
  </si>
  <si>
    <t>Heure en moins dès 2009</t>
  </si>
  <si>
    <t>Vacances : 6ème semaine 50+ (25% de l'effectif)</t>
  </si>
  <si>
    <t>Avant dernier extrant</t>
  </si>
  <si>
    <t>Dernier extrant</t>
  </si>
  <si>
    <t>Nombre d'EPT requis selon évaluation PLAISIR</t>
  </si>
  <si>
    <t>Heures annuelles d'animation socio-culturelle nettes par EPT</t>
  </si>
  <si>
    <t>Choisir dans la liste déroulante</t>
  </si>
  <si>
    <t>Soins</t>
  </si>
  <si>
    <t>Niveau expertise (HES/ES)</t>
  </si>
  <si>
    <t>Niveau assistance (CFC)</t>
  </si>
  <si>
    <t>Niveau soutien (auxiliaire)</t>
  </si>
  <si>
    <t>Jour (calculé)</t>
  </si>
  <si>
    <t>Nuit (calculé)</t>
  </si>
  <si>
    <t>Socio-culturel</t>
  </si>
  <si>
    <t>LR3, colonne MSN OPAS</t>
  </si>
  <si>
    <t>Prodctiv. (h /EPT)</t>
  </si>
  <si>
    <t>LR3, colonne Nuit MSN</t>
  </si>
  <si>
    <t>Dotation Accompagnement</t>
  </si>
  <si>
    <t>-</t>
  </si>
  <si>
    <t>Somme 4.2.1 et 4.2.2</t>
  </si>
  <si>
    <t>Paramètres de calcul</t>
  </si>
  <si>
    <t>Nombre d'EPT exigés</t>
  </si>
  <si>
    <t>Heures par EPT et par année</t>
  </si>
  <si>
    <t>Etablissement</t>
  </si>
  <si>
    <t>Minimum 10%</t>
  </si>
  <si>
    <t>Minimum 15%</t>
  </si>
  <si>
    <t>HES/ES financé</t>
  </si>
  <si>
    <t>Colonne Jour MSN OPAS (calculée)</t>
  </si>
  <si>
    <t>EMS ET DIVISION C D'HOPITAUX AVEC MISSION DE GERIATRIE ET PSYCHIATRIE DE L'AGE AVANCE (PAA)</t>
  </si>
  <si>
    <t>Minutes-soins nettes requises en moyenne par jour</t>
  </si>
  <si>
    <t>Temps d'activité socio-culturelles quotidien</t>
  </si>
  <si>
    <t>Maximum 75%</t>
  </si>
  <si>
    <t>Maximum 50%</t>
  </si>
  <si>
    <t>ANNEXE 1 - FEUILLE DE CALCUL DE DOTATION</t>
  </si>
  <si>
    <t>Veille</t>
  </si>
  <si>
    <t>Renforc.</t>
  </si>
  <si>
    <t>Nb de lits min.</t>
  </si>
  <si>
    <t>Nb de lits max.</t>
  </si>
  <si>
    <t>Total exigé</t>
  </si>
  <si>
    <t>Renforcement des veilles (exigence art. 4.3 let. b)</t>
  </si>
  <si>
    <t>Psychiatrie de l'âge avancé</t>
  </si>
  <si>
    <t>Gériatrie</t>
  </si>
  <si>
    <t>Gériatrie Psychiatrie de l'âge avancé</t>
  </si>
  <si>
    <t>Spécifique</t>
  </si>
  <si>
    <t>Gériatrie Psychiatrie adulte</t>
  </si>
  <si>
    <t>Numéro UT (SOHO)</t>
  </si>
  <si>
    <t>Total heures nettes par EPT</t>
  </si>
  <si>
    <t>Nombre d'EPT selon taux de financement</t>
  </si>
  <si>
    <t>EPT minimum de veille (exigence art. 4.3 let. a et c)</t>
  </si>
  <si>
    <t>Nombre d'EPT après compensation jour/nuit</t>
  </si>
  <si>
    <t>4.2.3 Total de
la dotation accompagnement</t>
  </si>
  <si>
    <t>Cumul HES/ES + CFC
Minimum 50%</t>
  </si>
  <si>
    <t>Name</t>
  </si>
  <si>
    <t>LongName</t>
  </si>
  <si>
    <t>ColMission</t>
  </si>
  <si>
    <t>CalLits</t>
  </si>
  <si>
    <t>ColAccoHes</t>
  </si>
  <si>
    <t>Personnel HES/ES socio-culturel en EPT (SOHO)</t>
  </si>
  <si>
    <t xml:space="preserve">Applicable dès : </t>
  </si>
  <si>
    <t xml:space="preserve">Mise à jour : </t>
  </si>
  <si>
    <t>1er janvier 2016</t>
  </si>
  <si>
    <t>Standard 50 lits</t>
  </si>
  <si>
    <t>Cette feuille vous permet de calculer la dotation minimale exigée telle que prévue dans la directive du 27 novembre 2014 concernant les exigences de dotation minimale en personnel d'accompagnement dans les établissements médico-sociaux de gériatrie et de psychiatrie de l'âge avancé et les divisions C d'hôpitaux.</t>
  </si>
  <si>
    <t>Commentaire libre</t>
  </si>
  <si>
    <t>SOHO</t>
  </si>
  <si>
    <t>Lits CS</t>
  </si>
  <si>
    <t>ColDotaRequHote</t>
  </si>
  <si>
    <t>Niveaux de qualification</t>
  </si>
  <si>
    <t>Total du nombre d'EPT exigés (long séjour et court séjour)</t>
  </si>
  <si>
    <t>Sous-Total: 100% EPT soins en long séjour exigés</t>
  </si>
  <si>
    <t>Lits C de LS (présaisie)</t>
  </si>
  <si>
    <t>Lits C de CS (présaisie)</t>
  </si>
  <si>
    <t>Lits LS</t>
  </si>
  <si>
    <t>Calculé</t>
  </si>
  <si>
    <t>Marche à suivre:</t>
  </si>
  <si>
    <r>
      <t xml:space="preserve">Traitements spécifiques au chapitre 3.2.1: Renforcement des veilles. </t>
    </r>
    <r>
      <rPr>
        <b/>
        <sz val="10"/>
        <color indexed="10"/>
        <rFont val="Arial"/>
        <family val="2"/>
      </rPr>
      <t>Le barème en lits s'applique au total des lits de LS+CS.</t>
    </r>
  </si>
  <si>
    <t>Total (inchangé)</t>
  </si>
  <si>
    <t>Dotation soins</t>
  </si>
  <si>
    <t>Dotation socio-culturelle</t>
  </si>
  <si>
    <t>Exigences 4.2.1 concernant la dotation socio-culturelle</t>
  </si>
  <si>
    <r>
      <rPr>
        <b/>
        <sz val="12"/>
        <color indexed="10"/>
        <rFont val="Arial"/>
        <family val="2"/>
      </rPr>
      <t>(**)</t>
    </r>
    <r>
      <rPr>
        <sz val="12"/>
        <rFont val="Arial"/>
        <family val="2"/>
      </rPr>
      <t xml:space="preserve"> Les établissements peuvent faire valoir une marge de 10% sur les exigences en qualification pour le personnel de soins.</t>
    </r>
  </si>
  <si>
    <r>
      <t xml:space="preserve">Exigences 4.2.2 concernant la dotation soins </t>
    </r>
    <r>
      <rPr>
        <b/>
        <sz val="11"/>
        <color indexed="10"/>
        <rFont val="Arial"/>
        <family val="2"/>
      </rPr>
      <t>(**)</t>
    </r>
  </si>
  <si>
    <t>+ 0.5 EPT de soutien (auxiliaire) par lit C dédié au CS conventionné</t>
  </si>
  <si>
    <r>
      <t xml:space="preserve">Lits C dédiés au long séjour autorisés </t>
    </r>
    <r>
      <rPr>
        <b/>
        <sz val="12"/>
        <color indexed="10"/>
        <rFont val="Arial"/>
        <family val="2"/>
      </rPr>
      <t>(*)</t>
    </r>
  </si>
  <si>
    <r>
      <t xml:space="preserve">Lits C dédiés au court séjour conventionné autorisés </t>
    </r>
    <r>
      <rPr>
        <b/>
        <sz val="12"/>
        <color indexed="10"/>
        <rFont val="Arial"/>
        <family val="2"/>
      </rPr>
      <t>(*)</t>
    </r>
    <r>
      <rPr>
        <sz val="12"/>
        <rFont val="Arial"/>
        <family val="2"/>
      </rPr>
      <t>:</t>
    </r>
  </si>
  <si>
    <t>Min. Niveau expertise (HES/ES)</t>
  </si>
  <si>
    <t>Min. Niveau assistance (CFC)</t>
  </si>
  <si>
    <t xml:space="preserve">Minimums absolus HES/ES et CFC : </t>
  </si>
  <si>
    <r>
      <rPr>
        <b/>
        <sz val="12"/>
        <color indexed="10"/>
        <rFont val="Arial"/>
        <family val="2"/>
      </rPr>
      <t>(*)</t>
    </r>
    <r>
      <rPr>
        <sz val="12"/>
        <rFont val="Arial"/>
        <family val="2"/>
      </rPr>
      <t xml:space="preserve"> L'autorisation d'exploiter du Service de la santé publique fait foi 
(correction possible sur cette base).</t>
    </r>
  </si>
  <si>
    <t>JARDIN DU LEMAN EMS</t>
  </si>
  <si>
    <t>Gériatrie et psychiatrie de l'âge avancé</t>
  </si>
  <si>
    <t>PARC DE BEAUSOBRE EMS</t>
  </si>
  <si>
    <t>Gériatrie et Psychiatrie de l'âge avancé</t>
  </si>
  <si>
    <t>PRE FLEURI EMS</t>
  </si>
  <si>
    <t>GRAND PRE EMS</t>
  </si>
  <si>
    <t>SOLEIL LEVANT EMS</t>
  </si>
  <si>
    <t>BOIS-GENTIL SAUVABLIN EMS</t>
  </si>
  <si>
    <t>BOURG EMS</t>
  </si>
  <si>
    <t>DONATELLA MAURI EMS</t>
  </si>
  <si>
    <t>PALMIERS EMS</t>
  </si>
  <si>
    <t>OURS EMS</t>
  </si>
  <si>
    <t>OASIS EMS</t>
  </si>
  <si>
    <t>VERNIE EMS</t>
  </si>
  <si>
    <t>GIRARDE EMS</t>
  </si>
  <si>
    <t>CLEF CHAMPS EMS</t>
  </si>
  <si>
    <t>MARRONNIER EMS</t>
  </si>
  <si>
    <t>SILO EMS</t>
  </si>
  <si>
    <t>ORME EMS</t>
  </si>
  <si>
    <t>CLAIR VULLY EMS</t>
  </si>
  <si>
    <t>CONTESSE EMS</t>
  </si>
  <si>
    <t>CLAIRIERE EMS</t>
  </si>
  <si>
    <t>PAIX DU SOIR EMS</t>
  </si>
  <si>
    <t>PINS EMS</t>
  </si>
  <si>
    <t>PLEIN SOLEIL EMS</t>
  </si>
  <si>
    <t>SOERENSEN EMS</t>
  </si>
  <si>
    <t>ROSIERE EMS</t>
  </si>
  <si>
    <t>PRIMEROCHE EMS</t>
  </si>
  <si>
    <t>PRE DE LA TOUR EMS</t>
  </si>
  <si>
    <t>PRE PARISET EMS</t>
  </si>
  <si>
    <t>PRAZ-SECHAUD EMS</t>
  </si>
  <si>
    <t>ODYSSE EMS</t>
  </si>
  <si>
    <t>ARCADES EMS</t>
  </si>
  <si>
    <t>VENOGE LA SARRAZ EMS</t>
  </si>
  <si>
    <t>VENOGE PENTHALAZ EMS</t>
  </si>
  <si>
    <t>DOUVAZ EMS</t>
  </si>
  <si>
    <t>MONT-RIANT EMS</t>
  </si>
  <si>
    <t>GOUMOENS EMS</t>
  </si>
  <si>
    <t>ECHALLENS EMS</t>
  </si>
  <si>
    <t>FECHY EMS</t>
  </si>
  <si>
    <t>GRAND-VENNES EMS</t>
  </si>
  <si>
    <t>CHANTEMERLE EMS</t>
  </si>
  <si>
    <t>MIDI BOURGOGNE EMS</t>
  </si>
  <si>
    <t>MIDI EMS</t>
  </si>
  <si>
    <t>PERGOLAS EMS</t>
  </si>
  <si>
    <t>DESIR EMS</t>
  </si>
  <si>
    <t>ETOILE MATIN EMS</t>
  </si>
  <si>
    <t>BEAU-SITE EMS</t>
  </si>
  <si>
    <t>MONTBRILLANT EMS</t>
  </si>
  <si>
    <t>MAILLON EMS</t>
  </si>
  <si>
    <t>COTEAU-MURAZ EMS</t>
  </si>
  <si>
    <t>FLON EMS</t>
  </si>
  <si>
    <t>PRERISA EMS</t>
  </si>
  <si>
    <t>ESCAPADE EMS</t>
  </si>
  <si>
    <t>RIVE EMS</t>
  </si>
  <si>
    <t>GRANDE FONTAINE EMS</t>
  </si>
  <si>
    <t>CLEMENCE EMS</t>
  </si>
  <si>
    <t>RENAISSANCE EMS</t>
  </si>
  <si>
    <t>TREMIERES EMS</t>
  </si>
  <si>
    <t>JARDINS PLAINE EMS</t>
  </si>
  <si>
    <t>MERIDIENNE EMS</t>
  </si>
  <si>
    <t>ORIEL EMS</t>
  </si>
  <si>
    <t>FONTANELLE EMS</t>
  </si>
  <si>
    <t>PARC VALENCY EMS</t>
  </si>
  <si>
    <t>BYRON EMS</t>
  </si>
  <si>
    <t>VEILLEE EMS</t>
  </si>
  <si>
    <t>PRAZ-JORET EMS</t>
  </si>
  <si>
    <t>DILIGENCE EMS</t>
  </si>
  <si>
    <t>PRAZ-SOLEIL EMS</t>
  </si>
  <si>
    <t>MEILLERIE EMS</t>
  </si>
  <si>
    <t>VICTORIA EMS</t>
  </si>
  <si>
    <t>GAMBETTA EMS</t>
  </si>
  <si>
    <t>EAUDINE EMS</t>
  </si>
  <si>
    <t>LEMAN EMS</t>
  </si>
  <si>
    <t>BUGNON EMS</t>
  </si>
  <si>
    <t>DRIADES EMS</t>
  </si>
  <si>
    <t>BERGES LEMAN EMS</t>
  </si>
  <si>
    <t>PHARE ELIM EMS</t>
  </si>
  <si>
    <t>LAURELLES EMS</t>
  </si>
  <si>
    <t>SALEM EMS</t>
  </si>
  <si>
    <t>NOVALLES EMS</t>
  </si>
  <si>
    <t>COTTIER BOYS EMS</t>
  </si>
  <si>
    <t>CHATELAINE EMS</t>
  </si>
  <si>
    <t>PENSEE EMS</t>
  </si>
  <si>
    <t>RECORDON EMS</t>
  </si>
  <si>
    <t>HOME EMS</t>
  </si>
  <si>
    <t>4 SAISONS EMS</t>
  </si>
  <si>
    <t>JOLI AUTOMNE EMS</t>
  </si>
  <si>
    <t>CLAIR-SOLEIL EMS</t>
  </si>
  <si>
    <t>SIGNAL EMS</t>
  </si>
  <si>
    <t>CORCELLES EMS</t>
  </si>
  <si>
    <t>ROSIERS EMS</t>
  </si>
  <si>
    <t>GENTILHOMMIERE EMS</t>
  </si>
  <si>
    <t>BOIS GENTIL FLON EMS</t>
  </si>
  <si>
    <t>MARC-AURELE EMS</t>
  </si>
  <si>
    <t>NELTY BEAUSOBRE EMS</t>
  </si>
  <si>
    <t>AIGLE EMS</t>
  </si>
  <si>
    <t>FAVERGE EMS</t>
  </si>
  <si>
    <t>BEAU-SEJOUR EMS</t>
  </si>
  <si>
    <t>CERISIERS EMS</t>
  </si>
  <si>
    <t>BAUMETTES EMS</t>
  </si>
  <si>
    <t>MONT-CALME EMS</t>
  </si>
  <si>
    <t>CDT BAUD EMS</t>
  </si>
  <si>
    <t>LUSIADES EMS</t>
  </si>
  <si>
    <t>BOVERESSES EMS</t>
  </si>
  <si>
    <t>DIABLERETS EMS</t>
  </si>
  <si>
    <t>4 MARRONNIERS EMS</t>
  </si>
  <si>
    <t>JURA EMS</t>
  </si>
  <si>
    <t>BELLEVUE EMS</t>
  </si>
  <si>
    <t>PELERIN EMS</t>
  </si>
  <si>
    <t>COLLINE EMS</t>
  </si>
  <si>
    <t>JOLI-BOIS EMS</t>
  </si>
  <si>
    <t>BURIER EMS</t>
  </si>
  <si>
    <t>ROZAVERE EMS</t>
  </si>
  <si>
    <t>BOISSONNET EMS</t>
  </si>
  <si>
    <t>BETHANIE EMS</t>
  </si>
  <si>
    <t>ORBE DIVISION C</t>
  </si>
  <si>
    <t>SAINT-LOUP NOZON DIVISION C</t>
  </si>
  <si>
    <t>SAINT-LOUP GERMOND DIVISION C</t>
  </si>
  <si>
    <t>VALLEE JOUX DIVISION C</t>
  </si>
  <si>
    <t>CHAMBLON DIVISION C</t>
  </si>
  <si>
    <t>MIREMONT DIVISION C</t>
  </si>
  <si>
    <t>PAYS D'ENHAUT DIVISION C</t>
  </si>
  <si>
    <t>LAVAUX DIVISION C</t>
  </si>
  <si>
    <t>AUBONNE DIVISION C</t>
  </si>
  <si>
    <t>CSSC DIVISION C</t>
  </si>
  <si>
    <t>GOTTAZ</t>
  </si>
  <si>
    <t>PACIFIC convention CHUV</t>
  </si>
  <si>
    <t>PACIFIC convention EMS Non RIP</t>
  </si>
  <si>
    <t>PETIT BOIS</t>
  </si>
  <si>
    <t>GRACIEUSE</t>
  </si>
  <si>
    <t>NOVA VITA</t>
  </si>
  <si>
    <t>Entré manuellement</t>
  </si>
  <si>
    <t>Sauf pour les EMS Non RIP, provenance des données de SoHo. Extraction de "20151204_T16_v03a_ExportXML.xml"</t>
  </si>
  <si>
    <t>2) Ajouter les EMS Non RIP, avec la valeur de 1.76745135789504 = Productivité de 1714.05 et la valeur HES/ES de dotation socio culturelle à 0.</t>
  </si>
  <si>
    <t>3) Trier par ordre alphabétique et placer "Choisir dans la liste déroulante" et "Standard 50 lits" respectivement en 1ère et 2ème position.</t>
  </si>
  <si>
    <t>1) Les établissements avec ColMission = "Psychiatrie adulte" et les HNM ne doivent pas figurer dans la liste.</t>
  </si>
  <si>
    <t>NOVALLES CHATEAU EMS</t>
  </si>
</sst>
</file>

<file path=xl/styles.xml><?xml version="1.0" encoding="utf-8"?>
<styleSheet xmlns="http://schemas.openxmlformats.org/spreadsheetml/2006/main">
  <numFmts count="36">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Vrai&quot;;&quot;Vrai&quot;;&quot;Faux&quot;"/>
    <numFmt numFmtId="177" formatCode="&quot;Actif&quot;;&quot;Actif&quot;;&quot;Inactif&quot;"/>
    <numFmt numFmtId="178" formatCode="0.0000"/>
    <numFmt numFmtId="179" formatCode="[$-100C]dddd\,\ d\.\ mmmm\ yyyy"/>
    <numFmt numFmtId="180" formatCode="dd\ mmmm\ yyyy"/>
    <numFmt numFmtId="181" formatCode="0.0%"/>
    <numFmt numFmtId="182" formatCode="#,##0.0"/>
    <numFmt numFmtId="183" formatCode="0.000"/>
    <numFmt numFmtId="184" formatCode="0.000%"/>
    <numFmt numFmtId="185" formatCode="0.00000"/>
    <numFmt numFmtId="186" formatCode="0.0"/>
    <numFmt numFmtId="187" formatCode="0.0000000"/>
    <numFmt numFmtId="188" formatCode="0.00000000"/>
    <numFmt numFmtId="189" formatCode="0.000000000"/>
    <numFmt numFmtId="190" formatCode="0.000000"/>
    <numFmt numFmtId="191" formatCode="dd\ /\ mm\ /\ yyyy"/>
  </numFmts>
  <fonts count="72">
    <font>
      <sz val="10"/>
      <name val="Arial"/>
      <family val="0"/>
    </font>
    <font>
      <sz val="22"/>
      <name val="Arial"/>
      <family val="2"/>
    </font>
    <font>
      <b/>
      <sz val="14"/>
      <name val="Arial"/>
      <family val="2"/>
    </font>
    <font>
      <b/>
      <sz val="12"/>
      <name val="Arial"/>
      <family val="2"/>
    </font>
    <font>
      <sz val="12"/>
      <name val="Arial"/>
      <family val="2"/>
    </font>
    <font>
      <b/>
      <sz val="18"/>
      <name val="Arial"/>
      <family val="2"/>
    </font>
    <font>
      <b/>
      <sz val="10"/>
      <color indexed="10"/>
      <name val="Arial"/>
      <family val="2"/>
    </font>
    <font>
      <b/>
      <sz val="10"/>
      <name val="Arial"/>
      <family val="2"/>
    </font>
    <font>
      <b/>
      <sz val="20"/>
      <name val="Arial"/>
      <family val="2"/>
    </font>
    <font>
      <b/>
      <u val="single"/>
      <sz val="14"/>
      <name val="Arial"/>
      <family val="2"/>
    </font>
    <font>
      <b/>
      <sz val="22"/>
      <color indexed="8"/>
      <name val="Arial"/>
      <family val="2"/>
    </font>
    <font>
      <sz val="22"/>
      <color indexed="8"/>
      <name val="Arial"/>
      <family val="2"/>
    </font>
    <font>
      <u val="single"/>
      <sz val="10"/>
      <color indexed="12"/>
      <name val="Arial"/>
      <family val="2"/>
    </font>
    <font>
      <u val="single"/>
      <sz val="10"/>
      <color indexed="36"/>
      <name val="Arial"/>
      <family val="2"/>
    </font>
    <font>
      <sz val="14"/>
      <color indexed="10"/>
      <name val="Arial"/>
      <family val="2"/>
    </font>
    <font>
      <b/>
      <u val="single"/>
      <sz val="12"/>
      <name val="Arial"/>
      <family val="2"/>
    </font>
    <font>
      <u val="single"/>
      <sz val="10"/>
      <name val="Arial"/>
      <family val="2"/>
    </font>
    <font>
      <i/>
      <sz val="12"/>
      <name val="Arial"/>
      <family val="2"/>
    </font>
    <font>
      <b/>
      <sz val="16"/>
      <name val="Arial"/>
      <family val="2"/>
    </font>
    <font>
      <sz val="16"/>
      <name val="Arial"/>
      <family val="2"/>
    </font>
    <font>
      <sz val="8"/>
      <name val="Tahoma"/>
      <family val="2"/>
    </font>
    <font>
      <b/>
      <i/>
      <sz val="12"/>
      <name val="Arial"/>
      <family val="2"/>
    </font>
    <font>
      <sz val="14"/>
      <name val="Arial"/>
      <family val="2"/>
    </font>
    <font>
      <i/>
      <strike/>
      <sz val="12"/>
      <name val="Arial"/>
      <family val="2"/>
    </font>
    <font>
      <b/>
      <sz val="11"/>
      <name val="Arial"/>
      <family val="2"/>
    </font>
    <font>
      <sz val="11"/>
      <name val="Arial"/>
      <family val="2"/>
    </font>
    <font>
      <b/>
      <sz val="8"/>
      <name val="Tahoma"/>
      <family val="0"/>
    </font>
    <font>
      <b/>
      <u val="single"/>
      <sz val="10"/>
      <name val="Arial"/>
      <family val="2"/>
    </font>
    <font>
      <b/>
      <sz val="12"/>
      <color indexed="10"/>
      <name val="Arial"/>
      <family val="2"/>
    </font>
    <font>
      <b/>
      <sz val="11"/>
      <color indexed="10"/>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6"/>
      <color indexed="10"/>
      <name val="Arial"/>
      <family val="2"/>
    </font>
    <font>
      <b/>
      <sz val="8"/>
      <color indexed="10"/>
      <name val="Arial"/>
      <family val="2"/>
    </font>
    <font>
      <b/>
      <strike/>
      <sz val="18"/>
      <color indexed="10"/>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2"/>
      <color rgb="FFFF0000"/>
      <name val="Arial"/>
      <family val="2"/>
    </font>
    <font>
      <b/>
      <sz val="16"/>
      <color rgb="FFFF0000"/>
      <name val="Arial"/>
      <family val="2"/>
    </font>
    <font>
      <b/>
      <sz val="8"/>
      <color rgb="FFFF0000"/>
      <name val="Arial"/>
      <family val="2"/>
    </font>
    <font>
      <b/>
      <strike/>
      <sz val="18"/>
      <color rgb="FFFF0000"/>
      <name val="Arial"/>
      <family val="2"/>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99CCFF"/>
        <bgColor indexed="64"/>
      </patternFill>
    </fill>
    <fill>
      <patternFill patternType="solid">
        <fgColor theme="5" tint="0.7999799847602844"/>
        <bgColor indexed="64"/>
      </patternFill>
    </fill>
    <fill>
      <patternFill patternType="solid">
        <fgColor rgb="FFDDDDDD"/>
        <bgColor indexed="64"/>
      </patternFill>
    </fill>
    <fill>
      <patternFill patternType="solid">
        <fgColor rgb="FFFFFF00"/>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style="thin"/>
      <right style="thin"/>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hair"/>
    </border>
    <border>
      <left style="thin"/>
      <right style="thin"/>
      <top style="hair"/>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double"/>
      <right>
        <color indexed="63"/>
      </right>
      <top>
        <color indexed="63"/>
      </top>
      <bottom>
        <color indexed="63"/>
      </bottom>
    </border>
    <border>
      <left style="medium"/>
      <right>
        <color indexed="63"/>
      </right>
      <top style="medium"/>
      <bottom style="mediu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0" borderId="2" applyNumberFormat="0" applyFill="0" applyAlignment="0" applyProtection="0"/>
    <xf numFmtId="0" fontId="0" fillId="26" borderId="3" applyNumberFormat="0" applyFont="0" applyAlignment="0" applyProtection="0"/>
    <xf numFmtId="0" fontId="55" fillId="27" borderId="1" applyNumberFormat="0" applyAlignment="0" applyProtection="0"/>
    <xf numFmtId="0" fontId="56" fillId="28"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9" fontId="0" fillId="0" borderId="0" applyFont="0" applyFill="0" applyBorder="0" applyAlignment="0" applyProtection="0"/>
    <xf numFmtId="0" fontId="58" fillId="30" borderId="0" applyNumberFormat="0" applyBorder="0" applyAlignment="0" applyProtection="0"/>
    <xf numFmtId="0" fontId="59" fillId="25"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1" borderId="9" applyNumberFormat="0" applyAlignment="0" applyProtection="0"/>
  </cellStyleXfs>
  <cellXfs count="301">
    <xf numFmtId="0" fontId="0" fillId="0" borderId="0" xfId="0" applyAlignment="1">
      <alignment/>
    </xf>
    <xf numFmtId="0" fontId="0" fillId="32" borderId="0" xfId="0" applyFill="1" applyAlignment="1">
      <alignment/>
    </xf>
    <xf numFmtId="0" fontId="4" fillId="32" borderId="0" xfId="0" applyFont="1" applyFill="1" applyAlignment="1">
      <alignment/>
    </xf>
    <xf numFmtId="0" fontId="0" fillId="32" borderId="0" xfId="0" applyFill="1" applyAlignment="1">
      <alignment vertical="center"/>
    </xf>
    <xf numFmtId="0" fontId="6" fillId="32" borderId="0" xfId="0" applyFont="1" applyFill="1" applyAlignment="1">
      <alignment vertical="center"/>
    </xf>
    <xf numFmtId="0" fontId="0" fillId="32" borderId="0" xfId="0" applyFill="1" applyBorder="1" applyAlignment="1">
      <alignment vertical="center"/>
    </xf>
    <xf numFmtId="0" fontId="0" fillId="32" borderId="0" xfId="0" applyFont="1" applyFill="1" applyAlignment="1">
      <alignment vertical="center"/>
    </xf>
    <xf numFmtId="0" fontId="0" fillId="32" borderId="0" xfId="0" applyFont="1" applyFill="1" applyAlignment="1">
      <alignment vertical="center"/>
    </xf>
    <xf numFmtId="0" fontId="4" fillId="32" borderId="0" xfId="0" applyFont="1" applyFill="1" applyAlignment="1">
      <alignment vertical="center"/>
    </xf>
    <xf numFmtId="0" fontId="17" fillId="32" borderId="0" xfId="0" applyFont="1" applyFill="1" applyBorder="1" applyAlignment="1">
      <alignment vertical="center"/>
    </xf>
    <xf numFmtId="0" fontId="4" fillId="33" borderId="10"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17"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0" xfId="0" applyFont="1" applyFill="1" applyBorder="1" applyAlignment="1" applyProtection="1">
      <alignment vertical="center"/>
      <protection hidden="1"/>
    </xf>
    <xf numFmtId="14" fontId="4" fillId="33" borderId="11" xfId="0" applyNumberFormat="1" applyFont="1" applyFill="1" applyBorder="1" applyAlignment="1">
      <alignment vertical="center"/>
    </xf>
    <xf numFmtId="0" fontId="9" fillId="33" borderId="10" xfId="0" applyFont="1" applyFill="1" applyBorder="1" applyAlignment="1">
      <alignment vertical="top" wrapText="1"/>
    </xf>
    <xf numFmtId="0" fontId="15" fillId="33" borderId="11" xfId="0" applyFont="1" applyFill="1" applyBorder="1" applyAlignment="1">
      <alignment horizontal="right" vertical="center" wrapText="1"/>
    </xf>
    <xf numFmtId="0" fontId="8" fillId="33" borderId="0" xfId="0" applyFont="1" applyFill="1" applyBorder="1" applyAlignment="1">
      <alignment horizontal="left"/>
    </xf>
    <xf numFmtId="0" fontId="5" fillId="33" borderId="0" xfId="0" applyFont="1" applyFill="1" applyBorder="1" applyAlignment="1">
      <alignment horizontal="right"/>
    </xf>
    <xf numFmtId="0" fontId="3" fillId="33" borderId="0" xfId="0" applyFont="1" applyFill="1" applyBorder="1" applyAlignment="1">
      <alignment vertical="center" wrapText="1"/>
    </xf>
    <xf numFmtId="180" fontId="3" fillId="33" borderId="0" xfId="0" applyNumberFormat="1" applyFont="1" applyFill="1" applyBorder="1" applyAlignment="1">
      <alignment vertical="center"/>
    </xf>
    <xf numFmtId="0" fontId="3" fillId="33" borderId="0" xfId="0" applyFont="1" applyFill="1" applyBorder="1" applyAlignment="1">
      <alignment vertical="center"/>
    </xf>
    <xf numFmtId="0" fontId="3" fillId="33" borderId="11" xfId="0" applyFont="1" applyFill="1" applyBorder="1" applyAlignment="1">
      <alignment vertical="center"/>
    </xf>
    <xf numFmtId="0" fontId="14" fillId="33" borderId="11" xfId="0" applyFont="1" applyFill="1" applyBorder="1" applyAlignment="1" applyProtection="1">
      <alignment vertical="center"/>
      <protection/>
    </xf>
    <xf numFmtId="0" fontId="1" fillId="33" borderId="1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2" fillId="33" borderId="0" xfId="0" applyFont="1" applyFill="1" applyBorder="1" applyAlignment="1" applyProtection="1">
      <alignment vertical="center"/>
      <protection/>
    </xf>
    <xf numFmtId="0" fontId="3" fillId="33" borderId="10" xfId="0" applyFont="1" applyFill="1" applyBorder="1" applyAlignment="1">
      <alignment horizontal="left" vertical="center" wrapText="1"/>
    </xf>
    <xf numFmtId="0" fontId="4" fillId="33" borderId="14" xfId="0" applyFont="1" applyFill="1" applyBorder="1" applyAlignment="1">
      <alignment vertical="center"/>
    </xf>
    <xf numFmtId="180" fontId="3" fillId="33" borderId="11" xfId="0" applyNumberFormat="1" applyFont="1" applyFill="1" applyBorder="1" applyAlignment="1">
      <alignment vertical="center"/>
    </xf>
    <xf numFmtId="0" fontId="0" fillId="33" borderId="0" xfId="0" applyFill="1" applyAlignment="1">
      <alignment/>
    </xf>
    <xf numFmtId="180" fontId="67" fillId="33" borderId="0" xfId="0" applyNumberFormat="1" applyFont="1" applyFill="1" applyBorder="1" applyAlignment="1">
      <alignment vertical="center"/>
    </xf>
    <xf numFmtId="0" fontId="0" fillId="33" borderId="0" xfId="0" applyFill="1" applyBorder="1" applyAlignment="1">
      <alignment/>
    </xf>
    <xf numFmtId="0" fontId="4" fillId="33" borderId="0" xfId="0" applyFont="1" applyFill="1" applyAlignment="1">
      <alignment vertical="center"/>
    </xf>
    <xf numFmtId="14" fontId="4" fillId="33" borderId="15" xfId="0" applyNumberFormat="1" applyFont="1" applyFill="1" applyBorder="1" applyAlignment="1">
      <alignment vertical="center"/>
    </xf>
    <xf numFmtId="2" fontId="3" fillId="34" borderId="16" xfId="0" applyNumberFormat="1" applyFont="1" applyFill="1" applyBorder="1" applyAlignment="1">
      <alignment horizontal="center" vertical="center"/>
    </xf>
    <xf numFmtId="10" fontId="3" fillId="34" borderId="16" xfId="0" applyNumberFormat="1" applyFont="1" applyFill="1" applyBorder="1" applyAlignment="1">
      <alignment horizontal="center" vertical="center"/>
    </xf>
    <xf numFmtId="0" fontId="0" fillId="33" borderId="13" xfId="0" applyFill="1" applyBorder="1" applyAlignment="1">
      <alignment/>
    </xf>
    <xf numFmtId="0" fontId="9" fillId="33" borderId="12" xfId="0" applyFont="1" applyFill="1" applyBorder="1" applyAlignment="1">
      <alignment vertical="top" wrapText="1"/>
    </xf>
    <xf numFmtId="0" fontId="3" fillId="33" borderId="13" xfId="0" applyFont="1" applyFill="1" applyBorder="1" applyAlignment="1">
      <alignment vertical="center" wrapText="1"/>
    </xf>
    <xf numFmtId="180" fontId="67" fillId="33" borderId="13" xfId="0" applyNumberFormat="1" applyFont="1" applyFill="1" applyBorder="1" applyAlignment="1">
      <alignment vertical="center"/>
    </xf>
    <xf numFmtId="180" fontId="3" fillId="33" borderId="13" xfId="0" applyNumberFormat="1" applyFont="1" applyFill="1" applyBorder="1" applyAlignment="1">
      <alignment vertical="center"/>
    </xf>
    <xf numFmtId="180" fontId="3" fillId="33" borderId="14" xfId="0" applyNumberFormat="1" applyFont="1" applyFill="1" applyBorder="1" applyAlignment="1">
      <alignment vertical="center"/>
    </xf>
    <xf numFmtId="0" fontId="17" fillId="33" borderId="10" xfId="0" applyFont="1" applyFill="1" applyBorder="1" applyAlignment="1">
      <alignment vertical="center"/>
    </xf>
    <xf numFmtId="2" fontId="4" fillId="35" borderId="16" xfId="0" applyNumberFormat="1" applyFont="1" applyFill="1" applyBorder="1" applyAlignment="1" applyProtection="1">
      <alignment horizontal="center" vertical="center"/>
      <protection hidden="1"/>
    </xf>
    <xf numFmtId="2" fontId="4" fillId="35" borderId="16" xfId="0" applyNumberFormat="1" applyFont="1" applyFill="1" applyBorder="1" applyAlignment="1">
      <alignment horizontal="center" vertical="center"/>
    </xf>
    <xf numFmtId="2" fontId="23" fillId="34" borderId="16" xfId="0" applyNumberFormat="1" applyFont="1" applyFill="1" applyBorder="1" applyAlignment="1">
      <alignment horizontal="center" vertical="center"/>
    </xf>
    <xf numFmtId="2" fontId="4" fillId="34" borderId="16" xfId="0" applyNumberFormat="1" applyFont="1" applyFill="1" applyBorder="1" applyAlignment="1" applyProtection="1">
      <alignment horizontal="center" vertical="center"/>
      <protection hidden="1"/>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0" xfId="0" applyFont="1" applyFill="1" applyBorder="1" applyAlignment="1">
      <alignment horizontal="right" vertical="center"/>
    </xf>
    <xf numFmtId="0" fontId="4" fillId="33" borderId="0" xfId="0" applyFont="1" applyFill="1" applyBorder="1" applyAlignment="1">
      <alignment horizontal="right" vertical="center"/>
    </xf>
    <xf numFmtId="0" fontId="17" fillId="33" borderId="0" xfId="0" applyFont="1" applyFill="1" applyBorder="1" applyAlignment="1">
      <alignment vertical="center"/>
    </xf>
    <xf numFmtId="0" fontId="4" fillId="33" borderId="20" xfId="0" applyFont="1" applyFill="1" applyBorder="1" applyAlignment="1">
      <alignment horizontal="center" vertical="center"/>
    </xf>
    <xf numFmtId="0" fontId="17" fillId="33" borderId="20" xfId="0" applyFont="1" applyFill="1" applyBorder="1" applyAlignment="1">
      <alignment horizontal="center" vertical="center"/>
    </xf>
    <xf numFmtId="2" fontId="4" fillId="33" borderId="20" xfId="0" applyNumberFormat="1" applyFont="1" applyFill="1" applyBorder="1" applyAlignment="1" applyProtection="1">
      <alignment horizontal="center" vertical="center"/>
      <protection hidden="1"/>
    </xf>
    <xf numFmtId="2" fontId="4" fillId="33" borderId="20" xfId="0" applyNumberFormat="1" applyFont="1" applyFill="1" applyBorder="1" applyAlignment="1">
      <alignment horizontal="center" vertical="center"/>
    </xf>
    <xf numFmtId="2" fontId="23" fillId="33" borderId="20" xfId="0" applyNumberFormat="1" applyFont="1" applyFill="1" applyBorder="1" applyAlignment="1">
      <alignment horizontal="center" vertical="center"/>
    </xf>
    <xf numFmtId="2" fontId="4" fillId="33" borderId="21" xfId="0" applyNumberFormat="1" applyFont="1" applyFill="1" applyBorder="1" applyAlignment="1" applyProtection="1">
      <alignment horizontal="center" vertical="center"/>
      <protection hidden="1"/>
    </xf>
    <xf numFmtId="2" fontId="4" fillId="33" borderId="21" xfId="0" applyNumberFormat="1" applyFont="1" applyFill="1" applyBorder="1" applyAlignment="1">
      <alignment horizontal="center" vertical="center"/>
    </xf>
    <xf numFmtId="2" fontId="19" fillId="33" borderId="0" xfId="0" applyNumberFormat="1" applyFont="1" applyFill="1" applyBorder="1" applyAlignment="1">
      <alignment horizontal="center" vertical="center"/>
    </xf>
    <xf numFmtId="2" fontId="19" fillId="33" borderId="0" xfId="0" applyNumberFormat="1" applyFont="1" applyFill="1" applyBorder="1" applyAlignment="1">
      <alignment horizontal="center" vertical="center" wrapText="1"/>
    </xf>
    <xf numFmtId="0" fontId="3" fillId="33" borderId="21" xfId="0" applyFont="1" applyFill="1" applyBorder="1" applyAlignment="1">
      <alignment horizontal="center" vertical="center"/>
    </xf>
    <xf numFmtId="2" fontId="3" fillId="33" borderId="21" xfId="0" applyNumberFormat="1" applyFont="1" applyFill="1" applyBorder="1" applyAlignment="1">
      <alignment horizontal="center" vertical="center"/>
    </xf>
    <xf numFmtId="0" fontId="4" fillId="33" borderId="0" xfId="0" applyFont="1" applyFill="1" applyBorder="1" applyAlignment="1">
      <alignment/>
    </xf>
    <xf numFmtId="10" fontId="3" fillId="33" borderId="20" xfId="0" applyNumberFormat="1" applyFont="1" applyFill="1" applyBorder="1" applyAlignment="1">
      <alignment horizontal="center" vertical="center"/>
    </xf>
    <xf numFmtId="0" fontId="3" fillId="33" borderId="20" xfId="0" applyFont="1" applyFill="1" applyBorder="1" applyAlignment="1">
      <alignment horizontal="center" vertical="center"/>
    </xf>
    <xf numFmtId="2" fontId="3" fillId="33" borderId="20" xfId="0" applyNumberFormat="1" applyFont="1" applyFill="1" applyBorder="1" applyAlignment="1">
      <alignment horizontal="center" vertical="center"/>
    </xf>
    <xf numFmtId="2" fontId="0" fillId="35" borderId="22" xfId="0" applyNumberFormat="1" applyFont="1" applyFill="1" applyBorder="1" applyAlignment="1">
      <alignment horizontal="center" vertical="center" wrapText="1"/>
    </xf>
    <xf numFmtId="2" fontId="19" fillId="35" borderId="23" xfId="0" applyNumberFormat="1" applyFont="1" applyFill="1" applyBorder="1" applyAlignment="1">
      <alignment horizontal="center" vertical="center"/>
    </xf>
    <xf numFmtId="2" fontId="0" fillId="34" borderId="22" xfId="0" applyNumberFormat="1" applyFont="1" applyFill="1" applyBorder="1" applyAlignment="1">
      <alignment horizontal="center" vertical="center" wrapText="1"/>
    </xf>
    <xf numFmtId="2" fontId="19" fillId="34" borderId="23" xfId="0" applyNumberFormat="1" applyFont="1" applyFill="1" applyBorder="1" applyAlignment="1">
      <alignment horizontal="center" vertical="center"/>
    </xf>
    <xf numFmtId="2" fontId="0" fillId="27" borderId="22" xfId="0" applyNumberFormat="1" applyFont="1" applyFill="1" applyBorder="1" applyAlignment="1">
      <alignment horizontal="center" vertical="center" wrapText="1"/>
    </xf>
    <xf numFmtId="2" fontId="0" fillId="27" borderId="22" xfId="0" applyNumberFormat="1" applyFont="1" applyFill="1" applyBorder="1" applyAlignment="1">
      <alignment horizontal="center" vertical="center"/>
    </xf>
    <xf numFmtId="2" fontId="19" fillId="33" borderId="0" xfId="0" applyNumberFormat="1" applyFont="1" applyFill="1" applyBorder="1" applyAlignment="1">
      <alignment horizontal="center" vertical="center"/>
    </xf>
    <xf numFmtId="2" fontId="18" fillId="35" borderId="16" xfId="0" applyNumberFormat="1" applyFont="1" applyFill="1" applyBorder="1" applyAlignment="1">
      <alignment horizontal="center" vertical="center"/>
    </xf>
    <xf numFmtId="2" fontId="18" fillId="34" borderId="16" xfId="0" applyNumberFormat="1" applyFont="1" applyFill="1" applyBorder="1" applyAlignment="1">
      <alignment horizontal="center" vertical="center"/>
    </xf>
    <xf numFmtId="2" fontId="23" fillId="27" borderId="16" xfId="0" applyNumberFormat="1" applyFont="1" applyFill="1" applyBorder="1" applyAlignment="1">
      <alignment horizontal="center" vertical="center"/>
    </xf>
    <xf numFmtId="2" fontId="4" fillId="27" borderId="16" xfId="0" applyNumberFormat="1" applyFont="1" applyFill="1" applyBorder="1" applyAlignment="1" applyProtection="1">
      <alignment horizontal="center" vertical="center"/>
      <protection hidden="1"/>
    </xf>
    <xf numFmtId="2" fontId="18" fillId="35" borderId="16" xfId="0" applyNumberFormat="1" applyFont="1" applyFill="1" applyBorder="1" applyAlignment="1" applyProtection="1">
      <alignment horizontal="center" vertical="center"/>
      <protection hidden="1"/>
    </xf>
    <xf numFmtId="2" fontId="18" fillId="34" borderId="16" xfId="0" applyNumberFormat="1" applyFont="1" applyFill="1" applyBorder="1" applyAlignment="1" applyProtection="1">
      <alignment horizontal="center" vertical="center"/>
      <protection hidden="1"/>
    </xf>
    <xf numFmtId="10" fontId="3" fillId="35" borderId="16" xfId="0" applyNumberFormat="1" applyFont="1" applyFill="1" applyBorder="1" applyAlignment="1">
      <alignment horizontal="center" vertical="center"/>
    </xf>
    <xf numFmtId="0" fontId="21" fillId="33" borderId="20" xfId="0" applyFont="1" applyFill="1" applyBorder="1" applyAlignment="1">
      <alignment horizontal="center" vertical="center"/>
    </xf>
    <xf numFmtId="0" fontId="7" fillId="33" borderId="21" xfId="0" applyFont="1" applyFill="1" applyBorder="1" applyAlignment="1">
      <alignment horizontal="center" vertical="center" wrapText="1"/>
    </xf>
    <xf numFmtId="0" fontId="2" fillId="33" borderId="24" xfId="0" applyFont="1" applyFill="1" applyBorder="1" applyAlignment="1">
      <alignment vertical="top" wrapText="1"/>
    </xf>
    <xf numFmtId="0" fontId="11" fillId="33" borderId="25" xfId="0" applyFont="1" applyFill="1" applyBorder="1" applyAlignment="1">
      <alignment/>
    </xf>
    <xf numFmtId="0" fontId="0" fillId="33" borderId="0" xfId="0" applyFill="1" applyBorder="1" applyAlignment="1">
      <alignment/>
    </xf>
    <xf numFmtId="0" fontId="3" fillId="33" borderId="0" xfId="0" applyFont="1" applyFill="1" applyBorder="1" applyAlignment="1">
      <alignment horizontal="left" vertical="center"/>
    </xf>
    <xf numFmtId="0" fontId="3" fillId="33" borderId="10" xfId="0" applyFont="1" applyFill="1" applyBorder="1" applyAlignment="1">
      <alignment horizontal="right" vertical="center"/>
    </xf>
    <xf numFmtId="0" fontId="3" fillId="33" borderId="0" xfId="0" applyFont="1" applyFill="1" applyBorder="1" applyAlignment="1">
      <alignment horizontal="right" vertical="center"/>
    </xf>
    <xf numFmtId="0" fontId="0" fillId="0" borderId="10" xfId="0" applyBorder="1" applyAlignment="1">
      <alignment/>
    </xf>
    <xf numFmtId="0" fontId="3" fillId="33" borderId="10" xfId="0" applyFont="1" applyFill="1" applyBorder="1" applyAlignment="1">
      <alignment horizontal="right" vertical="center" wrapText="1"/>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0" fillId="33" borderId="26" xfId="0" applyFill="1" applyBorder="1" applyAlignment="1">
      <alignment/>
    </xf>
    <xf numFmtId="0" fontId="0" fillId="33" borderId="10" xfId="0" applyFill="1" applyBorder="1" applyAlignment="1">
      <alignment/>
    </xf>
    <xf numFmtId="0" fontId="0" fillId="33" borderId="11" xfId="0" applyFill="1" applyBorder="1" applyAlignment="1">
      <alignment/>
    </xf>
    <xf numFmtId="0" fontId="3" fillId="35" borderId="16" xfId="0" applyFont="1" applyFill="1" applyBorder="1" applyAlignment="1">
      <alignment horizontal="center" vertical="center"/>
    </xf>
    <xf numFmtId="0" fontId="24" fillId="35" borderId="27" xfId="0" applyFont="1" applyFill="1" applyBorder="1" applyAlignment="1">
      <alignment horizontal="center" vertical="center" wrapText="1"/>
    </xf>
    <xf numFmtId="0" fontId="24" fillId="34" borderId="16" xfId="0" applyFont="1" applyFill="1" applyBorder="1" applyAlignment="1">
      <alignment horizontal="center" vertical="center" wrapText="1"/>
    </xf>
    <xf numFmtId="0" fontId="24" fillId="27" borderId="16" xfId="0" applyFont="1" applyFill="1" applyBorder="1" applyAlignment="1">
      <alignment horizontal="center" vertical="center" wrapText="1"/>
    </xf>
    <xf numFmtId="0" fontId="25" fillId="33" borderId="0" xfId="0" applyFont="1" applyFill="1" applyBorder="1" applyAlignment="1">
      <alignment vertical="center"/>
    </xf>
    <xf numFmtId="0" fontId="9" fillId="33" borderId="0" xfId="0" applyFont="1" applyFill="1" applyBorder="1" applyAlignment="1" applyProtection="1">
      <alignment vertical="center"/>
      <protection/>
    </xf>
    <xf numFmtId="0" fontId="0" fillId="33" borderId="10" xfId="0" applyFill="1" applyBorder="1" applyAlignment="1" applyProtection="1">
      <alignment/>
      <protection/>
    </xf>
    <xf numFmtId="0" fontId="2" fillId="33" borderId="11" xfId="0" applyFont="1" applyFill="1" applyBorder="1" applyAlignment="1" applyProtection="1">
      <alignment vertical="center"/>
      <protection/>
    </xf>
    <xf numFmtId="0" fontId="6" fillId="32" borderId="0" xfId="0" applyFont="1" applyFill="1" applyAlignment="1" applyProtection="1">
      <alignment/>
      <protection/>
    </xf>
    <xf numFmtId="0" fontId="0" fillId="0" borderId="0" xfId="0" applyAlignment="1" applyProtection="1">
      <alignment/>
      <protection/>
    </xf>
    <xf numFmtId="0" fontId="22" fillId="27" borderId="23" xfId="0" applyNumberFormat="1" applyFont="1" applyFill="1" applyBorder="1" applyAlignment="1">
      <alignment horizontal="center" vertical="center" wrapText="1"/>
    </xf>
    <xf numFmtId="2" fontId="22" fillId="27" borderId="16" xfId="0" applyNumberFormat="1" applyFont="1" applyFill="1" applyBorder="1" applyAlignment="1" applyProtection="1">
      <alignment horizontal="center" vertical="center"/>
      <protection hidden="1"/>
    </xf>
    <xf numFmtId="0" fontId="4" fillId="33" borderId="28" xfId="0" applyFont="1" applyFill="1" applyBorder="1" applyAlignment="1">
      <alignment vertical="center"/>
    </xf>
    <xf numFmtId="0" fontId="4" fillId="33" borderId="29" xfId="0" applyFont="1" applyFill="1" applyBorder="1" applyAlignment="1">
      <alignment horizontal="left" vertical="center"/>
    </xf>
    <xf numFmtId="2" fontId="18" fillId="33" borderId="29" xfId="0" applyNumberFormat="1" applyFont="1" applyFill="1" applyBorder="1" applyAlignment="1">
      <alignment horizontal="center" vertical="center"/>
    </xf>
    <xf numFmtId="0" fontId="24" fillId="35" borderId="16" xfId="0" applyFont="1" applyFill="1" applyBorder="1" applyAlignment="1">
      <alignment horizontal="center" vertical="center"/>
    </xf>
    <xf numFmtId="0" fontId="4" fillId="33" borderId="0" xfId="0" applyFont="1" applyFill="1" applyBorder="1" applyAlignment="1">
      <alignment horizontal="left" vertical="center"/>
    </xf>
    <xf numFmtId="0" fontId="1" fillId="33" borderId="0" xfId="0" applyFont="1" applyFill="1" applyBorder="1" applyAlignment="1">
      <alignment horizontal="center" vertical="center" wrapText="1"/>
    </xf>
    <xf numFmtId="0" fontId="0" fillId="33" borderId="0" xfId="0" applyFill="1" applyBorder="1" applyAlignment="1">
      <alignment vertical="center"/>
    </xf>
    <xf numFmtId="0" fontId="0" fillId="33" borderId="11" xfId="0" applyFill="1" applyBorder="1" applyAlignment="1">
      <alignment vertical="center"/>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0" fontId="4" fillId="33" borderId="0" xfId="0" applyFont="1" applyFill="1" applyBorder="1" applyAlignment="1">
      <alignment horizontal="left" vertical="center" wrapText="1"/>
    </xf>
    <xf numFmtId="0" fontId="4" fillId="33" borderId="30" xfId="0" applyFont="1" applyFill="1" applyBorder="1" applyAlignment="1">
      <alignment vertical="center"/>
    </xf>
    <xf numFmtId="0" fontId="4" fillId="33" borderId="30" xfId="0" applyFont="1" applyFill="1" applyBorder="1" applyAlignment="1">
      <alignment horizontal="left" vertical="center"/>
    </xf>
    <xf numFmtId="2" fontId="18" fillId="33" borderId="30" xfId="0" applyNumberFormat="1" applyFont="1" applyFill="1" applyBorder="1" applyAlignment="1">
      <alignment horizontal="center" vertical="center"/>
    </xf>
    <xf numFmtId="14" fontId="4" fillId="33" borderId="30" xfId="0" applyNumberFormat="1" applyFont="1" applyFill="1" applyBorder="1" applyAlignment="1">
      <alignment vertical="center"/>
    </xf>
    <xf numFmtId="0" fontId="0" fillId="33" borderId="0" xfId="0" applyFill="1" applyBorder="1" applyAlignment="1">
      <alignment horizontal="center"/>
    </xf>
    <xf numFmtId="0" fontId="2" fillId="36" borderId="16"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xf>
    <xf numFmtId="0" fontId="24" fillId="33" borderId="0" xfId="0" applyFont="1" applyFill="1" applyBorder="1" applyAlignment="1">
      <alignment horizontal="center" vertical="center"/>
    </xf>
    <xf numFmtId="0" fontId="1" fillId="33" borderId="0" xfId="0" applyFont="1" applyFill="1" applyBorder="1" applyAlignment="1">
      <alignment horizontal="center" vertical="center" wrapText="1"/>
    </xf>
    <xf numFmtId="0" fontId="0" fillId="33" borderId="0" xfId="0" applyFill="1" applyBorder="1" applyAlignment="1">
      <alignment vertical="center"/>
    </xf>
    <xf numFmtId="0" fontId="0" fillId="33" borderId="11" xfId="0" applyFill="1" applyBorder="1" applyAlignment="1">
      <alignment vertical="center"/>
    </xf>
    <xf numFmtId="0" fontId="24" fillId="33" borderId="0" xfId="0" applyFont="1" applyFill="1" applyBorder="1" applyAlignment="1">
      <alignment horizontal="left" vertical="center"/>
    </xf>
    <xf numFmtId="0" fontId="9" fillId="33" borderId="0" xfId="0" applyFont="1" applyFill="1" applyBorder="1" applyAlignment="1">
      <alignment vertical="center" wrapText="1"/>
    </xf>
    <xf numFmtId="0" fontId="9" fillId="33" borderId="0" xfId="0" applyFont="1" applyFill="1" applyBorder="1" applyAlignment="1">
      <alignment vertical="center"/>
    </xf>
    <xf numFmtId="0" fontId="24" fillId="34" borderId="16" xfId="0" applyFont="1" applyFill="1" applyBorder="1" applyAlignment="1">
      <alignment horizontal="center" vertical="center"/>
    </xf>
    <xf numFmtId="0" fontId="52" fillId="32" borderId="0" xfId="0" applyFont="1" applyFill="1" applyAlignment="1">
      <alignment/>
    </xf>
    <xf numFmtId="0" fontId="52" fillId="0" borderId="0" xfId="0" applyFont="1" applyAlignment="1">
      <alignment/>
    </xf>
    <xf numFmtId="0" fontId="3" fillId="0" borderId="10" xfId="0" applyFont="1" applyBorder="1" applyAlignment="1">
      <alignment horizontal="right"/>
    </xf>
    <xf numFmtId="0" fontId="17" fillId="33" borderId="10" xfId="0" applyFont="1" applyFill="1" applyBorder="1" applyAlignment="1">
      <alignment horizontal="right" vertical="center"/>
    </xf>
    <xf numFmtId="0" fontId="17" fillId="0" borderId="10" xfId="0" applyFont="1" applyBorder="1" applyAlignment="1">
      <alignment horizontal="right"/>
    </xf>
    <xf numFmtId="0" fontId="0" fillId="33" borderId="16" xfId="0" applyFont="1" applyFill="1" applyBorder="1" applyAlignment="1">
      <alignment/>
    </xf>
    <xf numFmtId="0" fontId="1" fillId="33" borderId="0" xfId="0" applyFont="1" applyFill="1" applyBorder="1" applyAlignment="1">
      <alignment vertical="center" wrapText="1"/>
    </xf>
    <xf numFmtId="0" fontId="4" fillId="35" borderId="16" xfId="0" applyFont="1" applyFill="1" applyBorder="1" applyAlignment="1">
      <alignment horizontal="center" vertical="center"/>
    </xf>
    <xf numFmtId="0" fontId="4" fillId="34" borderId="16" xfId="0" applyFont="1" applyFill="1" applyBorder="1" applyAlignment="1">
      <alignment horizontal="center" vertical="center"/>
    </xf>
    <xf numFmtId="0" fontId="4" fillId="27" borderId="16" xfId="0" applyFont="1" applyFill="1" applyBorder="1" applyAlignment="1">
      <alignment horizontal="center" vertical="center"/>
    </xf>
    <xf numFmtId="0" fontId="0" fillId="37" borderId="16" xfId="0" applyFont="1" applyFill="1" applyBorder="1" applyAlignment="1">
      <alignment/>
    </xf>
    <xf numFmtId="0" fontId="0" fillId="0" borderId="16" xfId="0" applyBorder="1" applyAlignment="1">
      <alignment/>
    </xf>
    <xf numFmtId="0" fontId="0" fillId="37" borderId="16" xfId="0" applyNumberFormat="1" applyFont="1" applyFill="1" applyBorder="1" applyAlignment="1">
      <alignment/>
    </xf>
    <xf numFmtId="0" fontId="3" fillId="34" borderId="16" xfId="0" applyNumberFormat="1" applyFont="1" applyFill="1" applyBorder="1" applyAlignment="1">
      <alignment horizontal="center" vertical="center"/>
    </xf>
    <xf numFmtId="0" fontId="3" fillId="38" borderId="10" xfId="0" applyFont="1" applyFill="1" applyBorder="1" applyAlignment="1">
      <alignment horizontal="left" vertical="center" wrapText="1"/>
    </xf>
    <xf numFmtId="0" fontId="3" fillId="38" borderId="0" xfId="0" applyFont="1" applyFill="1" applyBorder="1" applyAlignment="1">
      <alignment horizontal="left" vertical="center" wrapText="1"/>
    </xf>
    <xf numFmtId="0" fontId="7" fillId="38" borderId="0" xfId="0" applyFont="1" applyFill="1" applyBorder="1" applyAlignment="1">
      <alignment horizontal="center" vertical="center"/>
    </xf>
    <xf numFmtId="0" fontId="0" fillId="38" borderId="0" xfId="0" applyFill="1" applyBorder="1" applyAlignment="1">
      <alignment vertical="center"/>
    </xf>
    <xf numFmtId="0" fontId="0" fillId="38" borderId="11" xfId="0" applyFill="1" applyBorder="1" applyAlignment="1">
      <alignment vertical="center"/>
    </xf>
    <xf numFmtId="0" fontId="4" fillId="38" borderId="10" xfId="0" applyFont="1" applyFill="1" applyBorder="1" applyAlignment="1">
      <alignment vertical="center"/>
    </xf>
    <xf numFmtId="0" fontId="3" fillId="38" borderId="0" xfId="0" applyFont="1" applyFill="1" applyBorder="1" applyAlignment="1">
      <alignment horizontal="right" vertical="center"/>
    </xf>
    <xf numFmtId="4" fontId="2" fillId="38" borderId="31" xfId="0" applyNumberFormat="1" applyFont="1" applyFill="1" applyBorder="1" applyAlignment="1" applyProtection="1">
      <alignment vertical="center"/>
      <protection/>
    </xf>
    <xf numFmtId="0" fontId="0" fillId="38" borderId="0" xfId="0" applyFill="1" applyBorder="1" applyAlignment="1">
      <alignment/>
    </xf>
    <xf numFmtId="0" fontId="2" fillId="38" borderId="0" xfId="0" applyFont="1" applyFill="1" applyBorder="1" applyAlignment="1" applyProtection="1">
      <alignment vertical="center"/>
      <protection hidden="1"/>
    </xf>
    <xf numFmtId="10" fontId="4" fillId="38" borderId="10" xfId="0" applyNumberFormat="1" applyFont="1" applyFill="1" applyBorder="1" applyAlignment="1">
      <alignment vertical="center"/>
    </xf>
    <xf numFmtId="0" fontId="2" fillId="38" borderId="0" xfId="0" applyFont="1" applyFill="1" applyBorder="1" applyAlignment="1" applyProtection="1">
      <alignment vertical="center"/>
      <protection/>
    </xf>
    <xf numFmtId="3" fontId="2" fillId="38" borderId="31" xfId="0" applyNumberFormat="1" applyFont="1" applyFill="1" applyBorder="1" applyAlignment="1" applyProtection="1">
      <alignment vertical="center"/>
      <protection/>
    </xf>
    <xf numFmtId="0" fontId="4" fillId="38" borderId="32" xfId="0" applyFont="1" applyFill="1" applyBorder="1" applyAlignment="1">
      <alignment vertical="center"/>
    </xf>
    <xf numFmtId="0" fontId="2" fillId="38" borderId="33" xfId="0" applyFont="1" applyFill="1" applyBorder="1" applyAlignment="1" applyProtection="1">
      <alignment vertical="center"/>
      <protection/>
    </xf>
    <xf numFmtId="0" fontId="0" fillId="38" borderId="33" xfId="0" applyFill="1" applyBorder="1" applyAlignment="1">
      <alignment vertical="center"/>
    </xf>
    <xf numFmtId="0" fontId="0" fillId="38" borderId="34" xfId="0" applyFill="1" applyBorder="1" applyAlignment="1">
      <alignment vertical="center"/>
    </xf>
    <xf numFmtId="0" fontId="0" fillId="38" borderId="10" xfId="0" applyFont="1" applyFill="1" applyBorder="1" applyAlignment="1">
      <alignment vertical="center"/>
    </xf>
    <xf numFmtId="0" fontId="0" fillId="38" borderId="0" xfId="0" applyFont="1" applyFill="1" applyBorder="1" applyAlignment="1">
      <alignment vertical="center"/>
    </xf>
    <xf numFmtId="0" fontId="0" fillId="38" borderId="35" xfId="0" applyFont="1" applyFill="1" applyBorder="1" applyAlignment="1" quotePrefix="1">
      <alignment vertical="center"/>
    </xf>
    <xf numFmtId="0" fontId="0" fillId="38" borderId="11" xfId="0" applyFont="1" applyFill="1" applyBorder="1" applyAlignment="1">
      <alignment vertical="center"/>
    </xf>
    <xf numFmtId="0" fontId="7" fillId="38" borderId="10" xfId="0" applyFont="1" applyFill="1" applyBorder="1" applyAlignment="1">
      <alignment vertical="center"/>
    </xf>
    <xf numFmtId="0" fontId="7" fillId="38" borderId="35" xfId="0" applyFont="1" applyFill="1" applyBorder="1" applyAlignment="1" quotePrefix="1">
      <alignment vertical="center"/>
    </xf>
    <xf numFmtId="0" fontId="16" fillId="38" borderId="10" xfId="0" applyFont="1" applyFill="1" applyBorder="1" applyAlignment="1">
      <alignment vertical="center"/>
    </xf>
    <xf numFmtId="0" fontId="0" fillId="38" borderId="0" xfId="0" applyFont="1" applyFill="1" applyBorder="1" applyAlignment="1">
      <alignment vertical="center"/>
    </xf>
    <xf numFmtId="0" fontId="0" fillId="38" borderId="0" xfId="0" applyFont="1" applyFill="1" applyBorder="1" applyAlignment="1" quotePrefix="1">
      <alignment vertical="center"/>
    </xf>
    <xf numFmtId="0" fontId="0" fillId="38" borderId="35" xfId="0" applyFont="1" applyFill="1" applyBorder="1" applyAlignment="1">
      <alignment vertical="center"/>
    </xf>
    <xf numFmtId="0" fontId="0" fillId="38" borderId="11" xfId="0" applyFont="1" applyFill="1" applyBorder="1" applyAlignment="1">
      <alignment vertical="center"/>
    </xf>
    <xf numFmtId="0" fontId="0" fillId="38" borderId="10" xfId="0" applyFont="1" applyFill="1" applyBorder="1" applyAlignment="1">
      <alignment vertical="center"/>
    </xf>
    <xf numFmtId="0" fontId="0" fillId="38" borderId="26" xfId="0" applyFont="1" applyFill="1" applyBorder="1" applyAlignment="1">
      <alignment vertical="center"/>
    </xf>
    <xf numFmtId="0" fontId="7" fillId="38" borderId="36" xfId="0" applyFont="1" applyFill="1" applyBorder="1" applyAlignment="1">
      <alignment vertical="center"/>
    </xf>
    <xf numFmtId="2" fontId="7" fillId="38" borderId="31" xfId="0" applyNumberFormat="1" applyFont="1" applyFill="1" applyBorder="1" applyAlignment="1">
      <alignment vertical="center"/>
    </xf>
    <xf numFmtId="0" fontId="7" fillId="38" borderId="0" xfId="0" applyFont="1" applyFill="1" applyBorder="1" applyAlignment="1" applyProtection="1">
      <alignment vertical="center"/>
      <protection/>
    </xf>
    <xf numFmtId="0" fontId="0" fillId="38" borderId="0" xfId="0" applyFont="1" applyFill="1" applyBorder="1" applyAlignment="1" quotePrefix="1">
      <alignment vertical="center"/>
    </xf>
    <xf numFmtId="0" fontId="0" fillId="38" borderId="35" xfId="0" applyFont="1" applyFill="1" applyBorder="1" applyAlignment="1">
      <alignment vertical="center"/>
    </xf>
    <xf numFmtId="10" fontId="7" fillId="38" borderId="36" xfId="0" applyNumberFormat="1" applyFont="1" applyFill="1" applyBorder="1" applyAlignment="1">
      <alignment vertical="center"/>
    </xf>
    <xf numFmtId="0" fontId="7" fillId="38" borderId="35" xfId="0" applyFont="1" applyFill="1" applyBorder="1" applyAlignment="1">
      <alignment vertical="center"/>
    </xf>
    <xf numFmtId="10" fontId="7" fillId="38" borderId="31" xfId="0" applyNumberFormat="1" applyFont="1" applyFill="1" applyBorder="1" applyAlignment="1">
      <alignment vertical="center"/>
    </xf>
    <xf numFmtId="0" fontId="0" fillId="38" borderId="10" xfId="0" applyFill="1" applyBorder="1" applyAlignment="1">
      <alignment vertical="center"/>
    </xf>
    <xf numFmtId="0" fontId="0" fillId="38" borderId="35" xfId="0" applyFill="1" applyBorder="1" applyAlignment="1">
      <alignment vertical="center"/>
    </xf>
    <xf numFmtId="0" fontId="0" fillId="38" borderId="0" xfId="0" applyFill="1" applyBorder="1" applyAlignment="1" quotePrefix="1">
      <alignment vertical="center"/>
    </xf>
    <xf numFmtId="3" fontId="7" fillId="38" borderId="36" xfId="0" applyNumberFormat="1" applyFont="1" applyFill="1" applyBorder="1" applyAlignment="1">
      <alignment vertical="center"/>
    </xf>
    <xf numFmtId="0" fontId="0" fillId="38" borderId="35" xfId="0" applyFill="1" applyBorder="1" applyAlignment="1" quotePrefix="1">
      <alignment vertical="center"/>
    </xf>
    <xf numFmtId="0" fontId="0" fillId="38" borderId="0" xfId="0" applyFont="1" applyFill="1" applyBorder="1" applyAlignment="1">
      <alignment vertical="center"/>
    </xf>
    <xf numFmtId="3" fontId="7" fillId="38" borderId="31" xfId="0" applyNumberFormat="1" applyFont="1" applyFill="1" applyBorder="1" applyAlignment="1">
      <alignment vertical="center"/>
    </xf>
    <xf numFmtId="3" fontId="7" fillId="38" borderId="0" xfId="0" applyNumberFormat="1" applyFont="1" applyFill="1" applyBorder="1" applyAlignment="1">
      <alignment vertical="center"/>
    </xf>
    <xf numFmtId="0" fontId="7" fillId="38" borderId="0" xfId="0" applyFont="1" applyFill="1" applyBorder="1" applyAlignment="1">
      <alignment vertical="center"/>
    </xf>
    <xf numFmtId="0" fontId="0" fillId="38" borderId="16" xfId="0" applyFont="1" applyFill="1" applyBorder="1" applyAlignment="1">
      <alignment vertical="center"/>
    </xf>
    <xf numFmtId="0" fontId="0" fillId="38" borderId="16" xfId="0" applyFill="1" applyBorder="1" applyAlignment="1" quotePrefix="1">
      <alignment vertical="center"/>
    </xf>
    <xf numFmtId="0" fontId="0" fillId="38" borderId="16" xfId="0" applyFont="1" applyFill="1" applyBorder="1" applyAlignment="1">
      <alignment vertical="center"/>
    </xf>
    <xf numFmtId="0" fontId="0" fillId="38" borderId="16" xfId="0" applyFill="1" applyBorder="1" applyAlignment="1">
      <alignment vertical="center"/>
    </xf>
    <xf numFmtId="0" fontId="3" fillId="38" borderId="24" xfId="0" applyFont="1" applyFill="1" applyBorder="1" applyAlignment="1">
      <alignment horizontal="left" vertical="center" wrapText="1"/>
    </xf>
    <xf numFmtId="0" fontId="3" fillId="38" borderId="30" xfId="0" applyFont="1" applyFill="1" applyBorder="1" applyAlignment="1">
      <alignment horizontal="left" vertical="center" wrapText="1"/>
    </xf>
    <xf numFmtId="0" fontId="7" fillId="38" borderId="30" xfId="0" applyFont="1" applyFill="1" applyBorder="1" applyAlignment="1">
      <alignment horizontal="center" vertical="center"/>
    </xf>
    <xf numFmtId="0" fontId="0" fillId="38" borderId="30" xfId="0" applyFill="1" applyBorder="1" applyAlignment="1">
      <alignment vertical="center"/>
    </xf>
    <xf numFmtId="0" fontId="0" fillId="38" borderId="25" xfId="0" applyFill="1" applyBorder="1" applyAlignment="1">
      <alignment vertical="center"/>
    </xf>
    <xf numFmtId="0" fontId="7" fillId="38" borderId="0" xfId="0" applyFont="1" applyFill="1" applyBorder="1" applyAlignment="1">
      <alignment/>
    </xf>
    <xf numFmtId="0" fontId="0" fillId="38" borderId="28" xfId="0" applyFill="1" applyBorder="1" applyAlignment="1">
      <alignment vertical="center"/>
    </xf>
    <xf numFmtId="0" fontId="0" fillId="38" borderId="29" xfId="0" applyFill="1" applyBorder="1" applyAlignment="1">
      <alignment vertical="center"/>
    </xf>
    <xf numFmtId="0" fontId="0" fillId="38" borderId="29" xfId="0" applyFill="1" applyBorder="1" applyAlignment="1" quotePrefix="1">
      <alignment vertical="center"/>
    </xf>
    <xf numFmtId="3" fontId="7" fillId="38" borderId="29" xfId="0" applyNumberFormat="1" applyFont="1" applyFill="1" applyBorder="1" applyAlignment="1">
      <alignment vertical="center"/>
    </xf>
    <xf numFmtId="0" fontId="0" fillId="38" borderId="29" xfId="0" applyFont="1" applyFill="1" applyBorder="1" applyAlignment="1">
      <alignment vertical="center"/>
    </xf>
    <xf numFmtId="0" fontId="0" fillId="38" borderId="29" xfId="0" applyFill="1" applyBorder="1" applyAlignment="1">
      <alignment/>
    </xf>
    <xf numFmtId="0" fontId="0" fillId="38" borderId="15" xfId="0" applyFill="1" applyBorder="1" applyAlignment="1">
      <alignment vertical="center"/>
    </xf>
    <xf numFmtId="180" fontId="68" fillId="33" borderId="10" xfId="0" applyNumberFormat="1" applyFont="1" applyFill="1" applyBorder="1" applyAlignment="1">
      <alignment vertical="center"/>
    </xf>
    <xf numFmtId="180" fontId="68" fillId="33" borderId="0" xfId="0" applyNumberFormat="1" applyFont="1" applyFill="1" applyBorder="1" applyAlignment="1">
      <alignment vertical="center"/>
    </xf>
    <xf numFmtId="180" fontId="68" fillId="33" borderId="11" xfId="0" applyNumberFormat="1" applyFont="1" applyFill="1" applyBorder="1" applyAlignment="1">
      <alignment vertical="center"/>
    </xf>
    <xf numFmtId="0" fontId="0" fillId="39" borderId="16" xfId="0" applyFont="1" applyFill="1" applyBorder="1" applyAlignment="1">
      <alignment/>
    </xf>
    <xf numFmtId="0" fontId="0" fillId="33" borderId="0" xfId="0" applyFont="1" applyFill="1" applyAlignment="1">
      <alignment/>
    </xf>
    <xf numFmtId="0" fontId="4" fillId="33" borderId="37" xfId="0" applyFont="1" applyFill="1" applyBorder="1" applyAlignment="1">
      <alignment vertical="center"/>
    </xf>
    <xf numFmtId="0" fontId="0" fillId="0" borderId="16" xfId="0" applyFont="1" applyBorder="1" applyAlignment="1">
      <alignment/>
    </xf>
    <xf numFmtId="0" fontId="4" fillId="33" borderId="0" xfId="0" applyFont="1" applyFill="1" applyBorder="1" applyAlignment="1">
      <alignment horizontal="left" vertical="center"/>
    </xf>
    <xf numFmtId="2" fontId="18" fillId="33" borderId="0" xfId="0" applyNumberFormat="1" applyFont="1" applyFill="1" applyBorder="1" applyAlignment="1">
      <alignment horizontal="center" vertical="center"/>
    </xf>
    <xf numFmtId="0" fontId="4" fillId="33" borderId="26" xfId="0" applyFont="1" applyFill="1" applyBorder="1" applyAlignment="1">
      <alignment vertical="center"/>
    </xf>
    <xf numFmtId="0" fontId="4" fillId="33" borderId="26" xfId="0" applyFont="1" applyFill="1" applyBorder="1" applyAlignment="1" quotePrefix="1">
      <alignment vertical="center"/>
    </xf>
    <xf numFmtId="2" fontId="19" fillId="35" borderId="16" xfId="0" applyNumberFormat="1" applyFont="1" applyFill="1" applyBorder="1" applyAlignment="1">
      <alignment horizontal="center" vertical="center"/>
    </xf>
    <xf numFmtId="2" fontId="19" fillId="33" borderId="20" xfId="0" applyNumberFormat="1" applyFont="1" applyFill="1" applyBorder="1" applyAlignment="1">
      <alignment horizontal="center" vertical="center"/>
    </xf>
    <xf numFmtId="2" fontId="2" fillId="27" borderId="16" xfId="0" applyNumberFormat="1" applyFont="1" applyFill="1" applyBorder="1" applyAlignment="1">
      <alignment horizontal="center" vertical="center"/>
    </xf>
    <xf numFmtId="0" fontId="22" fillId="27" borderId="16" xfId="0" applyNumberFormat="1" applyFont="1" applyFill="1" applyBorder="1" applyAlignment="1">
      <alignment horizontal="center" vertical="center" wrapText="1"/>
    </xf>
    <xf numFmtId="0" fontId="27" fillId="33" borderId="0" xfId="0" applyFont="1" applyFill="1" applyAlignment="1">
      <alignment/>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3" fillId="33" borderId="26" xfId="0" applyFont="1" applyFill="1" applyBorder="1" applyAlignment="1">
      <alignment horizontal="left" vertical="center"/>
    </xf>
    <xf numFmtId="2" fontId="22" fillId="35" borderId="16" xfId="0" applyNumberFormat="1" applyFont="1" applyFill="1" applyBorder="1" applyAlignment="1">
      <alignment horizontal="center" vertical="center"/>
    </xf>
    <xf numFmtId="2" fontId="2" fillId="35" borderId="16" xfId="0" applyNumberFormat="1" applyFont="1" applyFill="1" applyBorder="1" applyAlignment="1">
      <alignment horizontal="center" vertical="center"/>
    </xf>
    <xf numFmtId="0" fontId="0" fillId="39" borderId="16" xfId="0" applyFill="1" applyBorder="1" applyAlignment="1">
      <alignment/>
    </xf>
    <xf numFmtId="0" fontId="0" fillId="37" borderId="16" xfId="0" applyFill="1" applyBorder="1" applyAlignment="1">
      <alignment/>
    </xf>
    <xf numFmtId="0" fontId="0" fillId="40" borderId="16" xfId="0" applyFill="1" applyBorder="1" applyAlignment="1">
      <alignment/>
    </xf>
    <xf numFmtId="0" fontId="0" fillId="40" borderId="0" xfId="0" applyFont="1" applyFill="1" applyAlignment="1">
      <alignment/>
    </xf>
    <xf numFmtId="0" fontId="0" fillId="40" borderId="0" xfId="0" applyFill="1" applyAlignment="1">
      <alignment/>
    </xf>
    <xf numFmtId="0" fontId="0" fillId="40" borderId="16" xfId="0" applyFont="1" applyFill="1" applyBorder="1" applyAlignment="1">
      <alignment/>
    </xf>
    <xf numFmtId="0" fontId="0" fillId="40" borderId="16" xfId="0" applyNumberFormat="1" applyFont="1" applyFill="1" applyBorder="1" applyAlignment="1">
      <alignment/>
    </xf>
    <xf numFmtId="0" fontId="0" fillId="41" borderId="0" xfId="0" applyFill="1" applyAlignment="1">
      <alignment/>
    </xf>
    <xf numFmtId="0" fontId="0" fillId="41" borderId="16" xfId="0" applyFont="1" applyFill="1" applyBorder="1" applyAlignment="1">
      <alignment/>
    </xf>
    <xf numFmtId="0" fontId="0" fillId="41" borderId="16" xfId="0" applyFill="1" applyBorder="1" applyAlignment="1">
      <alignment/>
    </xf>
    <xf numFmtId="0" fontId="0" fillId="41" borderId="16" xfId="0" applyNumberFormat="1" applyFont="1" applyFill="1" applyBorder="1" applyAlignment="1">
      <alignment/>
    </xf>
    <xf numFmtId="0" fontId="0" fillId="37" borderId="0" xfId="0" applyFont="1" applyFill="1" applyBorder="1" applyAlignment="1">
      <alignment/>
    </xf>
    <xf numFmtId="0" fontId="0" fillId="39" borderId="0" xfId="0" applyFont="1" applyFill="1" applyBorder="1" applyAlignment="1">
      <alignment/>
    </xf>
    <xf numFmtId="0" fontId="69" fillId="33" borderId="38" xfId="0" applyFont="1" applyFill="1" applyBorder="1" applyAlignment="1">
      <alignment vertical="center" wrapText="1"/>
    </xf>
    <xf numFmtId="0" fontId="10" fillId="33" borderId="3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180" fontId="5" fillId="33" borderId="10" xfId="0" applyNumberFormat="1" applyFont="1" applyFill="1" applyBorder="1" applyAlignment="1">
      <alignment horizontal="center" vertical="center" wrapText="1"/>
    </xf>
    <xf numFmtId="180" fontId="70" fillId="33" borderId="0" xfId="0" applyNumberFormat="1" applyFont="1" applyFill="1" applyBorder="1" applyAlignment="1">
      <alignment horizontal="center" vertical="center"/>
    </xf>
    <xf numFmtId="180" fontId="70" fillId="33" borderId="11" xfId="0" applyNumberFormat="1" applyFont="1" applyFill="1" applyBorder="1" applyAlignment="1">
      <alignment horizontal="center" vertical="center"/>
    </xf>
    <xf numFmtId="0" fontId="4" fillId="33" borderId="26" xfId="0" applyFont="1" applyFill="1" applyBorder="1" applyAlignment="1">
      <alignment horizontal="left" vertical="center"/>
    </xf>
    <xf numFmtId="0" fontId="2" fillId="36" borderId="27" xfId="0" applyFont="1" applyFill="1" applyBorder="1" applyAlignment="1" applyProtection="1">
      <alignment horizontal="center" vertical="center"/>
      <protection locked="0"/>
    </xf>
    <xf numFmtId="0" fontId="2" fillId="36" borderId="39" xfId="0" applyFont="1" applyFill="1" applyBorder="1" applyAlignment="1" applyProtection="1">
      <alignment horizontal="center" vertical="center"/>
      <protection locked="0"/>
    </xf>
    <xf numFmtId="0" fontId="0" fillId="37" borderId="0" xfId="0" applyFill="1" applyBorder="1" applyAlignment="1">
      <alignment horizontal="center"/>
    </xf>
    <xf numFmtId="0" fontId="4" fillId="33" borderId="37" xfId="0" applyFont="1" applyFill="1" applyBorder="1" applyAlignment="1">
      <alignment horizontal="left" vertical="center"/>
    </xf>
    <xf numFmtId="3" fontId="2" fillId="36" borderId="27" xfId="0" applyNumberFormat="1" applyFont="1" applyFill="1" applyBorder="1" applyAlignment="1" applyProtection="1">
      <alignment horizontal="center" vertical="center"/>
      <protection locked="0"/>
    </xf>
    <xf numFmtId="3" fontId="2" fillId="36" borderId="20" xfId="0" applyNumberFormat="1" applyFont="1" applyFill="1" applyBorder="1" applyAlignment="1" applyProtection="1">
      <alignment horizontal="center" vertical="center"/>
      <protection locked="0"/>
    </xf>
    <xf numFmtId="3" fontId="2" fillId="36" borderId="39" xfId="0" applyNumberFormat="1" applyFont="1" applyFill="1" applyBorder="1" applyAlignment="1" applyProtection="1">
      <alignment horizontal="center" vertical="center"/>
      <protection locked="0"/>
    </xf>
    <xf numFmtId="180" fontId="2" fillId="42" borderId="21" xfId="0" applyNumberFormat="1" applyFont="1" applyFill="1" applyBorder="1" applyAlignment="1">
      <alignment horizontal="left" vertical="center"/>
    </xf>
    <xf numFmtId="180" fontId="2" fillId="42" borderId="40" xfId="0" applyNumberFormat="1" applyFont="1" applyFill="1" applyBorder="1" applyAlignment="1">
      <alignment horizontal="left" vertical="center"/>
    </xf>
    <xf numFmtId="0" fontId="4" fillId="33" borderId="0" xfId="0" applyFont="1" applyFill="1" applyBorder="1" applyAlignment="1">
      <alignment horizontal="left" vertical="center" wrapText="1"/>
    </xf>
    <xf numFmtId="0" fontId="0" fillId="0" borderId="39" xfId="0" applyBorder="1" applyAlignment="1" applyProtection="1">
      <alignment/>
      <protection locked="0"/>
    </xf>
    <xf numFmtId="0" fontId="2" fillId="36" borderId="27" xfId="0" applyFont="1" applyFill="1" applyBorder="1" applyAlignment="1" applyProtection="1">
      <alignment horizontal="center" vertical="center" wrapText="1"/>
      <protection locked="0"/>
    </xf>
    <xf numFmtId="0" fontId="2" fillId="36" borderId="20" xfId="0" applyFont="1" applyFill="1" applyBorder="1" applyAlignment="1" applyProtection="1">
      <alignment horizontal="center" vertical="center" wrapText="1"/>
      <protection locked="0"/>
    </xf>
    <xf numFmtId="0" fontId="2" fillId="36" borderId="39"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protection/>
    </xf>
    <xf numFmtId="0" fontId="2" fillId="0" borderId="39" xfId="0" applyFont="1" applyFill="1" applyBorder="1" applyAlignment="1" applyProtection="1">
      <alignment horizontal="center" vertical="center"/>
      <protection/>
    </xf>
    <xf numFmtId="0" fontId="4" fillId="33" borderId="26" xfId="0" applyFont="1" applyFill="1" applyBorder="1" applyAlignment="1" applyProtection="1">
      <alignment horizontal="left" vertical="center" wrapText="1"/>
      <protection/>
    </xf>
    <xf numFmtId="180" fontId="2" fillId="42" borderId="41" xfId="0" applyNumberFormat="1" applyFont="1" applyFill="1" applyBorder="1" applyAlignment="1">
      <alignment horizontal="right" vertical="center"/>
    </xf>
    <xf numFmtId="180" fontId="2" fillId="42" borderId="21" xfId="0" applyNumberFormat="1" applyFont="1" applyFill="1" applyBorder="1" applyAlignment="1">
      <alignment horizontal="right" vertical="center"/>
    </xf>
    <xf numFmtId="191" fontId="2" fillId="42" borderId="26" xfId="0" applyNumberFormat="1" applyFont="1" applyFill="1" applyBorder="1" applyAlignment="1">
      <alignment horizontal="left" vertical="center"/>
    </xf>
    <xf numFmtId="191" fontId="2" fillId="42" borderId="37" xfId="0" applyNumberFormat="1" applyFont="1" applyFill="1" applyBorder="1" applyAlignment="1">
      <alignment horizontal="left" vertical="center"/>
    </xf>
    <xf numFmtId="0" fontId="4" fillId="33" borderId="0" xfId="0" applyFont="1" applyFill="1" applyBorder="1" applyAlignment="1">
      <alignment horizontal="left" vertical="center"/>
    </xf>
    <xf numFmtId="0" fontId="4" fillId="33" borderId="42"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24" fillId="35" borderId="16" xfId="0" applyFont="1" applyFill="1" applyBorder="1" applyAlignment="1">
      <alignment horizontal="center" vertical="center" wrapText="1"/>
    </xf>
    <xf numFmtId="0" fontId="24" fillId="35" borderId="16" xfId="0" applyFont="1" applyFill="1" applyBorder="1" applyAlignment="1">
      <alignment horizontal="center" vertical="center"/>
    </xf>
    <xf numFmtId="180" fontId="2" fillId="42" borderId="43" xfId="0" applyNumberFormat="1" applyFont="1" applyFill="1" applyBorder="1" applyAlignment="1">
      <alignment horizontal="right" vertical="center"/>
    </xf>
    <xf numFmtId="180" fontId="2" fillId="42" borderId="26" xfId="0" applyNumberFormat="1" applyFont="1" applyFill="1" applyBorder="1" applyAlignment="1">
      <alignment horizontal="right"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33" borderId="27"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81"/>
  <sheetViews>
    <sheetView tabSelected="1" zoomScalePageLayoutView="0" workbookViewId="0" topLeftCell="A1">
      <selection activeCell="D10" sqref="D10:H10"/>
    </sheetView>
  </sheetViews>
  <sheetFormatPr defaultColWidth="0" defaultRowHeight="12.75" zeroHeight="1"/>
  <cols>
    <col min="1" max="1" width="26.421875" style="33" customWidth="1"/>
    <col min="2" max="2" width="40.421875" style="33" customWidth="1"/>
    <col min="3" max="3" width="18.7109375" style="33" customWidth="1"/>
    <col min="4" max="5" width="10.7109375" style="33" customWidth="1"/>
    <col min="6" max="8" width="20.7109375" style="33" customWidth="1"/>
    <col min="9" max="9" width="15.7109375" style="33" customWidth="1"/>
    <col min="10" max="10" width="2.7109375" style="33" customWidth="1"/>
    <col min="11" max="11" width="16.7109375" style="33" hidden="1" customWidth="1"/>
    <col min="12" max="14" width="11.421875" style="33" hidden="1" customWidth="1"/>
    <col min="15" max="15" width="16.7109375" style="33" hidden="1" customWidth="1"/>
    <col min="16" max="16" width="11.421875" style="33" hidden="1" customWidth="1"/>
    <col min="17" max="17" width="16.7109375" style="33" hidden="1" customWidth="1"/>
    <col min="18" max="18" width="11.421875" style="33" hidden="1" customWidth="1"/>
    <col min="19" max="16384" width="11.421875" style="33" hidden="1" customWidth="1"/>
  </cols>
  <sheetData>
    <row r="1" spans="1:10" ht="73.5" customHeight="1">
      <c r="A1" s="88"/>
      <c r="B1" s="254" t="s">
        <v>46</v>
      </c>
      <c r="C1" s="254"/>
      <c r="D1" s="254"/>
      <c r="E1" s="254"/>
      <c r="F1" s="254"/>
      <c r="G1" s="254"/>
      <c r="H1" s="254"/>
      <c r="I1" s="89"/>
      <c r="J1" s="1"/>
    </row>
    <row r="2" spans="1:10" ht="60" customHeight="1">
      <c r="A2" s="259" t="s">
        <v>51</v>
      </c>
      <c r="B2" s="260"/>
      <c r="C2" s="260"/>
      <c r="D2" s="260"/>
      <c r="E2" s="260"/>
      <c r="F2" s="260"/>
      <c r="G2" s="260"/>
      <c r="H2" s="260"/>
      <c r="I2" s="261"/>
      <c r="J2" s="1"/>
    </row>
    <row r="3" spans="1:10" s="142" customFormat="1" ht="37.5" customHeight="1">
      <c r="A3" s="219"/>
      <c r="B3" s="220"/>
      <c r="C3" s="280" t="s">
        <v>77</v>
      </c>
      <c r="D3" s="281"/>
      <c r="E3" s="270">
        <v>42353</v>
      </c>
      <c r="F3" s="271"/>
      <c r="G3" s="220"/>
      <c r="H3" s="220"/>
      <c r="I3" s="221"/>
      <c r="J3" s="141"/>
    </row>
    <row r="4" spans="1:10" s="142" customFormat="1" ht="37.5" customHeight="1">
      <c r="A4" s="219"/>
      <c r="B4" s="220"/>
      <c r="C4" s="294" t="s">
        <v>76</v>
      </c>
      <c r="D4" s="295"/>
      <c r="E4" s="282" t="s">
        <v>78</v>
      </c>
      <c r="F4" s="283"/>
      <c r="G4" s="220"/>
      <c r="H4" s="220"/>
      <c r="I4" s="221"/>
      <c r="J4" s="141"/>
    </row>
    <row r="5" spans="1:10" ht="60" customHeight="1">
      <c r="A5" s="296" t="s">
        <v>80</v>
      </c>
      <c r="B5" s="297"/>
      <c r="C5" s="297"/>
      <c r="D5" s="297"/>
      <c r="E5" s="297"/>
      <c r="F5" s="297"/>
      <c r="G5" s="297"/>
      <c r="H5" s="297"/>
      <c r="I5" s="298"/>
      <c r="J5" s="1"/>
    </row>
    <row r="6" spans="1:10" ht="9" customHeight="1">
      <c r="A6" s="18"/>
      <c r="B6" s="20"/>
      <c r="C6" s="90"/>
      <c r="D6" s="21"/>
      <c r="E6" s="21"/>
      <c r="F6" s="21"/>
      <c r="G6" s="21"/>
      <c r="H6" s="90"/>
      <c r="I6" s="19"/>
      <c r="J6" s="1"/>
    </row>
    <row r="7" spans="1:10" ht="18" customHeight="1">
      <c r="A7" s="18"/>
      <c r="B7" s="22"/>
      <c r="C7" s="35"/>
      <c r="D7" s="23"/>
      <c r="E7" s="34"/>
      <c r="F7" s="35"/>
      <c r="G7" s="35"/>
      <c r="H7" s="35"/>
      <c r="I7" s="32"/>
      <c r="J7" s="1"/>
    </row>
    <row r="8" spans="1:10" s="110" customFormat="1" ht="24" customHeight="1">
      <c r="A8" s="107"/>
      <c r="B8" s="106" t="s">
        <v>41</v>
      </c>
      <c r="C8" s="29"/>
      <c r="D8" s="29"/>
      <c r="E8" s="29"/>
      <c r="F8" s="29"/>
      <c r="G8" s="29"/>
      <c r="H8" s="29"/>
      <c r="I8" s="108"/>
      <c r="J8" s="109"/>
    </row>
    <row r="9" spans="1:10" ht="9" customHeight="1">
      <c r="A9" s="96"/>
      <c r="B9" s="97"/>
      <c r="C9" s="97"/>
      <c r="D9" s="97"/>
      <c r="E9" s="97"/>
      <c r="F9" s="97"/>
      <c r="G9" s="97"/>
      <c r="H9" s="24"/>
      <c r="I9" s="25"/>
      <c r="J9" s="2"/>
    </row>
    <row r="10" spans="1:10" ht="24" customHeight="1">
      <c r="A10" s="99"/>
      <c r="B10" s="279" t="s">
        <v>41</v>
      </c>
      <c r="C10" s="279"/>
      <c r="D10" s="274" t="s">
        <v>24</v>
      </c>
      <c r="E10" s="275"/>
      <c r="F10" s="275"/>
      <c r="G10" s="275"/>
      <c r="H10" s="276"/>
      <c r="I10" s="26"/>
      <c r="J10" s="3"/>
    </row>
    <row r="11" spans="1:10" ht="9.75" customHeight="1">
      <c r="A11" s="27"/>
      <c r="B11" s="118"/>
      <c r="C11" s="118"/>
      <c r="D11" s="118"/>
      <c r="E11" s="118"/>
      <c r="F11" s="118"/>
      <c r="G11" s="147"/>
      <c r="H11" s="135"/>
      <c r="I11" s="136"/>
      <c r="J11" s="3"/>
    </row>
    <row r="12" spans="1:10" ht="24" customHeight="1">
      <c r="A12" s="27"/>
      <c r="B12" s="279" t="s">
        <v>81</v>
      </c>
      <c r="C12" s="279"/>
      <c r="D12" s="267"/>
      <c r="E12" s="268"/>
      <c r="F12" s="268"/>
      <c r="G12" s="268"/>
      <c r="H12" s="269"/>
      <c r="I12" s="136"/>
      <c r="J12" s="3"/>
    </row>
    <row r="13" spans="1:10" ht="9.75" customHeight="1">
      <c r="A13" s="27"/>
      <c r="B13" s="134"/>
      <c r="C13" s="134"/>
      <c r="D13" s="134"/>
      <c r="E13" s="134"/>
      <c r="F13" s="134"/>
      <c r="G13" s="147"/>
      <c r="H13" s="135"/>
      <c r="I13" s="136"/>
      <c r="J13" s="3"/>
    </row>
    <row r="14" spans="1:10" ht="25.5" customHeight="1">
      <c r="A14" s="99"/>
      <c r="B14" s="262" t="s">
        <v>63</v>
      </c>
      <c r="C14" s="262"/>
      <c r="D14" s="277">
        <f>VLOOKUP(D10,A148:G400,2,FALSE)</f>
        <v>0</v>
      </c>
      <c r="E14" s="278"/>
      <c r="F14" s="135"/>
      <c r="G14" s="147"/>
      <c r="H14" s="135"/>
      <c r="I14" s="136"/>
      <c r="J14" s="3"/>
    </row>
    <row r="15" spans="1:10" ht="9.75" customHeight="1">
      <c r="A15" s="27"/>
      <c r="B15" s="134"/>
      <c r="C15" s="134"/>
      <c r="D15" s="134"/>
      <c r="E15" s="134"/>
      <c r="F15" s="134"/>
      <c r="G15" s="147"/>
      <c r="H15" s="135"/>
      <c r="I15" s="136"/>
      <c r="J15" s="3"/>
    </row>
    <row r="16" spans="1:10" ht="25.5" customHeight="1">
      <c r="A16" s="99"/>
      <c r="B16" s="262" t="s">
        <v>101</v>
      </c>
      <c r="C16" s="262"/>
      <c r="D16" s="267">
        <f>C49</f>
        <v>1E-06</v>
      </c>
      <c r="E16" s="273"/>
      <c r="F16" s="253">
        <f>IF(VLOOKUP(D10,A149:I400,5,FALSE)&lt;&gt;D16,"(saisie de l'utilisateur)","")</f>
      </c>
      <c r="G16" s="272" t="s">
        <v>106</v>
      </c>
      <c r="H16" s="272"/>
      <c r="I16" s="136"/>
      <c r="J16" s="3"/>
    </row>
    <row r="17" spans="1:10" ht="9" customHeight="1">
      <c r="A17" s="27"/>
      <c r="B17" s="118"/>
      <c r="C17" s="118"/>
      <c r="D17" s="118"/>
      <c r="E17" s="118"/>
      <c r="F17" s="134"/>
      <c r="G17" s="272"/>
      <c r="H17" s="272"/>
      <c r="I17" s="136"/>
      <c r="J17" s="3"/>
    </row>
    <row r="18" spans="1:10" ht="24" customHeight="1">
      <c r="A18" s="99"/>
      <c r="B18" s="228" t="s">
        <v>102</v>
      </c>
      <c r="C18" s="224"/>
      <c r="D18" s="267">
        <f>G49</f>
        <v>0</v>
      </c>
      <c r="E18" s="273"/>
      <c r="F18" s="253">
        <f>IF(VLOOKUP(D10,A149:I400,6,FALSE)&lt;&gt;D18,"(saisie de l'utilisateur)","")</f>
      </c>
      <c r="G18" s="272"/>
      <c r="H18" s="272"/>
      <c r="I18" s="100"/>
      <c r="J18" s="4"/>
    </row>
    <row r="19" spans="1:10" ht="19.5" customHeight="1">
      <c r="A19" s="96"/>
      <c r="B19" s="93"/>
      <c r="C19" s="135"/>
      <c r="D19" s="35"/>
      <c r="E19" s="29"/>
      <c r="F19" s="135"/>
      <c r="G19" s="29"/>
      <c r="H19" s="24"/>
      <c r="I19" s="25"/>
      <c r="J19" s="1"/>
    </row>
    <row r="20" spans="1:10" ht="19.5" customHeight="1">
      <c r="A20" s="41"/>
      <c r="B20" s="42"/>
      <c r="C20" s="43"/>
      <c r="D20" s="44"/>
      <c r="E20" s="40"/>
      <c r="F20" s="40"/>
      <c r="G20" s="40"/>
      <c r="H20" s="40"/>
      <c r="I20" s="45"/>
      <c r="J20" s="1"/>
    </row>
    <row r="21" spans="1:10" ht="18" customHeight="1">
      <c r="A21" s="99"/>
      <c r="B21" s="139" t="s">
        <v>47</v>
      </c>
      <c r="C21" s="138"/>
      <c r="D21" s="138"/>
      <c r="E21" s="22"/>
      <c r="F21" s="22"/>
      <c r="G21" s="22"/>
      <c r="H21" s="135"/>
      <c r="I21" s="120"/>
      <c r="J21" s="3"/>
    </row>
    <row r="22" spans="1:10" ht="18" customHeight="1">
      <c r="A22" s="99"/>
      <c r="B22" s="139"/>
      <c r="C22" s="138"/>
      <c r="D22" s="138"/>
      <c r="E22" s="22"/>
      <c r="F22" s="22"/>
      <c r="G22" s="22"/>
      <c r="H22" s="135"/>
      <c r="I22" s="136"/>
      <c r="J22" s="3"/>
    </row>
    <row r="23" spans="1:10" ht="15">
      <c r="A23" s="255" t="s">
        <v>2</v>
      </c>
      <c r="B23" s="256"/>
      <c r="C23" s="256"/>
      <c r="D23" s="256"/>
      <c r="E23" s="256"/>
      <c r="F23" s="256"/>
      <c r="G23" s="256"/>
      <c r="H23" s="257"/>
      <c r="I23" s="258"/>
      <c r="J23" s="3"/>
    </row>
    <row r="24" spans="1:10" ht="15">
      <c r="A24" s="121"/>
      <c r="B24" s="122"/>
      <c r="C24" s="122"/>
      <c r="D24" s="122"/>
      <c r="E24" s="122"/>
      <c r="F24" s="122"/>
      <c r="G24" s="122"/>
      <c r="H24" s="123"/>
      <c r="I24" s="124"/>
      <c r="J24" s="3"/>
    </row>
    <row r="25" spans="1:10" ht="25.5" customHeight="1">
      <c r="A25" s="30"/>
      <c r="B25" s="28"/>
      <c r="C25" s="28"/>
      <c r="D25" s="137" t="s">
        <v>20</v>
      </c>
      <c r="E25" s="133"/>
      <c r="F25" s="105"/>
      <c r="G25" s="137" t="s">
        <v>21</v>
      </c>
      <c r="H25" s="119"/>
      <c r="I25" s="120"/>
      <c r="J25" s="3"/>
    </row>
    <row r="26" spans="1:10" ht="9.75" customHeight="1">
      <c r="A26" s="96"/>
      <c r="B26" s="125"/>
      <c r="C26" s="125"/>
      <c r="D26" s="97"/>
      <c r="E26" s="35"/>
      <c r="F26" s="35"/>
      <c r="G26" s="97"/>
      <c r="H26" s="24"/>
      <c r="I26" s="25"/>
      <c r="J26" s="1"/>
    </row>
    <row r="27" spans="1:10" ht="25.5" customHeight="1">
      <c r="A27" s="96"/>
      <c r="B27" s="262" t="s">
        <v>32</v>
      </c>
      <c r="C27" s="262"/>
      <c r="D27" s="263">
        <v>0</v>
      </c>
      <c r="E27" s="264"/>
      <c r="F27" s="98"/>
      <c r="G27" s="131">
        <v>0</v>
      </c>
      <c r="H27" s="24"/>
      <c r="I27" s="25"/>
      <c r="J27" s="1"/>
    </row>
    <row r="28" spans="1:10" ht="9.75" customHeight="1">
      <c r="A28" s="96"/>
      <c r="B28" s="97"/>
      <c r="C28" s="97"/>
      <c r="D28" s="97"/>
      <c r="E28" s="130"/>
      <c r="F28" s="35"/>
      <c r="G28" s="97"/>
      <c r="H28" s="24"/>
      <c r="I28" s="25"/>
      <c r="J28" s="1"/>
    </row>
    <row r="29" spans="1:10" ht="25.5" customHeight="1">
      <c r="A29" s="96"/>
      <c r="B29" s="262" t="s">
        <v>45</v>
      </c>
      <c r="C29" s="262"/>
      <c r="D29" s="299">
        <f>D27-D31</f>
        <v>0</v>
      </c>
      <c r="E29" s="300"/>
      <c r="F29" s="98"/>
      <c r="G29" s="132">
        <f>G27-G31</f>
        <v>0</v>
      </c>
      <c r="H29" s="24"/>
      <c r="I29" s="25"/>
      <c r="J29" s="1"/>
    </row>
    <row r="30" spans="1:10" ht="9.75" customHeight="1">
      <c r="A30" s="96"/>
      <c r="B30" s="97"/>
      <c r="C30" s="97"/>
      <c r="D30" s="97"/>
      <c r="E30" s="130"/>
      <c r="F30" s="35"/>
      <c r="G30" s="97"/>
      <c r="H30" s="24"/>
      <c r="I30" s="25"/>
      <c r="J30" s="1"/>
    </row>
    <row r="31" spans="1:10" ht="25.5" customHeight="1">
      <c r="A31" s="96"/>
      <c r="B31" s="262" t="s">
        <v>34</v>
      </c>
      <c r="C31" s="262"/>
      <c r="D31" s="263">
        <v>0</v>
      </c>
      <c r="E31" s="264"/>
      <c r="F31" s="98"/>
      <c r="G31" s="131">
        <v>0</v>
      </c>
      <c r="H31" s="24"/>
      <c r="I31" s="25"/>
      <c r="J31" s="1"/>
    </row>
    <row r="32" spans="1:10" ht="19.5" customHeight="1">
      <c r="A32" s="96"/>
      <c r="B32" s="93"/>
      <c r="C32" s="119"/>
      <c r="D32" s="35"/>
      <c r="E32" s="29"/>
      <c r="F32" s="119"/>
      <c r="G32" s="29"/>
      <c r="H32" s="24"/>
      <c r="I32" s="25"/>
      <c r="J32" s="1"/>
    </row>
    <row r="33" spans="1:10" ht="19.5" customHeight="1">
      <c r="A33" s="41"/>
      <c r="B33" s="42"/>
      <c r="C33" s="43"/>
      <c r="D33" s="44"/>
      <c r="E33" s="40"/>
      <c r="F33" s="40"/>
      <c r="G33" s="40"/>
      <c r="H33" s="40"/>
      <c r="I33" s="45"/>
      <c r="J33" s="1"/>
    </row>
    <row r="34" spans="1:10" ht="18" customHeight="1">
      <c r="A34" s="94"/>
      <c r="B34" s="106" t="s">
        <v>38</v>
      </c>
      <c r="C34" s="35"/>
      <c r="D34" s="35"/>
      <c r="E34" s="35"/>
      <c r="F34" s="116" t="s">
        <v>25</v>
      </c>
      <c r="G34" s="140" t="s">
        <v>31</v>
      </c>
      <c r="H34" s="35"/>
      <c r="I34" s="32"/>
      <c r="J34" s="1"/>
    </row>
    <row r="35" spans="1:9" s="35" customFormat="1" ht="9.75" customHeight="1">
      <c r="A35" s="18"/>
      <c r="B35" s="22"/>
      <c r="F35" s="70"/>
      <c r="G35" s="86"/>
      <c r="I35" s="32"/>
    </row>
    <row r="36" spans="1:10" ht="18" customHeight="1">
      <c r="A36" s="94"/>
      <c r="B36" s="262" t="s">
        <v>40</v>
      </c>
      <c r="C36" s="262"/>
      <c r="D36" s="262"/>
      <c r="E36" s="266"/>
      <c r="F36" s="101">
        <f>D69</f>
        <v>1714.05</v>
      </c>
      <c r="G36" s="38">
        <f>G69</f>
        <v>1714.050000000004</v>
      </c>
      <c r="H36" s="35"/>
      <c r="I36" s="19"/>
      <c r="J36" s="1"/>
    </row>
    <row r="37" spans="1:9" s="35" customFormat="1" ht="9.75" customHeight="1">
      <c r="A37" s="92"/>
      <c r="B37" s="117"/>
      <c r="C37" s="91"/>
      <c r="D37" s="91"/>
      <c r="E37" s="91"/>
      <c r="F37" s="70"/>
      <c r="G37" s="71"/>
      <c r="I37" s="19"/>
    </row>
    <row r="38" spans="1:10" ht="18" customHeight="1">
      <c r="A38" s="94"/>
      <c r="B38" s="262" t="s">
        <v>4</v>
      </c>
      <c r="C38" s="262"/>
      <c r="D38" s="262"/>
      <c r="E38" s="266"/>
      <c r="F38" s="85">
        <f>D73</f>
        <v>0.906</v>
      </c>
      <c r="G38" s="39">
        <f>G73</f>
        <v>1</v>
      </c>
      <c r="H38" s="35"/>
      <c r="I38" s="19"/>
      <c r="J38" s="1"/>
    </row>
    <row r="39" spans="1:9" s="35" customFormat="1" ht="9.75" customHeight="1">
      <c r="A39" s="92"/>
      <c r="B39" s="117"/>
      <c r="C39" s="91"/>
      <c r="D39" s="91"/>
      <c r="E39" s="91"/>
      <c r="F39" s="69"/>
      <c r="G39" s="69"/>
      <c r="I39" s="19"/>
    </row>
    <row r="40" spans="1:10" ht="18" customHeight="1">
      <c r="A40" s="94"/>
      <c r="B40" s="290" t="s">
        <v>48</v>
      </c>
      <c r="C40" s="290"/>
      <c r="D40" s="290"/>
      <c r="E40" s="291"/>
      <c r="F40" s="101" t="s">
        <v>36</v>
      </c>
      <c r="G40" s="38">
        <v>16</v>
      </c>
      <c r="H40" s="35"/>
      <c r="I40" s="19"/>
      <c r="J40" s="2"/>
    </row>
    <row r="41" spans="1:10" s="35" customFormat="1" ht="9.75" customHeight="1">
      <c r="A41" s="95"/>
      <c r="B41" s="125"/>
      <c r="C41" s="28"/>
      <c r="D41" s="28"/>
      <c r="E41" s="28"/>
      <c r="F41" s="66"/>
      <c r="G41" s="67"/>
      <c r="I41" s="19"/>
      <c r="J41" s="68"/>
    </row>
    <row r="42" spans="1:10" ht="18" customHeight="1">
      <c r="A42" s="94"/>
      <c r="B42" s="290" t="s">
        <v>75</v>
      </c>
      <c r="C42" s="290"/>
      <c r="D42" s="290"/>
      <c r="E42" s="291"/>
      <c r="F42" s="101" t="s">
        <v>36</v>
      </c>
      <c r="G42" s="154">
        <f>VLOOKUP(D10,A148:I400,9,FALSE)</f>
        <v>0</v>
      </c>
      <c r="H42" s="35"/>
      <c r="I42" s="25"/>
      <c r="J42" s="2"/>
    </row>
    <row r="43" spans="1:10" ht="15.75" hidden="1">
      <c r="A43" s="206"/>
      <c r="B43" s="207"/>
      <c r="C43" s="207"/>
      <c r="D43" s="208"/>
      <c r="E43" s="207"/>
      <c r="F43" s="207"/>
      <c r="G43" s="208"/>
      <c r="H43" s="209"/>
      <c r="I43" s="210"/>
      <c r="J43" s="3"/>
    </row>
    <row r="44" spans="1:10" ht="16.5" hidden="1" thickBot="1">
      <c r="A44" s="155"/>
      <c r="B44" s="156"/>
      <c r="C44" s="156"/>
      <c r="D44" s="157" t="s">
        <v>25</v>
      </c>
      <c r="E44" s="156"/>
      <c r="F44" s="156"/>
      <c r="G44" s="157" t="s">
        <v>31</v>
      </c>
      <c r="H44" s="158"/>
      <c r="I44" s="159"/>
      <c r="J44" s="3"/>
    </row>
    <row r="45" spans="1:10" ht="18.75" hidden="1" thickBot="1">
      <c r="A45" s="160"/>
      <c r="B45" s="161" t="s">
        <v>29</v>
      </c>
      <c r="C45" s="158"/>
      <c r="D45" s="162">
        <f>+D29</f>
        <v>0</v>
      </c>
      <c r="E45" s="158"/>
      <c r="F45" s="163"/>
      <c r="G45" s="162">
        <f>+G29</f>
        <v>0</v>
      </c>
      <c r="H45" s="158"/>
      <c r="I45" s="159"/>
      <c r="J45" s="3"/>
    </row>
    <row r="46" spans="1:10" ht="18.75" hidden="1" thickBot="1">
      <c r="A46" s="160"/>
      <c r="B46" s="161"/>
      <c r="C46" s="158"/>
      <c r="D46" s="164"/>
      <c r="E46" s="158"/>
      <c r="F46" s="163"/>
      <c r="G46" s="164"/>
      <c r="H46" s="158"/>
      <c r="I46" s="159"/>
      <c r="J46" s="5"/>
    </row>
    <row r="47" spans="1:10" ht="18.75" hidden="1" thickBot="1">
      <c r="A47" s="165"/>
      <c r="B47" s="161" t="s">
        <v>30</v>
      </c>
      <c r="C47" s="158"/>
      <c r="D47" s="162">
        <f>D31</f>
        <v>0</v>
      </c>
      <c r="E47" s="158"/>
      <c r="F47" s="163"/>
      <c r="G47" s="162">
        <f>G31</f>
        <v>0</v>
      </c>
      <c r="H47" s="158"/>
      <c r="I47" s="159"/>
      <c r="J47" s="3"/>
    </row>
    <row r="48" spans="1:10" ht="18.75" hidden="1" thickBot="1">
      <c r="A48" s="160"/>
      <c r="B48" s="166"/>
      <c r="C48" s="158"/>
      <c r="D48" s="158"/>
      <c r="E48" s="158"/>
      <c r="F48" s="158"/>
      <c r="G48" s="158"/>
      <c r="H48" s="158"/>
      <c r="I48" s="159"/>
      <c r="J48" s="3"/>
    </row>
    <row r="49" spans="1:10" ht="18.75" hidden="1" thickBot="1">
      <c r="A49" s="160"/>
      <c r="B49" s="161" t="s">
        <v>88</v>
      </c>
      <c r="C49" s="167">
        <f>VLOOKUP(D10,A148:G400,5,FALSE)</f>
        <v>1E-06</v>
      </c>
      <c r="D49" s="158"/>
      <c r="E49" s="158"/>
      <c r="F49" s="161" t="s">
        <v>89</v>
      </c>
      <c r="G49" s="167">
        <f>VLOOKUP(D10,A148:G400,6,FALSE)</f>
        <v>0</v>
      </c>
      <c r="H49" s="158"/>
      <c r="I49" s="159"/>
      <c r="J49" s="3"/>
    </row>
    <row r="50" spans="1:10" ht="18.75" hidden="1" thickBot="1">
      <c r="A50" s="168"/>
      <c r="B50" s="169"/>
      <c r="C50" s="170"/>
      <c r="D50" s="170"/>
      <c r="E50" s="170"/>
      <c r="F50" s="170"/>
      <c r="G50" s="170"/>
      <c r="H50" s="170"/>
      <c r="I50" s="171"/>
      <c r="J50" s="3"/>
    </row>
    <row r="51" spans="1:10" ht="13.5" hidden="1" thickTop="1">
      <c r="A51" s="172"/>
      <c r="B51" s="173"/>
      <c r="C51" s="173"/>
      <c r="D51" s="173"/>
      <c r="E51" s="174"/>
      <c r="F51" s="173"/>
      <c r="G51" s="173"/>
      <c r="H51" s="173"/>
      <c r="I51" s="175"/>
      <c r="J51" s="3"/>
    </row>
    <row r="52" spans="1:10" ht="12.75" hidden="1">
      <c r="A52" s="176" t="s">
        <v>12</v>
      </c>
      <c r="B52" s="173"/>
      <c r="C52" s="173"/>
      <c r="D52" s="173"/>
      <c r="E52" s="177" t="s">
        <v>23</v>
      </c>
      <c r="F52" s="173"/>
      <c r="G52" s="173"/>
      <c r="H52" s="173"/>
      <c r="I52" s="175"/>
      <c r="J52" s="3"/>
    </row>
    <row r="53" spans="1:10" ht="12.75" hidden="1">
      <c r="A53" s="178" t="s">
        <v>14</v>
      </c>
      <c r="B53" s="179"/>
      <c r="C53" s="179"/>
      <c r="D53" s="180"/>
      <c r="E53" s="181"/>
      <c r="F53" s="179"/>
      <c r="G53" s="179"/>
      <c r="H53" s="179"/>
      <c r="I53" s="182"/>
      <c r="J53" s="6"/>
    </row>
    <row r="54" spans="1:10" ht="12.75" hidden="1">
      <c r="A54" s="183" t="s">
        <v>5</v>
      </c>
      <c r="B54" s="179"/>
      <c r="C54" s="179"/>
      <c r="D54" s="179">
        <v>365</v>
      </c>
      <c r="E54" s="181"/>
      <c r="F54" s="179"/>
      <c r="G54" s="179"/>
      <c r="H54" s="179"/>
      <c r="I54" s="182"/>
      <c r="J54" s="6"/>
    </row>
    <row r="55" spans="1:10" ht="12.75" hidden="1">
      <c r="A55" s="183" t="s">
        <v>6</v>
      </c>
      <c r="B55" s="179"/>
      <c r="C55" s="179"/>
      <c r="D55" s="179">
        <v>-104</v>
      </c>
      <c r="E55" s="181"/>
      <c r="F55" s="179"/>
      <c r="G55" s="179"/>
      <c r="H55" s="179"/>
      <c r="I55" s="182"/>
      <c r="J55" s="6"/>
    </row>
    <row r="56" spans="1:10" ht="12.75" hidden="1">
      <c r="A56" s="183" t="s">
        <v>7</v>
      </c>
      <c r="B56" s="179"/>
      <c r="C56" s="179"/>
      <c r="D56" s="179">
        <v>-25</v>
      </c>
      <c r="E56" s="181"/>
      <c r="F56" s="179"/>
      <c r="G56" s="179"/>
      <c r="H56" s="179"/>
      <c r="I56" s="182"/>
      <c r="J56" s="6"/>
    </row>
    <row r="57" spans="1:10" ht="12.75" hidden="1">
      <c r="A57" s="183" t="s">
        <v>19</v>
      </c>
      <c r="B57" s="179"/>
      <c r="C57" s="179"/>
      <c r="D57" s="179">
        <v>-1.25</v>
      </c>
      <c r="E57" s="181"/>
      <c r="F57" s="179"/>
      <c r="G57" s="179"/>
      <c r="H57" s="179"/>
      <c r="I57" s="182"/>
      <c r="J57" s="6"/>
    </row>
    <row r="58" spans="1:10" ht="12.75" hidden="1">
      <c r="A58" s="183" t="s">
        <v>8</v>
      </c>
      <c r="B58" s="179"/>
      <c r="C58" s="179"/>
      <c r="D58" s="179">
        <v>-10</v>
      </c>
      <c r="E58" s="181"/>
      <c r="F58" s="179"/>
      <c r="G58" s="179"/>
      <c r="H58" s="179"/>
      <c r="I58" s="182"/>
      <c r="J58" s="6"/>
    </row>
    <row r="59" spans="1:10" ht="12.75" hidden="1">
      <c r="A59" s="183" t="s">
        <v>9</v>
      </c>
      <c r="B59" s="179"/>
      <c r="C59" s="179"/>
      <c r="D59" s="179">
        <v>-2</v>
      </c>
      <c r="E59" s="181"/>
      <c r="F59" s="179"/>
      <c r="G59" s="179"/>
      <c r="H59" s="179"/>
      <c r="I59" s="182"/>
      <c r="J59" s="6"/>
    </row>
    <row r="60" spans="1:10" ht="12.75" hidden="1">
      <c r="A60" s="183" t="s">
        <v>10</v>
      </c>
      <c r="B60" s="179"/>
      <c r="C60" s="179"/>
      <c r="D60" s="184">
        <v>-3</v>
      </c>
      <c r="E60" s="181"/>
      <c r="F60" s="179"/>
      <c r="G60" s="179"/>
      <c r="H60" s="179"/>
      <c r="I60" s="182"/>
      <c r="J60" s="6"/>
    </row>
    <row r="61" spans="1:10" ht="12.75" hidden="1">
      <c r="A61" s="183" t="s">
        <v>15</v>
      </c>
      <c r="B61" s="179"/>
      <c r="C61" s="179"/>
      <c r="D61" s="179">
        <f>SUM(D54:D60)</f>
        <v>219.75</v>
      </c>
      <c r="E61" s="181"/>
      <c r="F61" s="179"/>
      <c r="G61" s="179"/>
      <c r="H61" s="179"/>
      <c r="I61" s="182"/>
      <c r="J61" s="6"/>
    </row>
    <row r="62" spans="1:10" ht="12.75" hidden="1">
      <c r="A62" s="183"/>
      <c r="B62" s="179"/>
      <c r="C62" s="179"/>
      <c r="D62" s="179"/>
      <c r="E62" s="181"/>
      <c r="F62" s="179"/>
      <c r="G62" s="179"/>
      <c r="H62" s="179"/>
      <c r="I62" s="182"/>
      <c r="J62" s="6"/>
    </row>
    <row r="63" spans="1:10" ht="12.75" hidden="1">
      <c r="A63" s="178" t="s">
        <v>13</v>
      </c>
      <c r="B63" s="179"/>
      <c r="C63" s="179"/>
      <c r="D63" s="179"/>
      <c r="E63" s="181"/>
      <c r="F63" s="179"/>
      <c r="G63" s="179"/>
      <c r="H63" s="179"/>
      <c r="I63" s="182"/>
      <c r="J63" s="6"/>
    </row>
    <row r="64" spans="1:10" ht="12.75" hidden="1">
      <c r="A64" s="183" t="s">
        <v>17</v>
      </c>
      <c r="B64" s="179"/>
      <c r="C64" s="179"/>
      <c r="D64" s="179">
        <v>8.5</v>
      </c>
      <c r="E64" s="181"/>
      <c r="F64" s="179"/>
      <c r="G64" s="179"/>
      <c r="H64" s="179"/>
      <c r="I64" s="182"/>
      <c r="J64" s="6"/>
    </row>
    <row r="65" spans="1:10" ht="12.75" hidden="1">
      <c r="A65" s="183" t="s">
        <v>11</v>
      </c>
      <c r="B65" s="179"/>
      <c r="C65" s="179"/>
      <c r="D65" s="179">
        <v>-0.5</v>
      </c>
      <c r="E65" s="181"/>
      <c r="F65" s="179"/>
      <c r="G65" s="179"/>
      <c r="H65" s="179"/>
      <c r="I65" s="182"/>
      <c r="J65" s="6"/>
    </row>
    <row r="66" spans="1:10" ht="12.75" hidden="1">
      <c r="A66" s="183" t="s">
        <v>18</v>
      </c>
      <c r="B66" s="179"/>
      <c r="C66" s="179"/>
      <c r="D66" s="184">
        <v>-0.2</v>
      </c>
      <c r="E66" s="181"/>
      <c r="F66" s="179"/>
      <c r="G66" s="179"/>
      <c r="H66" s="179"/>
      <c r="I66" s="182"/>
      <c r="J66" s="6"/>
    </row>
    <row r="67" spans="1:10" ht="12.75" hidden="1">
      <c r="A67" s="183" t="s">
        <v>15</v>
      </c>
      <c r="B67" s="179"/>
      <c r="C67" s="179"/>
      <c r="D67" s="179">
        <f>SUM(D64:D66)</f>
        <v>7.8</v>
      </c>
      <c r="E67" s="181"/>
      <c r="F67" s="179"/>
      <c r="G67" s="179"/>
      <c r="H67" s="179"/>
      <c r="I67" s="182"/>
      <c r="J67" s="6"/>
    </row>
    <row r="68" spans="1:10" ht="13.5" hidden="1" thickBot="1">
      <c r="A68" s="183"/>
      <c r="B68" s="179"/>
      <c r="C68" s="179"/>
      <c r="D68" s="179"/>
      <c r="E68" s="181"/>
      <c r="F68" s="179"/>
      <c r="G68" s="179"/>
      <c r="H68" s="179"/>
      <c r="I68" s="182"/>
      <c r="J68" s="6"/>
    </row>
    <row r="69" spans="1:10" ht="13.5" hidden="1" thickBot="1">
      <c r="A69" s="183" t="s">
        <v>16</v>
      </c>
      <c r="B69" s="179"/>
      <c r="C69" s="179"/>
      <c r="D69" s="185">
        <f>+D61*D67</f>
        <v>1714.05</v>
      </c>
      <c r="E69" s="181" t="s">
        <v>64</v>
      </c>
      <c r="F69" s="173"/>
      <c r="G69" s="186">
        <f>VLOOKUP(D10,A148:I400,8,FALSE)</f>
        <v>1714.050000000004</v>
      </c>
      <c r="H69" s="163"/>
      <c r="I69" s="175"/>
      <c r="J69" s="7"/>
    </row>
    <row r="70" spans="1:10" ht="12.75" hidden="1">
      <c r="A70" s="172"/>
      <c r="B70" s="187"/>
      <c r="C70" s="173"/>
      <c r="D70" s="188"/>
      <c r="E70" s="189"/>
      <c r="F70" s="173"/>
      <c r="G70" s="173"/>
      <c r="H70" s="163"/>
      <c r="I70" s="175"/>
      <c r="J70" s="3"/>
    </row>
    <row r="71" spans="1:10" ht="12.75" hidden="1">
      <c r="A71" s="172"/>
      <c r="B71" s="187"/>
      <c r="C71" s="173"/>
      <c r="D71" s="188"/>
      <c r="E71" s="189"/>
      <c r="F71" s="173"/>
      <c r="G71" s="173"/>
      <c r="H71" s="163"/>
      <c r="I71" s="175"/>
      <c r="J71" s="3"/>
    </row>
    <row r="72" spans="1:10" ht="13.5" hidden="1" thickBot="1">
      <c r="A72" s="172"/>
      <c r="B72" s="187"/>
      <c r="C72" s="173"/>
      <c r="D72" s="188"/>
      <c r="E72" s="189"/>
      <c r="F72" s="173"/>
      <c r="G72" s="173"/>
      <c r="H72" s="163"/>
      <c r="I72" s="175"/>
      <c r="J72" s="3"/>
    </row>
    <row r="73" spans="1:10" ht="13.5" hidden="1" thickBot="1">
      <c r="A73" s="176" t="s">
        <v>4</v>
      </c>
      <c r="B73" s="187"/>
      <c r="C73" s="173"/>
      <c r="D73" s="190">
        <v>0.906</v>
      </c>
      <c r="E73" s="191" t="s">
        <v>4</v>
      </c>
      <c r="F73" s="187"/>
      <c r="G73" s="192">
        <v>1</v>
      </c>
      <c r="H73" s="163"/>
      <c r="I73" s="175"/>
      <c r="J73" s="3"/>
    </row>
    <row r="74" spans="1:10" ht="12.75" hidden="1">
      <c r="A74" s="193"/>
      <c r="B74" s="158"/>
      <c r="C74" s="158"/>
      <c r="D74" s="158"/>
      <c r="E74" s="194"/>
      <c r="F74" s="158"/>
      <c r="G74" s="158"/>
      <c r="H74" s="163"/>
      <c r="I74" s="159"/>
      <c r="J74" s="3"/>
    </row>
    <row r="75" spans="1:10" ht="13.5" hidden="1" thickBot="1">
      <c r="A75" s="176" t="s">
        <v>3</v>
      </c>
      <c r="B75" s="158"/>
      <c r="C75" s="158"/>
      <c r="D75" s="158"/>
      <c r="E75" s="194"/>
      <c r="F75" s="158"/>
      <c r="G75" s="158"/>
      <c r="H75" s="163"/>
      <c r="I75" s="159"/>
      <c r="J75" s="3"/>
    </row>
    <row r="76" spans="1:10" ht="13.5" hidden="1" thickBot="1">
      <c r="A76" s="193"/>
      <c r="B76" s="158" t="s">
        <v>0</v>
      </c>
      <c r="C76" s="195"/>
      <c r="D76" s="196">
        <f>IF(ISERROR(((D45+G45)/2+21.23*80%)*D16*365*98%),0,((D45+G45)/2+21.23*80%)*D16*365*98%)</f>
        <v>0.0060751768</v>
      </c>
      <c r="E76" s="197"/>
      <c r="F76" s="198" t="s">
        <v>0</v>
      </c>
      <c r="G76" s="199">
        <f>16*100%*(D16+D18)*365*98%</f>
        <v>0.0057231999999999995</v>
      </c>
      <c r="H76" s="163"/>
      <c r="I76" s="159"/>
      <c r="J76" s="3"/>
    </row>
    <row r="77" spans="1:10" ht="13.5" hidden="1" thickBot="1">
      <c r="A77" s="193"/>
      <c r="B77" s="158" t="s">
        <v>1</v>
      </c>
      <c r="C77" s="195"/>
      <c r="D77" s="196">
        <f>((D47+G47)/2+21.23*20%)*D16*365*98%</f>
        <v>0.0015187942</v>
      </c>
      <c r="E77" s="197"/>
      <c r="F77" s="198" t="s">
        <v>1</v>
      </c>
      <c r="G77" s="199">
        <v>0</v>
      </c>
      <c r="H77" s="163"/>
      <c r="I77" s="159"/>
      <c r="J77" s="3"/>
    </row>
    <row r="78" spans="1:10" ht="12.75" hidden="1">
      <c r="A78" s="193"/>
      <c r="B78" s="158"/>
      <c r="C78" s="195"/>
      <c r="D78" s="200"/>
      <c r="E78" s="197"/>
      <c r="F78" s="198"/>
      <c r="G78" s="200"/>
      <c r="H78" s="163"/>
      <c r="I78" s="159"/>
      <c r="J78" s="3"/>
    </row>
    <row r="79" spans="1:10" ht="12.75" hidden="1">
      <c r="A79" s="193"/>
      <c r="B79" s="158"/>
      <c r="C79" s="195"/>
      <c r="D79" s="200"/>
      <c r="E79" s="197"/>
      <c r="F79" s="198"/>
      <c r="G79" s="200"/>
      <c r="H79" s="163"/>
      <c r="I79" s="159"/>
      <c r="J79" s="3"/>
    </row>
    <row r="80" spans="1:10" ht="12.75" hidden="1">
      <c r="A80" s="193"/>
      <c r="B80" s="158"/>
      <c r="C80" s="195"/>
      <c r="D80" s="200"/>
      <c r="E80" s="195"/>
      <c r="F80" s="198"/>
      <c r="G80" s="200"/>
      <c r="H80" s="163"/>
      <c r="I80" s="159"/>
      <c r="J80" s="3"/>
    </row>
    <row r="81" spans="1:10" ht="12.75" hidden="1">
      <c r="A81" s="193"/>
      <c r="B81" s="158"/>
      <c r="C81" s="195"/>
      <c r="D81" s="200"/>
      <c r="E81" s="195"/>
      <c r="F81" s="198"/>
      <c r="G81" s="200"/>
      <c r="H81" s="163"/>
      <c r="I81" s="159"/>
      <c r="J81" s="3"/>
    </row>
    <row r="82" spans="1:10" ht="12.75" hidden="1">
      <c r="A82" s="193"/>
      <c r="B82" s="158"/>
      <c r="C82" s="195"/>
      <c r="D82" s="200"/>
      <c r="E82" s="195"/>
      <c r="F82" s="198"/>
      <c r="G82" s="200"/>
      <c r="H82" s="163"/>
      <c r="I82" s="159"/>
      <c r="J82" s="3"/>
    </row>
    <row r="83" spans="1:10" ht="12.75" hidden="1">
      <c r="A83" s="176" t="s">
        <v>93</v>
      </c>
      <c r="B83" s="158"/>
      <c r="C83" s="195"/>
      <c r="D83" s="200"/>
      <c r="E83" s="195"/>
      <c r="F83" s="198"/>
      <c r="G83" s="200"/>
      <c r="H83" s="163"/>
      <c r="I83" s="159"/>
      <c r="J83" s="3"/>
    </row>
    <row r="84" spans="1:10" ht="12.75" hidden="1">
      <c r="A84" s="193"/>
      <c r="B84" s="158"/>
      <c r="C84" s="195"/>
      <c r="D84" s="200"/>
      <c r="E84" s="195"/>
      <c r="F84" s="198"/>
      <c r="G84" s="200"/>
      <c r="H84" s="163"/>
      <c r="I84" s="159"/>
      <c r="J84" s="3"/>
    </row>
    <row r="85" spans="1:10" ht="12.75" hidden="1">
      <c r="A85" s="193"/>
      <c r="B85" s="163"/>
      <c r="C85" s="163"/>
      <c r="D85" s="200"/>
      <c r="E85" s="195"/>
      <c r="F85" s="198"/>
      <c r="G85" s="200"/>
      <c r="H85" s="163"/>
      <c r="I85" s="159"/>
      <c r="J85" s="3"/>
    </row>
    <row r="86" spans="1:10" ht="12.75" hidden="1">
      <c r="A86" s="193"/>
      <c r="B86" s="211" t="s">
        <v>54</v>
      </c>
      <c r="C86" s="211" t="s">
        <v>55</v>
      </c>
      <c r="D86" s="200" t="s">
        <v>52</v>
      </c>
      <c r="E86" s="201" t="s">
        <v>53</v>
      </c>
      <c r="F86" s="201" t="s">
        <v>56</v>
      </c>
      <c r="G86" s="200"/>
      <c r="H86" s="163"/>
      <c r="I86" s="159"/>
      <c r="J86" s="3"/>
    </row>
    <row r="87" spans="1:10" ht="12.75" hidden="1">
      <c r="A87" s="193"/>
      <c r="B87" s="202">
        <v>0</v>
      </c>
      <c r="C87" s="203">
        <v>0</v>
      </c>
      <c r="D87" s="203">
        <v>0</v>
      </c>
      <c r="E87" s="203">
        <v>0</v>
      </c>
      <c r="F87" s="204">
        <f>D87+E87</f>
        <v>0</v>
      </c>
      <c r="G87" s="200"/>
      <c r="H87" s="163"/>
      <c r="I87" s="159"/>
      <c r="J87" s="3"/>
    </row>
    <row r="88" spans="1:10" ht="12.75" hidden="1">
      <c r="A88" s="193"/>
      <c r="B88" s="202">
        <v>1</v>
      </c>
      <c r="C88" s="203">
        <v>30</v>
      </c>
      <c r="D88" s="203">
        <v>2.3</v>
      </c>
      <c r="E88" s="203">
        <v>0</v>
      </c>
      <c r="F88" s="204">
        <f>D88+E88</f>
        <v>2.3</v>
      </c>
      <c r="G88" s="200"/>
      <c r="H88" s="163"/>
      <c r="I88" s="159"/>
      <c r="J88" s="3"/>
    </row>
    <row r="89" spans="1:10" ht="12.75" hidden="1">
      <c r="A89" s="193"/>
      <c r="B89" s="202">
        <v>31</v>
      </c>
      <c r="C89" s="203">
        <v>39</v>
      </c>
      <c r="D89" s="203">
        <v>2.3</v>
      </c>
      <c r="E89" s="203">
        <v>0.9</v>
      </c>
      <c r="F89" s="204">
        <f aca="true" t="shared" si="0" ref="F89:F96">D89+E89</f>
        <v>3.1999999999999997</v>
      </c>
      <c r="G89" s="200"/>
      <c r="H89" s="163"/>
      <c r="I89" s="159"/>
      <c r="J89" s="3"/>
    </row>
    <row r="90" spans="1:10" ht="12.75" hidden="1">
      <c r="A90" s="193"/>
      <c r="B90" s="205">
        <v>40</v>
      </c>
      <c r="C90" s="203">
        <v>79</v>
      </c>
      <c r="D90" s="203">
        <v>4.6</v>
      </c>
      <c r="E90" s="203">
        <v>0</v>
      </c>
      <c r="F90" s="204">
        <f t="shared" si="0"/>
        <v>4.6</v>
      </c>
      <c r="G90" s="200"/>
      <c r="H90" s="163"/>
      <c r="I90" s="159"/>
      <c r="J90" s="3"/>
    </row>
    <row r="91" spans="1:10" ht="12.75" hidden="1">
      <c r="A91" s="193"/>
      <c r="B91" s="205">
        <v>80</v>
      </c>
      <c r="C91" s="203">
        <v>119</v>
      </c>
      <c r="D91" s="203">
        <v>6.9</v>
      </c>
      <c r="E91" s="203">
        <v>0</v>
      </c>
      <c r="F91" s="204">
        <f t="shared" si="0"/>
        <v>6.9</v>
      </c>
      <c r="G91" s="200"/>
      <c r="H91" s="163"/>
      <c r="I91" s="159"/>
      <c r="J91" s="3"/>
    </row>
    <row r="92" spans="1:10" ht="12.75" hidden="1">
      <c r="A92" s="193"/>
      <c r="B92" s="202">
        <v>120</v>
      </c>
      <c r="C92" s="203">
        <v>159</v>
      </c>
      <c r="D92" s="203">
        <v>9.2</v>
      </c>
      <c r="E92" s="203">
        <v>0</v>
      </c>
      <c r="F92" s="204">
        <f t="shared" si="0"/>
        <v>9.2</v>
      </c>
      <c r="G92" s="200"/>
      <c r="H92" s="163"/>
      <c r="I92" s="159"/>
      <c r="J92" s="3"/>
    </row>
    <row r="93" spans="1:10" ht="12.75" hidden="1">
      <c r="A93" s="193"/>
      <c r="B93" s="205">
        <v>160</v>
      </c>
      <c r="C93" s="203">
        <v>199</v>
      </c>
      <c r="D93" s="203">
        <v>11.5</v>
      </c>
      <c r="E93" s="203">
        <v>0</v>
      </c>
      <c r="F93" s="204">
        <f t="shared" si="0"/>
        <v>11.5</v>
      </c>
      <c r="G93" s="200"/>
      <c r="H93" s="163"/>
      <c r="I93" s="159"/>
      <c r="J93" s="3"/>
    </row>
    <row r="94" spans="1:10" ht="12.75" hidden="1">
      <c r="A94" s="193"/>
      <c r="B94" s="205">
        <v>200</v>
      </c>
      <c r="C94" s="203">
        <v>239</v>
      </c>
      <c r="D94" s="203">
        <v>13.8</v>
      </c>
      <c r="E94" s="203">
        <v>0</v>
      </c>
      <c r="F94" s="204">
        <f t="shared" si="0"/>
        <v>13.8</v>
      </c>
      <c r="G94" s="200"/>
      <c r="H94" s="163"/>
      <c r="I94" s="159"/>
      <c r="J94" s="3"/>
    </row>
    <row r="95" spans="1:10" ht="12.75" hidden="1">
      <c r="A95" s="193"/>
      <c r="B95" s="202">
        <v>240</v>
      </c>
      <c r="C95" s="203">
        <v>279</v>
      </c>
      <c r="D95" s="203">
        <v>16.1</v>
      </c>
      <c r="E95" s="203">
        <v>0</v>
      </c>
      <c r="F95" s="204">
        <f t="shared" si="0"/>
        <v>16.1</v>
      </c>
      <c r="G95" s="200"/>
      <c r="H95" s="163"/>
      <c r="I95" s="159"/>
      <c r="J95" s="3"/>
    </row>
    <row r="96" spans="1:10" ht="12.75" hidden="1">
      <c r="A96" s="193"/>
      <c r="B96" s="205">
        <v>280</v>
      </c>
      <c r="C96" s="203">
        <v>319</v>
      </c>
      <c r="D96" s="203">
        <v>18.4</v>
      </c>
      <c r="E96" s="203">
        <v>0</v>
      </c>
      <c r="F96" s="204">
        <f t="shared" si="0"/>
        <v>18.4</v>
      </c>
      <c r="G96" s="200"/>
      <c r="H96" s="163"/>
      <c r="I96" s="159"/>
      <c r="J96" s="3"/>
    </row>
    <row r="97" spans="1:10" ht="13.5" hidden="1" thickBot="1">
      <c r="A97" s="212"/>
      <c r="B97" s="213"/>
      <c r="C97" s="214"/>
      <c r="D97" s="215"/>
      <c r="E97" s="214"/>
      <c r="F97" s="216"/>
      <c r="G97" s="215"/>
      <c r="H97" s="217"/>
      <c r="I97" s="218"/>
      <c r="J97" s="3"/>
    </row>
    <row r="98" spans="1:10" ht="19.5" customHeight="1">
      <c r="A98" s="10"/>
      <c r="B98" s="11"/>
      <c r="C98" s="11"/>
      <c r="D98" s="11"/>
      <c r="E98" s="11"/>
      <c r="F98" s="11"/>
      <c r="G98" s="11"/>
      <c r="H98" s="11"/>
      <c r="I98" s="12"/>
      <c r="J98" s="8"/>
    </row>
    <row r="99" spans="1:10" ht="19.5" customHeight="1">
      <c r="A99" s="14"/>
      <c r="B99" s="15"/>
      <c r="C99" s="15"/>
      <c r="D99" s="15"/>
      <c r="E99" s="15"/>
      <c r="F99" s="15"/>
      <c r="G99" s="15"/>
      <c r="H99" s="15"/>
      <c r="I99" s="31"/>
      <c r="J99" s="8"/>
    </row>
    <row r="100" spans="1:10" ht="61.5" customHeight="1">
      <c r="A100" s="94"/>
      <c r="B100" s="106" t="s">
        <v>39</v>
      </c>
      <c r="C100" s="56"/>
      <c r="D100" s="292" t="s">
        <v>95</v>
      </c>
      <c r="E100" s="293"/>
      <c r="F100" s="293"/>
      <c r="G100" s="103" t="s">
        <v>96</v>
      </c>
      <c r="H100" s="104" t="s">
        <v>35</v>
      </c>
      <c r="I100" s="13"/>
      <c r="J100" s="9"/>
    </row>
    <row r="101" spans="1:10" ht="15" customHeight="1">
      <c r="A101" s="144"/>
      <c r="B101" s="11"/>
      <c r="C101" s="56"/>
      <c r="D101" s="148" t="s">
        <v>0</v>
      </c>
      <c r="E101" s="148" t="s">
        <v>1</v>
      </c>
      <c r="F101" s="148" t="s">
        <v>15</v>
      </c>
      <c r="G101" s="149" t="s">
        <v>15</v>
      </c>
      <c r="H101" s="150" t="s">
        <v>15</v>
      </c>
      <c r="I101" s="13"/>
      <c r="J101" s="9"/>
    </row>
    <row r="102" spans="1:10" s="35" customFormat="1" ht="9.75" customHeight="1">
      <c r="A102" s="46"/>
      <c r="B102" s="11"/>
      <c r="C102" s="56"/>
      <c r="D102" s="57"/>
      <c r="E102" s="57"/>
      <c r="F102" s="57"/>
      <c r="G102" s="58"/>
      <c r="H102" s="58"/>
      <c r="I102" s="13"/>
      <c r="J102" s="56"/>
    </row>
    <row r="103" spans="1:10" ht="18" customHeight="1">
      <c r="A103" s="145"/>
      <c r="B103" s="262" t="s">
        <v>22</v>
      </c>
      <c r="C103" s="266"/>
      <c r="D103" s="47">
        <f>D76/($D$69*60)</f>
        <v>5.9072341335822564E-08</v>
      </c>
      <c r="E103" s="47">
        <f>D77/($D$69*60)</f>
        <v>1.4768085333955641E-08</v>
      </c>
      <c r="F103" s="48">
        <f>+E103+D103</f>
        <v>7.38404266697782E-08</v>
      </c>
      <c r="G103" s="49" t="s">
        <v>36</v>
      </c>
      <c r="H103" s="81" t="s">
        <v>36</v>
      </c>
      <c r="I103" s="13"/>
      <c r="J103" s="9"/>
    </row>
    <row r="104" spans="1:10" s="35" customFormat="1" ht="9.75" customHeight="1">
      <c r="A104" s="144"/>
      <c r="B104" s="55"/>
      <c r="C104" s="55"/>
      <c r="D104" s="59"/>
      <c r="E104" s="59"/>
      <c r="F104" s="60"/>
      <c r="G104" s="61"/>
      <c r="H104" s="61"/>
      <c r="I104" s="13"/>
      <c r="J104" s="56"/>
    </row>
    <row r="105" spans="1:10" ht="18" customHeight="1">
      <c r="A105" s="145"/>
      <c r="B105" s="262" t="s">
        <v>65</v>
      </c>
      <c r="C105" s="266"/>
      <c r="D105" s="47">
        <f>D103*F38</f>
        <v>5.3519541250255244E-08</v>
      </c>
      <c r="E105" s="47">
        <f>E103*F38</f>
        <v>1.3379885312563811E-08</v>
      </c>
      <c r="F105" s="48">
        <f>+E105+D105</f>
        <v>6.689942656281905E-08</v>
      </c>
      <c r="G105" s="50">
        <f>+G76/(G69*60)</f>
        <v>5.564987407990807E-08</v>
      </c>
      <c r="H105" s="82">
        <f>F105+G105</f>
        <v>1.2254930064272712E-07</v>
      </c>
      <c r="I105" s="17"/>
      <c r="J105" s="8"/>
    </row>
    <row r="106" spans="1:10" s="35" customFormat="1" ht="9.75" customHeight="1">
      <c r="A106" s="144"/>
      <c r="B106" s="55"/>
      <c r="C106" s="55"/>
      <c r="D106" s="62"/>
      <c r="E106" s="62"/>
      <c r="F106" s="63"/>
      <c r="G106" s="62"/>
      <c r="H106" s="62"/>
      <c r="I106" s="17"/>
      <c r="J106" s="11"/>
    </row>
    <row r="107" spans="1:10" ht="18" customHeight="1">
      <c r="A107" s="145"/>
      <c r="B107" s="262" t="s">
        <v>66</v>
      </c>
      <c r="C107" s="266"/>
      <c r="D107" s="47" t="s">
        <v>36</v>
      </c>
      <c r="E107" s="47">
        <f>MAX(VLOOKUP((D16+D18),B87:F96,3,TRUE),0)</f>
        <v>0</v>
      </c>
      <c r="F107" s="48" t="s">
        <v>36</v>
      </c>
      <c r="G107" s="50" t="s">
        <v>36</v>
      </c>
      <c r="H107" s="82" t="s">
        <v>36</v>
      </c>
      <c r="I107" s="17"/>
      <c r="J107" s="8"/>
    </row>
    <row r="108" spans="1:10" s="35" customFormat="1" ht="9.75" customHeight="1">
      <c r="A108" s="144"/>
      <c r="B108" s="55"/>
      <c r="C108" s="55"/>
      <c r="D108" s="62"/>
      <c r="E108" s="62"/>
      <c r="F108" s="63"/>
      <c r="G108" s="62"/>
      <c r="H108" s="62"/>
      <c r="I108" s="17"/>
      <c r="J108" s="11"/>
    </row>
    <row r="109" spans="1:10" ht="18" customHeight="1">
      <c r="A109" s="145"/>
      <c r="B109" s="262" t="s">
        <v>67</v>
      </c>
      <c r="C109" s="266"/>
      <c r="D109" s="48">
        <f>MAX(F105-E109,0)</f>
        <v>5.3519541250255244E-08</v>
      </c>
      <c r="E109" s="48">
        <f>MAX(E107,E105)</f>
        <v>1.3379885312563811E-08</v>
      </c>
      <c r="F109" s="48">
        <f>+E109+D109</f>
        <v>6.689942656281905E-08</v>
      </c>
      <c r="G109" s="50" t="s">
        <v>36</v>
      </c>
      <c r="H109" s="82" t="s">
        <v>36</v>
      </c>
      <c r="I109" s="17"/>
      <c r="J109" s="8"/>
    </row>
    <row r="110" spans="1:10" s="35" customFormat="1" ht="9.75" customHeight="1">
      <c r="A110" s="144"/>
      <c r="B110" s="55"/>
      <c r="C110" s="55"/>
      <c r="D110" s="62"/>
      <c r="E110" s="62"/>
      <c r="F110" s="63"/>
      <c r="G110" s="62"/>
      <c r="H110" s="62"/>
      <c r="I110" s="17"/>
      <c r="J110" s="11"/>
    </row>
    <row r="111" spans="1:10" ht="18" customHeight="1">
      <c r="A111" s="145"/>
      <c r="B111" s="262" t="s">
        <v>57</v>
      </c>
      <c r="C111" s="266"/>
      <c r="D111" s="47" t="s">
        <v>36</v>
      </c>
      <c r="E111" s="48">
        <f>MAX((VLOOKUP((D16+D18),B87:F96,5,TRUE)-E109),0)</f>
        <v>0</v>
      </c>
      <c r="F111" s="48" t="str">
        <f>+D111</f>
        <v>-</v>
      </c>
      <c r="G111" s="50" t="s">
        <v>36</v>
      </c>
      <c r="H111" s="82" t="s">
        <v>36</v>
      </c>
      <c r="I111" s="17"/>
      <c r="J111" s="8"/>
    </row>
    <row r="112" spans="1:10" s="35" customFormat="1" ht="9.75" customHeight="1">
      <c r="A112" s="54"/>
      <c r="B112" s="55"/>
      <c r="C112" s="55"/>
      <c r="D112" s="62"/>
      <c r="E112" s="62"/>
      <c r="F112" s="63"/>
      <c r="G112" s="62"/>
      <c r="H112" s="62"/>
      <c r="I112" s="17"/>
      <c r="J112" s="11"/>
    </row>
    <row r="113" spans="1:10" ht="24" customHeight="1">
      <c r="A113" s="143"/>
      <c r="B113" s="286" t="s">
        <v>39</v>
      </c>
      <c r="C113" s="287"/>
      <c r="D113" s="83">
        <f>D109</f>
        <v>5.3519541250255244E-08</v>
      </c>
      <c r="E113" s="83">
        <f>SUM(E109:E111)</f>
        <v>1.3379885312563811E-08</v>
      </c>
      <c r="F113" s="79">
        <f>D113+E113</f>
        <v>6.689942656281905E-08</v>
      </c>
      <c r="G113" s="84">
        <f>G105</f>
        <v>5.564987407990807E-08</v>
      </c>
      <c r="H113" s="112">
        <f>F113+G113</f>
        <v>1.2254930064272712E-07</v>
      </c>
      <c r="I113" s="12"/>
      <c r="J113" s="8"/>
    </row>
    <row r="114" spans="1:10" ht="19.5" customHeight="1">
      <c r="A114" s="51"/>
      <c r="B114" s="52"/>
      <c r="C114" s="52"/>
      <c r="D114" s="52"/>
      <c r="E114" s="52"/>
      <c r="F114" s="52"/>
      <c r="G114" s="52"/>
      <c r="H114" s="52"/>
      <c r="I114" s="53"/>
      <c r="J114" s="8"/>
    </row>
    <row r="115" spans="1:10" ht="19.5" customHeight="1">
      <c r="A115" s="10"/>
      <c r="B115" s="16"/>
      <c r="C115" s="11"/>
      <c r="D115" s="11"/>
      <c r="E115" s="11"/>
      <c r="F115" s="11"/>
      <c r="G115" s="11"/>
      <c r="H115" s="122"/>
      <c r="I115" s="12"/>
      <c r="J115" s="36"/>
    </row>
    <row r="116" spans="1:10" ht="93" customHeight="1">
      <c r="A116" s="94"/>
      <c r="B116" s="106" t="s">
        <v>85</v>
      </c>
      <c r="C116" s="11"/>
      <c r="D116" s="11"/>
      <c r="E116" s="11"/>
      <c r="F116" s="102" t="s">
        <v>99</v>
      </c>
      <c r="G116" s="103" t="s">
        <v>97</v>
      </c>
      <c r="H116" s="104" t="s">
        <v>68</v>
      </c>
      <c r="I116" s="12"/>
      <c r="J116" s="36"/>
    </row>
    <row r="117" spans="1:10" ht="9.75" customHeight="1">
      <c r="A117" s="10"/>
      <c r="B117" s="11"/>
      <c r="C117" s="11"/>
      <c r="D117" s="11"/>
      <c r="E117" s="11"/>
      <c r="F117" s="87"/>
      <c r="G117" s="87"/>
      <c r="H117" s="87"/>
      <c r="I117" s="12"/>
      <c r="J117" s="36"/>
    </row>
    <row r="118" spans="1:10" ht="28.5" customHeight="1">
      <c r="A118" s="10"/>
      <c r="B118" s="284" t="s">
        <v>26</v>
      </c>
      <c r="C118" s="284"/>
      <c r="D118" s="284"/>
      <c r="E118" s="285"/>
      <c r="F118" s="72" t="s">
        <v>43</v>
      </c>
      <c r="G118" s="74" t="s">
        <v>44</v>
      </c>
      <c r="H118" s="76" t="s">
        <v>37</v>
      </c>
      <c r="I118" s="17"/>
      <c r="J118" s="8"/>
    </row>
    <row r="119" spans="1:10" ht="24" customHeight="1">
      <c r="A119" s="10"/>
      <c r="B119" s="262"/>
      <c r="C119" s="262"/>
      <c r="D119" s="262"/>
      <c r="E119" s="266"/>
      <c r="F119" s="73">
        <f>IF(D16&gt;1,MAX(1.75,F113*0.15),0)</f>
        <v>0</v>
      </c>
      <c r="G119" s="75">
        <f>IF(G42/G113&gt;0.1,G113*0.1,G113*G42/G113)</f>
        <v>0</v>
      </c>
      <c r="H119" s="111" t="str">
        <f>ROUND(F119+G119,2)&amp;" ("&amp;ROUND(((F119+G119)*100)/H113,1)&amp;"%)"</f>
        <v>0 (0%)</v>
      </c>
      <c r="I119" s="17"/>
      <c r="J119" s="8"/>
    </row>
    <row r="120" spans="1:10" s="35" customFormat="1" ht="9.75" customHeight="1">
      <c r="A120" s="10"/>
      <c r="B120" s="117"/>
      <c r="C120" s="117"/>
      <c r="D120" s="117"/>
      <c r="E120" s="117"/>
      <c r="F120" s="64"/>
      <c r="G120" s="64"/>
      <c r="H120" s="65"/>
      <c r="I120" s="17"/>
      <c r="J120" s="11"/>
    </row>
    <row r="121" spans="1:10" ht="28.5" customHeight="1">
      <c r="A121" s="10"/>
      <c r="B121" s="284" t="s">
        <v>27</v>
      </c>
      <c r="C121" s="284"/>
      <c r="D121" s="284"/>
      <c r="E121" s="285"/>
      <c r="F121" s="72" t="s">
        <v>42</v>
      </c>
      <c r="G121" s="74" t="s">
        <v>69</v>
      </c>
      <c r="H121" s="77" t="s">
        <v>37</v>
      </c>
      <c r="I121" s="17"/>
      <c r="J121" s="8"/>
    </row>
    <row r="122" spans="1:10" ht="24" customHeight="1">
      <c r="A122" s="10"/>
      <c r="B122" s="262"/>
      <c r="C122" s="262"/>
      <c r="D122" s="262"/>
      <c r="E122" s="266"/>
      <c r="F122" s="73">
        <f>F$113*0.1</f>
        <v>6.6899426562819055E-09</v>
      </c>
      <c r="G122" s="75">
        <f>(G113*0.5)-G119</f>
        <v>2.7824937039954034E-08</v>
      </c>
      <c r="H122" s="111" t="str">
        <f>ROUND(F122+G122,2)&amp;" ("&amp;ROUND(((F122+G122)*100)/H113,1)&amp;"%)"</f>
        <v>0 (28.2%)</v>
      </c>
      <c r="I122" s="17"/>
      <c r="J122" s="8"/>
    </row>
    <row r="123" spans="1:10" s="35" customFormat="1" ht="9.75" customHeight="1">
      <c r="A123" s="10"/>
      <c r="B123" s="117"/>
      <c r="C123" s="117"/>
      <c r="D123" s="117"/>
      <c r="E123" s="117"/>
      <c r="F123" s="64"/>
      <c r="G123" s="64"/>
      <c r="H123" s="78"/>
      <c r="I123" s="17"/>
      <c r="J123" s="11"/>
    </row>
    <row r="124" spans="1:10" ht="28.5" customHeight="1">
      <c r="A124" s="10"/>
      <c r="B124" s="284" t="s">
        <v>28</v>
      </c>
      <c r="C124" s="284"/>
      <c r="D124" s="284"/>
      <c r="E124" s="285"/>
      <c r="F124" s="72" t="s">
        <v>49</v>
      </c>
      <c r="G124" s="74" t="s">
        <v>50</v>
      </c>
      <c r="H124" s="76" t="s">
        <v>37</v>
      </c>
      <c r="I124" s="17"/>
      <c r="J124" s="8"/>
    </row>
    <row r="125" spans="1:10" ht="24" customHeight="1">
      <c r="A125" s="10"/>
      <c r="B125" s="262"/>
      <c r="C125" s="262"/>
      <c r="D125" s="262"/>
      <c r="E125" s="266"/>
      <c r="F125" s="73">
        <f>MAX(0,F113-F119-F122)</f>
        <v>6.020948390653716E-08</v>
      </c>
      <c r="G125" s="75">
        <f>G113-G119-G122</f>
        <v>2.7824937039954034E-08</v>
      </c>
      <c r="H125" s="111" t="str">
        <f>ROUND(F125+G125,2)&amp;" ("&amp;ROUND(((F125+G125)*100)/H113,1)&amp;"%)"</f>
        <v>0 (71.8%)</v>
      </c>
      <c r="I125" s="17"/>
      <c r="J125" s="8"/>
    </row>
    <row r="126" spans="1:10" s="35" customFormat="1" ht="9.75" customHeight="1">
      <c r="A126" s="10"/>
      <c r="B126" s="117"/>
      <c r="C126" s="117"/>
      <c r="D126" s="117"/>
      <c r="E126" s="117"/>
      <c r="F126" s="64"/>
      <c r="G126" s="64"/>
      <c r="H126" s="78"/>
      <c r="I126" s="17"/>
      <c r="J126" s="11"/>
    </row>
    <row r="127" spans="1:10" ht="24" customHeight="1">
      <c r="A127" s="10"/>
      <c r="B127" s="262" t="s">
        <v>87</v>
      </c>
      <c r="C127" s="262"/>
      <c r="D127" s="262"/>
      <c r="E127" s="266"/>
      <c r="F127" s="230">
        <f>F119+F122+F125</f>
        <v>6.689942656281907E-08</v>
      </c>
      <c r="I127" s="17"/>
      <c r="J127" s="8"/>
    </row>
    <row r="128" spans="1:10" s="35" customFormat="1" ht="9.75" customHeight="1">
      <c r="A128" s="10"/>
      <c r="B128" s="226"/>
      <c r="C128" s="226"/>
      <c r="D128" s="226"/>
      <c r="E128" s="226"/>
      <c r="F128" s="227"/>
      <c r="G128" s="227"/>
      <c r="H128" s="227"/>
      <c r="I128" s="17"/>
      <c r="J128" s="11"/>
    </row>
    <row r="129" spans="1:10" s="35" customFormat="1" ht="24" customHeight="1">
      <c r="A129" s="10"/>
      <c r="B129" s="229" t="s">
        <v>100</v>
      </c>
      <c r="C129" s="228"/>
      <c r="D129" s="228"/>
      <c r="E129" s="224"/>
      <c r="F129" s="230">
        <f>D18*0.5</f>
        <v>0</v>
      </c>
      <c r="G129" s="227"/>
      <c r="H129" s="233" t="str">
        <f>ROUND(F129,2)&amp;" ("&amp;ROUND(((F129)*100)/H113,1)&amp;"%)"</f>
        <v>0 (0%)</v>
      </c>
      <c r="I129" s="17"/>
      <c r="J129" s="11"/>
    </row>
    <row r="130" spans="1:10" s="35" customFormat="1" ht="9.75" customHeight="1">
      <c r="A130" s="10"/>
      <c r="B130" s="229"/>
      <c r="C130" s="228"/>
      <c r="D130" s="228"/>
      <c r="E130" s="228"/>
      <c r="F130" s="231"/>
      <c r="G130" s="227"/>
      <c r="H130" s="227"/>
      <c r="I130" s="17"/>
      <c r="J130" s="11"/>
    </row>
    <row r="131" spans="1:10" s="35" customFormat="1" ht="24" customHeight="1">
      <c r="A131" s="10"/>
      <c r="B131" s="288" t="s">
        <v>86</v>
      </c>
      <c r="C131" s="288"/>
      <c r="D131" s="288"/>
      <c r="E131" s="289"/>
      <c r="F131" s="79">
        <f>F127+F129</f>
        <v>6.689942656281907E-08</v>
      </c>
      <c r="G131" s="80">
        <f>G119+G122+G125</f>
        <v>5.564987407990807E-08</v>
      </c>
      <c r="H131" s="232" t="str">
        <f>ROUND(G131+F131,2)&amp;" ("&amp;ROUND(((G131+F131)*100)/(H113+F129),1)&amp;"%)"</f>
        <v>0 (100%)</v>
      </c>
      <c r="I131" s="17"/>
      <c r="J131" s="11"/>
    </row>
    <row r="132" spans="1:10" s="35" customFormat="1" ht="19.5" customHeight="1">
      <c r="A132" s="10"/>
      <c r="B132" s="236"/>
      <c r="C132" s="236"/>
      <c r="D132" s="236"/>
      <c r="E132" s="236"/>
      <c r="F132" s="227"/>
      <c r="G132" s="227"/>
      <c r="H132" s="227"/>
      <c r="I132" s="17"/>
      <c r="J132" s="11"/>
    </row>
    <row r="133" spans="1:10" s="35" customFormat="1" ht="19.5" customHeight="1">
      <c r="A133" s="10"/>
      <c r="B133" s="236" t="s">
        <v>98</v>
      </c>
      <c r="C133" s="236"/>
      <c r="D133" s="236"/>
      <c r="E133" s="236"/>
      <c r="F133" s="227"/>
      <c r="G133" s="227"/>
      <c r="H133" s="227"/>
      <c r="I133" s="17"/>
      <c r="J133" s="11"/>
    </row>
    <row r="134" spans="1:10" s="35" customFormat="1" ht="19.5" customHeight="1">
      <c r="A134" s="10"/>
      <c r="B134" s="236" t="s">
        <v>105</v>
      </c>
      <c r="C134" s="235" t="s">
        <v>103</v>
      </c>
      <c r="D134" s="235"/>
      <c r="E134" s="235"/>
      <c r="F134" s="238">
        <f>F119*0.9</f>
        <v>0</v>
      </c>
      <c r="G134" s="227"/>
      <c r="H134" s="227"/>
      <c r="I134" s="17"/>
      <c r="J134" s="11"/>
    </row>
    <row r="135" spans="1:10" s="35" customFormat="1" ht="19.5" customHeight="1">
      <c r="A135" s="10"/>
      <c r="B135" s="236"/>
      <c r="C135" s="235" t="s">
        <v>104</v>
      </c>
      <c r="D135" s="235"/>
      <c r="E135" s="235"/>
      <c r="F135" s="238">
        <f>F122*0.9</f>
        <v>6.020948390653715E-09</v>
      </c>
      <c r="G135" s="227"/>
      <c r="H135" s="227"/>
      <c r="I135" s="17"/>
      <c r="J135" s="11"/>
    </row>
    <row r="136" spans="1:10" s="35" customFormat="1" ht="19.5" customHeight="1">
      <c r="A136" s="10"/>
      <c r="B136" s="236"/>
      <c r="C136" s="235" t="s">
        <v>28</v>
      </c>
      <c r="D136" s="235"/>
      <c r="E136" s="235"/>
      <c r="F136" s="238">
        <f>F137-F134-F135</f>
        <v>6.087847817216535E-08</v>
      </c>
      <c r="G136" s="227"/>
      <c r="H136" s="227"/>
      <c r="I136" s="17"/>
      <c r="J136" s="11"/>
    </row>
    <row r="137" spans="1:10" s="35" customFormat="1" ht="19.5" customHeight="1">
      <c r="A137" s="10"/>
      <c r="B137" s="236"/>
      <c r="C137" s="237" t="s">
        <v>94</v>
      </c>
      <c r="D137" s="237"/>
      <c r="E137" s="237"/>
      <c r="F137" s="239">
        <f>F131</f>
        <v>6.689942656281907E-08</v>
      </c>
      <c r="G137" s="227"/>
      <c r="H137" s="227"/>
      <c r="I137" s="17"/>
      <c r="J137" s="11"/>
    </row>
    <row r="138" spans="1:10" s="35" customFormat="1" ht="19.5" customHeight="1" thickBot="1">
      <c r="A138" s="113"/>
      <c r="B138" s="114"/>
      <c r="C138" s="114"/>
      <c r="D138" s="114"/>
      <c r="E138" s="114"/>
      <c r="F138" s="115"/>
      <c r="G138" s="115"/>
      <c r="H138" s="115"/>
      <c r="I138" s="37"/>
      <c r="J138" s="11"/>
    </row>
    <row r="139" spans="1:10" s="35" customFormat="1" ht="9.75" customHeight="1">
      <c r="A139" s="126"/>
      <c r="B139" s="127"/>
      <c r="C139" s="127"/>
      <c r="D139" s="127"/>
      <c r="E139" s="127"/>
      <c r="F139" s="128"/>
      <c r="G139" s="128"/>
      <c r="H139" s="128"/>
      <c r="I139" s="129"/>
      <c r="J139" s="11"/>
    </row>
    <row r="140" ht="12.75" hidden="1"/>
    <row r="141" spans="1:2" ht="12.75" hidden="1">
      <c r="A141" s="33"/>
      <c r="B141" s="234" t="s">
        <v>92</v>
      </c>
    </row>
    <row r="142" spans="1:2" ht="12.75" hidden="1">
      <c r="A142" s="33"/>
      <c r="B142" s="223" t="s">
        <v>243</v>
      </c>
    </row>
    <row r="143" spans="1:8" ht="12.75" hidden="1">
      <c r="A143" s="33"/>
      <c r="B143" s="243" t="s">
        <v>241</v>
      </c>
      <c r="C143" s="244"/>
      <c r="D143" s="244"/>
      <c r="E143" s="244"/>
      <c r="F143" s="244"/>
      <c r="G143" s="244"/>
      <c r="H143" s="244"/>
    </row>
    <row r="144" spans="1:8" ht="12.75" hidden="1">
      <c r="A144" s="33"/>
      <c r="B144" s="247" t="s">
        <v>242</v>
      </c>
      <c r="C144" s="247"/>
      <c r="D144" s="247"/>
      <c r="E144" s="247"/>
      <c r="F144" s="247"/>
      <c r="G144" s="247"/>
      <c r="H144" s="247"/>
    </row>
    <row r="145" ht="12.75" hidden="1"/>
    <row r="146" spans="1:9" ht="12.75" hidden="1">
      <c r="A146" s="265" t="s">
        <v>240</v>
      </c>
      <c r="B146" s="265"/>
      <c r="C146" s="265"/>
      <c r="D146" s="265"/>
      <c r="E146" s="265"/>
      <c r="F146" s="265"/>
      <c r="G146" s="265"/>
      <c r="H146" s="265"/>
      <c r="I146" s="265"/>
    </row>
    <row r="147" spans="1:10" ht="12.75" hidden="1">
      <c r="A147" s="251" t="s">
        <v>82</v>
      </c>
      <c r="B147" s="251" t="s">
        <v>82</v>
      </c>
      <c r="C147" s="251" t="s">
        <v>82</v>
      </c>
      <c r="D147" s="251" t="s">
        <v>82</v>
      </c>
      <c r="E147" s="252" t="s">
        <v>91</v>
      </c>
      <c r="F147" s="252" t="s">
        <v>239</v>
      </c>
      <c r="G147" s="251" t="s">
        <v>82</v>
      </c>
      <c r="H147" s="252" t="s">
        <v>91</v>
      </c>
      <c r="I147" s="251" t="s">
        <v>82</v>
      </c>
      <c r="J147" s="33"/>
    </row>
    <row r="148" spans="1:10" ht="12.75" hidden="1">
      <c r="A148" s="152" t="s">
        <v>71</v>
      </c>
      <c r="B148" s="152" t="s">
        <v>70</v>
      </c>
      <c r="C148" s="152" t="s">
        <v>72</v>
      </c>
      <c r="D148" s="225" t="s">
        <v>73</v>
      </c>
      <c r="E148" s="222" t="s">
        <v>90</v>
      </c>
      <c r="F148" s="222" t="s">
        <v>83</v>
      </c>
      <c r="G148" s="146" t="s">
        <v>84</v>
      </c>
      <c r="H148" s="222" t="s">
        <v>33</v>
      </c>
      <c r="I148" s="146" t="s">
        <v>74</v>
      </c>
      <c r="J148" s="33"/>
    </row>
    <row r="149" spans="1:10" ht="12.75" hidden="1">
      <c r="A149" s="248" t="s">
        <v>24</v>
      </c>
      <c r="B149" s="248">
        <v>0</v>
      </c>
      <c r="C149" s="248"/>
      <c r="D149" s="248">
        <v>1E-06</v>
      </c>
      <c r="E149" s="222">
        <f aca="true" t="shared" si="1" ref="E149:E179">D149-F149</f>
        <v>1E-06</v>
      </c>
      <c r="F149" s="240">
        <v>0</v>
      </c>
      <c r="G149" s="249">
        <v>1.76745135789504</v>
      </c>
      <c r="H149" s="222">
        <f aca="true" t="shared" si="2" ref="H149:H179">365/G149*8.3</f>
        <v>1714.050000000004</v>
      </c>
      <c r="I149" s="250">
        <v>0</v>
      </c>
      <c r="J149" s="33"/>
    </row>
    <row r="150" spans="1:10" ht="12.75" hidden="1">
      <c r="A150" s="248" t="s">
        <v>79</v>
      </c>
      <c r="B150" s="250">
        <v>999</v>
      </c>
      <c r="C150" s="248" t="s">
        <v>60</v>
      </c>
      <c r="D150" s="248">
        <v>50</v>
      </c>
      <c r="E150" s="222">
        <f t="shared" si="1"/>
        <v>50</v>
      </c>
      <c r="F150" s="240">
        <v>0</v>
      </c>
      <c r="G150" s="249">
        <v>1.7739435</v>
      </c>
      <c r="H150" s="222">
        <f t="shared" si="2"/>
        <v>1707.7770515239074</v>
      </c>
      <c r="I150" s="250">
        <v>0</v>
      </c>
      <c r="J150" s="33"/>
    </row>
    <row r="151" spans="1:10" ht="12.75" hidden="1">
      <c r="A151" s="151" t="s">
        <v>213</v>
      </c>
      <c r="B151" s="153">
        <v>226</v>
      </c>
      <c r="C151" s="151" t="s">
        <v>59</v>
      </c>
      <c r="D151" s="151">
        <v>69</v>
      </c>
      <c r="E151" s="222">
        <f t="shared" si="1"/>
        <v>69</v>
      </c>
      <c r="F151" s="240">
        <v>0</v>
      </c>
      <c r="G151" s="241">
        <v>1.7757002</v>
      </c>
      <c r="H151" s="222">
        <f t="shared" si="2"/>
        <v>1706.0875478867438</v>
      </c>
      <c r="I151" s="153">
        <v>1</v>
      </c>
      <c r="J151" s="33"/>
    </row>
    <row r="152" spans="1:10" ht="12.75" hidden="1">
      <c r="A152" s="151" t="s">
        <v>193</v>
      </c>
      <c r="B152" s="153">
        <v>342</v>
      </c>
      <c r="C152" s="151" t="s">
        <v>59</v>
      </c>
      <c r="D152" s="151">
        <v>24</v>
      </c>
      <c r="E152" s="222">
        <f t="shared" si="1"/>
        <v>24</v>
      </c>
      <c r="F152" s="240">
        <v>0</v>
      </c>
      <c r="G152" s="241">
        <v>1.7690288</v>
      </c>
      <c r="H152" s="222">
        <f t="shared" si="2"/>
        <v>1712.521582463779</v>
      </c>
      <c r="I152" s="153">
        <v>0.9</v>
      </c>
      <c r="J152" s="33"/>
    </row>
    <row r="153" spans="1:10" ht="12.75" hidden="1">
      <c r="A153" s="151" t="s">
        <v>203</v>
      </c>
      <c r="B153" s="153">
        <v>245</v>
      </c>
      <c r="C153" s="151" t="s">
        <v>59</v>
      </c>
      <c r="D153" s="151">
        <v>40</v>
      </c>
      <c r="E153" s="222">
        <f t="shared" si="1"/>
        <v>40</v>
      </c>
      <c r="F153" s="240">
        <v>0</v>
      </c>
      <c r="G153" s="241">
        <v>1.7809102</v>
      </c>
      <c r="H153" s="222">
        <f t="shared" si="2"/>
        <v>1701.0964393375928</v>
      </c>
      <c r="I153" s="153">
        <v>0.9</v>
      </c>
      <c r="J153" s="33"/>
    </row>
    <row r="154" spans="1:10" ht="12.75" hidden="1">
      <c r="A154" s="151" t="s">
        <v>139</v>
      </c>
      <c r="B154" s="153">
        <v>5091</v>
      </c>
      <c r="C154" s="151" t="s">
        <v>59</v>
      </c>
      <c r="D154" s="151">
        <v>29</v>
      </c>
      <c r="E154" s="222">
        <f t="shared" si="1"/>
        <v>29</v>
      </c>
      <c r="F154" s="240">
        <v>0</v>
      </c>
      <c r="G154" s="241">
        <v>1.7721936</v>
      </c>
      <c r="H154" s="222">
        <f t="shared" si="2"/>
        <v>1709.4633453139659</v>
      </c>
      <c r="I154" s="153">
        <v>1</v>
      </c>
      <c r="J154" s="33"/>
    </row>
    <row r="155" spans="1:10" ht="12.75" hidden="1">
      <c r="A155" s="151" t="s">
        <v>231</v>
      </c>
      <c r="B155" s="153">
        <v>6</v>
      </c>
      <c r="C155" s="151" t="s">
        <v>59</v>
      </c>
      <c r="D155" s="151">
        <v>20</v>
      </c>
      <c r="E155" s="222">
        <f t="shared" si="1"/>
        <v>20</v>
      </c>
      <c r="F155" s="240">
        <v>0</v>
      </c>
      <c r="G155" s="241">
        <v>1.774855</v>
      </c>
      <c r="H155" s="222">
        <f t="shared" si="2"/>
        <v>1706.9000002817131</v>
      </c>
      <c r="I155" s="153">
        <v>0.13</v>
      </c>
      <c r="J155" s="33"/>
    </row>
    <row r="156" spans="1:10" ht="12.75" hidden="1">
      <c r="A156" s="151" t="s">
        <v>207</v>
      </c>
      <c r="B156" s="153">
        <v>241</v>
      </c>
      <c r="C156" s="151" t="s">
        <v>59</v>
      </c>
      <c r="D156" s="151">
        <v>111</v>
      </c>
      <c r="E156" s="222">
        <f t="shared" si="1"/>
        <v>111</v>
      </c>
      <c r="F156" s="240">
        <v>0</v>
      </c>
      <c r="G156" s="241">
        <v>1.7692202</v>
      </c>
      <c r="H156" s="222">
        <f t="shared" si="2"/>
        <v>1712.3363163047768</v>
      </c>
      <c r="I156" s="153">
        <v>0.75</v>
      </c>
      <c r="J156" s="33"/>
    </row>
    <row r="157" spans="1:10" ht="12.75" hidden="1">
      <c r="A157" s="151" t="s">
        <v>205</v>
      </c>
      <c r="B157" s="153">
        <v>243</v>
      </c>
      <c r="C157" s="151" t="s">
        <v>59</v>
      </c>
      <c r="D157" s="151">
        <v>48</v>
      </c>
      <c r="E157" s="222">
        <f t="shared" si="1"/>
        <v>48</v>
      </c>
      <c r="F157" s="240">
        <v>0</v>
      </c>
      <c r="G157" s="241">
        <v>1.7758211</v>
      </c>
      <c r="H157" s="222">
        <f t="shared" si="2"/>
        <v>1705.971395429416</v>
      </c>
      <c r="I157" s="153">
        <v>0</v>
      </c>
      <c r="J157" s="33"/>
    </row>
    <row r="158" spans="1:10" ht="12.75" hidden="1">
      <c r="A158" s="151" t="s">
        <v>154</v>
      </c>
      <c r="B158" s="153">
        <v>2144</v>
      </c>
      <c r="C158" s="151" t="s">
        <v>59</v>
      </c>
      <c r="D158" s="151">
        <v>54</v>
      </c>
      <c r="E158" s="222">
        <f t="shared" si="1"/>
        <v>54</v>
      </c>
      <c r="F158" s="240">
        <v>0</v>
      </c>
      <c r="G158" s="241">
        <v>1.7746723</v>
      </c>
      <c r="H158" s="222">
        <f t="shared" si="2"/>
        <v>1707.0757232194362</v>
      </c>
      <c r="I158" s="153">
        <v>0</v>
      </c>
      <c r="J158" s="33"/>
    </row>
    <row r="159" spans="1:10" ht="12.75" hidden="1">
      <c r="A159" s="151" t="s">
        <v>215</v>
      </c>
      <c r="B159" s="153">
        <v>222</v>
      </c>
      <c r="C159" s="151" t="s">
        <v>59</v>
      </c>
      <c r="D159" s="151">
        <v>49</v>
      </c>
      <c r="E159" s="222">
        <f t="shared" si="1"/>
        <v>49</v>
      </c>
      <c r="F159" s="240">
        <v>0</v>
      </c>
      <c r="G159" s="241">
        <v>1.7711081</v>
      </c>
      <c r="H159" s="222">
        <f t="shared" si="2"/>
        <v>1710.5110636668649</v>
      </c>
      <c r="I159" s="153">
        <v>0.9</v>
      </c>
      <c r="J159" s="33"/>
    </row>
    <row r="160" spans="1:10" ht="12.75" hidden="1">
      <c r="A160" s="151" t="s">
        <v>183</v>
      </c>
      <c r="B160" s="153">
        <v>400</v>
      </c>
      <c r="C160" s="151" t="s">
        <v>60</v>
      </c>
      <c r="D160" s="151">
        <v>86</v>
      </c>
      <c r="E160" s="222">
        <f t="shared" si="1"/>
        <v>86</v>
      </c>
      <c r="F160" s="240">
        <v>0</v>
      </c>
      <c r="G160" s="241">
        <v>1.7775037</v>
      </c>
      <c r="H160" s="222">
        <f t="shared" si="2"/>
        <v>1704.356508512472</v>
      </c>
      <c r="I160" s="153">
        <v>1</v>
      </c>
      <c r="J160" s="33"/>
    </row>
    <row r="161" spans="1:10" ht="12.75" hidden="1">
      <c r="A161" s="151" t="s">
        <v>222</v>
      </c>
      <c r="B161" s="153">
        <v>201</v>
      </c>
      <c r="C161" s="151" t="s">
        <v>60</v>
      </c>
      <c r="D161" s="151">
        <v>119</v>
      </c>
      <c r="E161" s="222">
        <f t="shared" si="1"/>
        <v>104</v>
      </c>
      <c r="F161" s="240">
        <v>15</v>
      </c>
      <c r="G161" s="241">
        <v>1.7761346</v>
      </c>
      <c r="H161" s="222">
        <f t="shared" si="2"/>
        <v>1705.6702797186656</v>
      </c>
      <c r="I161" s="153">
        <v>0.67</v>
      </c>
      <c r="J161" s="33"/>
    </row>
    <row r="162" spans="1:10" ht="12.75" hidden="1">
      <c r="A162" s="151" t="s">
        <v>200</v>
      </c>
      <c r="B162" s="153">
        <v>259</v>
      </c>
      <c r="C162" s="151" t="s">
        <v>59</v>
      </c>
      <c r="D162" s="151">
        <v>77</v>
      </c>
      <c r="E162" s="222">
        <f t="shared" si="1"/>
        <v>77</v>
      </c>
      <c r="F162" s="240">
        <v>0</v>
      </c>
      <c r="G162" s="241">
        <v>1.7717325</v>
      </c>
      <c r="H162" s="222">
        <f t="shared" si="2"/>
        <v>1709.9082395339028</v>
      </c>
      <c r="I162" s="153">
        <v>0.3</v>
      </c>
      <c r="J162" s="33"/>
    </row>
    <row r="163" spans="1:10" ht="12.75" hidden="1">
      <c r="A163" s="151" t="s">
        <v>114</v>
      </c>
      <c r="B163" s="153">
        <v>528</v>
      </c>
      <c r="C163" s="151" t="s">
        <v>59</v>
      </c>
      <c r="D163" s="151">
        <v>56</v>
      </c>
      <c r="E163" s="222">
        <f t="shared" si="1"/>
        <v>56</v>
      </c>
      <c r="F163" s="240">
        <v>0</v>
      </c>
      <c r="G163" s="241">
        <v>1.7632299</v>
      </c>
      <c r="H163" s="222">
        <f t="shared" si="2"/>
        <v>1718.1537132508927</v>
      </c>
      <c r="I163" s="153">
        <v>0.2</v>
      </c>
      <c r="J163" s="33"/>
    </row>
    <row r="164" spans="1:10" ht="12.75" hidden="1">
      <c r="A164" s="151" t="s">
        <v>221</v>
      </c>
      <c r="B164" s="153">
        <v>202</v>
      </c>
      <c r="C164" s="151" t="s">
        <v>59</v>
      </c>
      <c r="D164" s="151">
        <v>106</v>
      </c>
      <c r="E164" s="222">
        <f t="shared" si="1"/>
        <v>106</v>
      </c>
      <c r="F164" s="240">
        <v>0</v>
      </c>
      <c r="G164" s="241">
        <v>1.7749516</v>
      </c>
      <c r="H164" s="222">
        <f t="shared" si="2"/>
        <v>1706.8071039232846</v>
      </c>
      <c r="I164" s="153">
        <v>1</v>
      </c>
      <c r="J164" s="33"/>
    </row>
    <row r="165" spans="1:10" ht="12.75" hidden="1">
      <c r="A165" s="151" t="s">
        <v>115</v>
      </c>
      <c r="B165" s="153">
        <v>526</v>
      </c>
      <c r="C165" s="151" t="s">
        <v>58</v>
      </c>
      <c r="D165" s="151">
        <v>45</v>
      </c>
      <c r="E165" s="222">
        <f t="shared" si="1"/>
        <v>45</v>
      </c>
      <c r="F165" s="240">
        <v>0</v>
      </c>
      <c r="G165" s="241">
        <v>1.7707055</v>
      </c>
      <c r="H165" s="222">
        <f t="shared" si="2"/>
        <v>1710.8999774383715</v>
      </c>
      <c r="I165" s="153">
        <v>0</v>
      </c>
      <c r="J165" s="33"/>
    </row>
    <row r="166" spans="1:10" ht="12.75" hidden="1">
      <c r="A166" s="151" t="s">
        <v>211</v>
      </c>
      <c r="B166" s="153">
        <v>231</v>
      </c>
      <c r="C166" s="151" t="s">
        <v>59</v>
      </c>
      <c r="D166" s="151">
        <v>42</v>
      </c>
      <c r="E166" s="222">
        <f t="shared" si="1"/>
        <v>42</v>
      </c>
      <c r="F166" s="240">
        <v>0</v>
      </c>
      <c r="G166" s="241">
        <v>1.7672838</v>
      </c>
      <c r="H166" s="222">
        <f t="shared" si="2"/>
        <v>1714.2125107467177</v>
      </c>
      <c r="I166" s="153">
        <v>1</v>
      </c>
      <c r="J166" s="33"/>
    </row>
    <row r="167" spans="1:10" ht="12.75" hidden="1">
      <c r="A167" s="151" t="s">
        <v>181</v>
      </c>
      <c r="B167" s="153">
        <v>405</v>
      </c>
      <c r="C167" s="151" t="s">
        <v>59</v>
      </c>
      <c r="D167" s="151">
        <v>93</v>
      </c>
      <c r="E167" s="222">
        <f t="shared" si="1"/>
        <v>93</v>
      </c>
      <c r="F167" s="240">
        <v>0</v>
      </c>
      <c r="G167" s="241">
        <v>1.7769121</v>
      </c>
      <c r="H167" s="222">
        <f t="shared" si="2"/>
        <v>1704.9239520626822</v>
      </c>
      <c r="I167" s="153">
        <v>1.1</v>
      </c>
      <c r="J167" s="33"/>
    </row>
    <row r="168" spans="1:10" ht="12.75" hidden="1">
      <c r="A168" s="151" t="s">
        <v>219</v>
      </c>
      <c r="B168" s="153">
        <v>215</v>
      </c>
      <c r="C168" s="151" t="s">
        <v>59</v>
      </c>
      <c r="D168" s="151">
        <v>84</v>
      </c>
      <c r="E168" s="222">
        <f t="shared" si="1"/>
        <v>84</v>
      </c>
      <c r="F168" s="240">
        <v>0</v>
      </c>
      <c r="G168" s="241">
        <v>1.7785359</v>
      </c>
      <c r="H168" s="222">
        <f t="shared" si="2"/>
        <v>1703.3673596355295</v>
      </c>
      <c r="I168" s="153">
        <v>0.9</v>
      </c>
      <c r="J168" s="33"/>
    </row>
    <row r="169" spans="1:10" ht="12.75" hidden="1">
      <c r="A169" s="151" t="s">
        <v>171</v>
      </c>
      <c r="B169" s="153">
        <v>457</v>
      </c>
      <c r="C169" s="151" t="s">
        <v>59</v>
      </c>
      <c r="D169" s="151">
        <v>42</v>
      </c>
      <c r="E169" s="222">
        <f t="shared" si="1"/>
        <v>42</v>
      </c>
      <c r="F169" s="240">
        <v>0</v>
      </c>
      <c r="G169" s="241">
        <v>1.7734181</v>
      </c>
      <c r="H169" s="222">
        <f t="shared" si="2"/>
        <v>1708.2830044420998</v>
      </c>
      <c r="I169" s="153">
        <v>0</v>
      </c>
      <c r="J169" s="33"/>
    </row>
    <row r="170" spans="1:10" ht="12.75" hidden="1">
      <c r="A170" s="151" t="s">
        <v>209</v>
      </c>
      <c r="B170" s="153">
        <v>239</v>
      </c>
      <c r="C170" s="151" t="s">
        <v>59</v>
      </c>
      <c r="D170" s="151">
        <v>44</v>
      </c>
      <c r="E170" s="222">
        <f t="shared" si="1"/>
        <v>44</v>
      </c>
      <c r="F170" s="240">
        <v>0</v>
      </c>
      <c r="G170" s="241">
        <v>1.7752983</v>
      </c>
      <c r="H170" s="222">
        <f t="shared" si="2"/>
        <v>1706.4737796459335</v>
      </c>
      <c r="I170" s="153">
        <v>0</v>
      </c>
      <c r="J170" s="33"/>
    </row>
    <row r="171" spans="1:10" ht="12.75" hidden="1">
      <c r="A171" s="151" t="s">
        <v>206</v>
      </c>
      <c r="B171" s="153">
        <v>242</v>
      </c>
      <c r="C171" s="151" t="s">
        <v>59</v>
      </c>
      <c r="D171" s="151">
        <v>44</v>
      </c>
      <c r="E171" s="222">
        <f t="shared" si="1"/>
        <v>44</v>
      </c>
      <c r="F171" s="240">
        <v>0</v>
      </c>
      <c r="G171" s="241">
        <v>1.7785284</v>
      </c>
      <c r="H171" s="222">
        <f t="shared" si="2"/>
        <v>1703.3745426837156</v>
      </c>
      <c r="I171" s="153">
        <v>0</v>
      </c>
      <c r="J171" s="33"/>
    </row>
    <row r="172" spans="1:10" ht="12.75" hidden="1">
      <c r="A172" s="151" t="s">
        <v>227</v>
      </c>
      <c r="B172" s="153">
        <v>91</v>
      </c>
      <c r="C172" s="151" t="s">
        <v>59</v>
      </c>
      <c r="D172" s="151">
        <v>30</v>
      </c>
      <c r="E172" s="222">
        <f t="shared" si="1"/>
        <v>30</v>
      </c>
      <c r="F172" s="240">
        <v>0</v>
      </c>
      <c r="G172" s="241">
        <v>1.7769144</v>
      </c>
      <c r="H172" s="222">
        <f t="shared" si="2"/>
        <v>1704.921745245579</v>
      </c>
      <c r="I172" s="153">
        <v>0.2</v>
      </c>
      <c r="J172" s="33"/>
    </row>
    <row r="173" spans="1:10" ht="12.75" hidden="1">
      <c r="A173" s="151" t="s">
        <v>148</v>
      </c>
      <c r="B173" s="153">
        <v>2331</v>
      </c>
      <c r="C173" s="151" t="s">
        <v>59</v>
      </c>
      <c r="D173" s="151">
        <v>22</v>
      </c>
      <c r="E173" s="222">
        <f t="shared" si="1"/>
        <v>22</v>
      </c>
      <c r="F173" s="240">
        <v>0</v>
      </c>
      <c r="G173" s="241">
        <v>1.7724007</v>
      </c>
      <c r="H173" s="222">
        <f t="shared" si="2"/>
        <v>1709.2635993655388</v>
      </c>
      <c r="I173" s="153">
        <v>0.4</v>
      </c>
      <c r="J173" s="33"/>
    </row>
    <row r="174" spans="1:10" ht="12.75" hidden="1">
      <c r="A174" s="151" t="s">
        <v>189</v>
      </c>
      <c r="B174" s="153">
        <v>368</v>
      </c>
      <c r="C174" s="151" t="s">
        <v>59</v>
      </c>
      <c r="D174" s="151">
        <v>23</v>
      </c>
      <c r="E174" s="222">
        <f t="shared" si="1"/>
        <v>23</v>
      </c>
      <c r="F174" s="240">
        <v>0</v>
      </c>
      <c r="G174" s="241">
        <v>1.7768705</v>
      </c>
      <c r="H174" s="222">
        <f t="shared" si="2"/>
        <v>1704.963867653833</v>
      </c>
      <c r="I174" s="153">
        <v>0</v>
      </c>
      <c r="J174" s="33"/>
    </row>
    <row r="175" spans="1:10" ht="12.75" hidden="1">
      <c r="A175" s="151" t="s">
        <v>126</v>
      </c>
      <c r="B175" s="153">
        <v>227</v>
      </c>
      <c r="C175" s="151" t="s">
        <v>60</v>
      </c>
      <c r="D175" s="151">
        <v>48</v>
      </c>
      <c r="E175" s="222">
        <f t="shared" si="1"/>
        <v>48</v>
      </c>
      <c r="F175" s="240">
        <v>0</v>
      </c>
      <c r="G175" s="241">
        <v>1.774855</v>
      </c>
      <c r="H175" s="222">
        <f t="shared" si="2"/>
        <v>1706.9000002817131</v>
      </c>
      <c r="I175" s="153">
        <v>0</v>
      </c>
      <c r="J175" s="33"/>
    </row>
    <row r="176" spans="1:10" ht="12.75" hidden="1">
      <c r="A176" s="151" t="s">
        <v>128</v>
      </c>
      <c r="B176" s="153">
        <v>223</v>
      </c>
      <c r="C176" s="151" t="s">
        <v>60</v>
      </c>
      <c r="D176" s="151">
        <v>74</v>
      </c>
      <c r="E176" s="222">
        <f t="shared" si="1"/>
        <v>74</v>
      </c>
      <c r="F176" s="240">
        <v>0</v>
      </c>
      <c r="G176" s="241">
        <v>1.7712275</v>
      </c>
      <c r="H176" s="222">
        <f t="shared" si="2"/>
        <v>1710.3957566151162</v>
      </c>
      <c r="I176" s="153">
        <v>0</v>
      </c>
      <c r="J176" s="33"/>
    </row>
    <row r="177" spans="1:10" ht="12.75" hidden="1">
      <c r="A177" s="151" t="s">
        <v>195</v>
      </c>
      <c r="B177" s="153">
        <v>331</v>
      </c>
      <c r="C177" s="151" t="s">
        <v>59</v>
      </c>
      <c r="D177" s="151">
        <v>94</v>
      </c>
      <c r="E177" s="222">
        <f t="shared" si="1"/>
        <v>94</v>
      </c>
      <c r="F177" s="240">
        <v>0</v>
      </c>
      <c r="G177" s="241">
        <v>1.7679728</v>
      </c>
      <c r="H177" s="222">
        <f t="shared" si="2"/>
        <v>1713.5444617700005</v>
      </c>
      <c r="I177" s="153">
        <v>1.08</v>
      </c>
      <c r="J177" s="33"/>
    </row>
    <row r="178" spans="1:10" ht="12.75" hidden="1">
      <c r="A178" s="151" t="s">
        <v>122</v>
      </c>
      <c r="B178" s="153">
        <v>363</v>
      </c>
      <c r="C178" s="151" t="s">
        <v>58</v>
      </c>
      <c r="D178" s="151">
        <v>50</v>
      </c>
      <c r="E178" s="222">
        <f t="shared" si="1"/>
        <v>50</v>
      </c>
      <c r="F178" s="240">
        <v>0</v>
      </c>
      <c r="G178" s="241">
        <v>1.7721006</v>
      </c>
      <c r="H178" s="222">
        <f t="shared" si="2"/>
        <v>1709.5530581051664</v>
      </c>
      <c r="I178" s="153">
        <v>0.8</v>
      </c>
      <c r="J178" s="33"/>
    </row>
    <row r="179" spans="1:10" ht="12.75" hidden="1">
      <c r="A179" s="151" t="s">
        <v>163</v>
      </c>
      <c r="B179" s="153">
        <v>501</v>
      </c>
      <c r="C179" s="151" t="s">
        <v>60</v>
      </c>
      <c r="D179" s="151">
        <v>124</v>
      </c>
      <c r="E179" s="222">
        <f t="shared" si="1"/>
        <v>105</v>
      </c>
      <c r="F179" s="240">
        <v>19</v>
      </c>
      <c r="G179" s="241">
        <v>1.772926</v>
      </c>
      <c r="H179" s="222">
        <f t="shared" si="2"/>
        <v>1708.7571618894415</v>
      </c>
      <c r="I179" s="153">
        <v>1</v>
      </c>
      <c r="J179" s="33"/>
    </row>
    <row r="180" spans="1:10" ht="12.75" hidden="1">
      <c r="A180" s="151" t="s">
        <v>217</v>
      </c>
      <c r="B180" s="153">
        <v>219</v>
      </c>
      <c r="C180" s="151" t="s">
        <v>59</v>
      </c>
      <c r="D180" s="151">
        <v>74</v>
      </c>
      <c r="E180" s="222">
        <f aca="true" t="shared" si="3" ref="E180:E209">D180-F180</f>
        <v>74</v>
      </c>
      <c r="F180" s="240">
        <v>0</v>
      </c>
      <c r="G180" s="241">
        <v>1.7755311</v>
      </c>
      <c r="H180" s="222">
        <f aca="true" t="shared" si="4" ref="H180:H209">365/G180*8.3</f>
        <v>1706.250034144713</v>
      </c>
      <c r="I180" s="153">
        <v>0</v>
      </c>
      <c r="J180" s="33"/>
    </row>
    <row r="181" spans="1:10" ht="12.75" hidden="1">
      <c r="A181" s="151" t="s">
        <v>127</v>
      </c>
      <c r="B181" s="153">
        <v>225</v>
      </c>
      <c r="C181" s="151" t="s">
        <v>60</v>
      </c>
      <c r="D181" s="151">
        <v>36</v>
      </c>
      <c r="E181" s="222">
        <f t="shared" si="3"/>
        <v>36</v>
      </c>
      <c r="F181" s="240">
        <v>0</v>
      </c>
      <c r="G181" s="241">
        <v>1.775586</v>
      </c>
      <c r="H181" s="222">
        <f t="shared" si="4"/>
        <v>1706.1972779690761</v>
      </c>
      <c r="I181" s="153">
        <v>0.25</v>
      </c>
      <c r="J181" s="33"/>
    </row>
    <row r="182" spans="1:10" ht="12.75" hidden="1">
      <c r="A182" s="151" t="s">
        <v>197</v>
      </c>
      <c r="B182" s="153">
        <v>326</v>
      </c>
      <c r="C182" s="151" t="s">
        <v>59</v>
      </c>
      <c r="D182" s="151">
        <v>34</v>
      </c>
      <c r="E182" s="222">
        <f t="shared" si="3"/>
        <v>34</v>
      </c>
      <c r="F182" s="240">
        <v>0</v>
      </c>
      <c r="G182" s="241">
        <v>1.7737102</v>
      </c>
      <c r="H182" s="222">
        <f t="shared" si="4"/>
        <v>1708.0016791920123</v>
      </c>
      <c r="I182" s="153">
        <v>0</v>
      </c>
      <c r="J182" s="33"/>
    </row>
    <row r="183" spans="1:10" ht="12.75" hidden="1">
      <c r="A183" s="151" t="s">
        <v>157</v>
      </c>
      <c r="B183" s="153">
        <v>2141</v>
      </c>
      <c r="C183" s="151" t="s">
        <v>59</v>
      </c>
      <c r="D183" s="151">
        <v>36</v>
      </c>
      <c r="E183" s="222">
        <f t="shared" si="3"/>
        <v>36</v>
      </c>
      <c r="F183" s="240">
        <v>0</v>
      </c>
      <c r="G183" s="241">
        <v>1.7746723</v>
      </c>
      <c r="H183" s="222">
        <f t="shared" si="4"/>
        <v>1707.0757232194362</v>
      </c>
      <c r="I183" s="153">
        <v>0</v>
      </c>
      <c r="J183" s="33"/>
    </row>
    <row r="184" spans="1:10" ht="12.75" hidden="1">
      <c r="A184" s="151" t="s">
        <v>188</v>
      </c>
      <c r="B184" s="153">
        <v>371</v>
      </c>
      <c r="C184" s="151" t="s">
        <v>59</v>
      </c>
      <c r="D184" s="151">
        <v>29</v>
      </c>
      <c r="E184" s="222">
        <f t="shared" si="3"/>
        <v>29</v>
      </c>
      <c r="F184" s="240">
        <v>0</v>
      </c>
      <c r="G184" s="241">
        <v>1.7702512</v>
      </c>
      <c r="H184" s="222">
        <f t="shared" si="4"/>
        <v>1711.3390461195565</v>
      </c>
      <c r="I184" s="153">
        <v>0</v>
      </c>
      <c r="J184" s="33"/>
    </row>
    <row r="185" spans="1:10" ht="12.75" hidden="1">
      <c r="A185" s="151" t="s">
        <v>232</v>
      </c>
      <c r="B185" s="153">
        <v>4</v>
      </c>
      <c r="C185" s="151" t="s">
        <v>58</v>
      </c>
      <c r="D185" s="151">
        <v>52</v>
      </c>
      <c r="E185" s="222">
        <f t="shared" si="3"/>
        <v>52</v>
      </c>
      <c r="F185" s="240">
        <v>0</v>
      </c>
      <c r="G185" s="241">
        <v>1.7811646</v>
      </c>
      <c r="H185" s="222">
        <f t="shared" si="4"/>
        <v>1700.853475304865</v>
      </c>
      <c r="I185" s="153">
        <v>0</v>
      </c>
      <c r="J185" s="33"/>
    </row>
    <row r="186" spans="1:10" ht="12.75" hidden="1">
      <c r="A186" s="151" t="s">
        <v>152</v>
      </c>
      <c r="B186" s="153">
        <v>2202</v>
      </c>
      <c r="C186" s="151" t="s">
        <v>58</v>
      </c>
      <c r="D186" s="151">
        <v>14</v>
      </c>
      <c r="E186" s="222">
        <f t="shared" si="3"/>
        <v>14</v>
      </c>
      <c r="F186" s="240">
        <v>0</v>
      </c>
      <c r="G186" s="241">
        <v>1.7775037</v>
      </c>
      <c r="H186" s="222">
        <f t="shared" si="4"/>
        <v>1704.356508512472</v>
      </c>
      <c r="I186" s="153">
        <v>0.8</v>
      </c>
      <c r="J186" s="33"/>
    </row>
    <row r="187" spans="1:10" ht="12.75" hidden="1">
      <c r="A187" s="151" t="s">
        <v>212</v>
      </c>
      <c r="B187" s="153">
        <v>229</v>
      </c>
      <c r="C187" s="151" t="s">
        <v>59</v>
      </c>
      <c r="D187" s="151">
        <v>29</v>
      </c>
      <c r="E187" s="222">
        <f t="shared" si="3"/>
        <v>29</v>
      </c>
      <c r="F187" s="240">
        <v>0</v>
      </c>
      <c r="G187" s="241">
        <v>1.7767882</v>
      </c>
      <c r="H187" s="222">
        <f t="shared" si="4"/>
        <v>1705.0428407842874</v>
      </c>
      <c r="I187" s="153">
        <v>1</v>
      </c>
      <c r="J187" s="33"/>
    </row>
    <row r="188" spans="1:10" ht="12.75" hidden="1">
      <c r="A188" s="151" t="s">
        <v>174</v>
      </c>
      <c r="B188" s="153">
        <v>452</v>
      </c>
      <c r="C188" s="151" t="s">
        <v>62</v>
      </c>
      <c r="D188" s="151">
        <v>22</v>
      </c>
      <c r="E188" s="222">
        <f t="shared" si="3"/>
        <v>22</v>
      </c>
      <c r="F188" s="240">
        <v>0</v>
      </c>
      <c r="G188" s="241">
        <v>1.7789196</v>
      </c>
      <c r="H188" s="222">
        <f t="shared" si="4"/>
        <v>1702.9999557034507</v>
      </c>
      <c r="I188" s="153">
        <v>0</v>
      </c>
      <c r="J188" s="33"/>
    </row>
    <row r="189" spans="1:10" ht="12.75" hidden="1">
      <c r="A189" s="151" t="s">
        <v>116</v>
      </c>
      <c r="B189" s="153">
        <v>524</v>
      </c>
      <c r="C189" s="151" t="s">
        <v>58</v>
      </c>
      <c r="D189" s="151">
        <v>56</v>
      </c>
      <c r="E189" s="222">
        <f t="shared" si="3"/>
        <v>56</v>
      </c>
      <c r="F189" s="240">
        <v>0</v>
      </c>
      <c r="G189" s="241">
        <v>1.7699531</v>
      </c>
      <c r="H189" s="222">
        <f t="shared" si="4"/>
        <v>1711.627274191616</v>
      </c>
      <c r="I189" s="153">
        <v>0</v>
      </c>
      <c r="J189" s="33"/>
    </row>
    <row r="190" spans="1:10" ht="12.75" hidden="1">
      <c r="A190" s="151" t="s">
        <v>142</v>
      </c>
      <c r="B190" s="153">
        <v>5003</v>
      </c>
      <c r="C190" s="151" t="s">
        <v>58</v>
      </c>
      <c r="D190" s="151">
        <v>30</v>
      </c>
      <c r="E190" s="222">
        <f t="shared" si="3"/>
        <v>30</v>
      </c>
      <c r="F190" s="240">
        <v>0</v>
      </c>
      <c r="G190" s="241">
        <v>1.7720763</v>
      </c>
      <c r="H190" s="222">
        <f t="shared" si="4"/>
        <v>1709.576500740967</v>
      </c>
      <c r="I190" s="153">
        <v>0.5</v>
      </c>
      <c r="J190" s="33"/>
    </row>
    <row r="191" spans="1:10" ht="12.75" hidden="1">
      <c r="A191" s="151" t="s">
        <v>182</v>
      </c>
      <c r="B191" s="153">
        <v>403</v>
      </c>
      <c r="C191" s="151" t="s">
        <v>59</v>
      </c>
      <c r="D191" s="151">
        <v>32</v>
      </c>
      <c r="E191" s="222">
        <f t="shared" si="3"/>
        <v>32</v>
      </c>
      <c r="F191" s="240">
        <v>0</v>
      </c>
      <c r="G191" s="241">
        <v>1.7757002</v>
      </c>
      <c r="H191" s="222">
        <f t="shared" si="4"/>
        <v>1706.0875478867438</v>
      </c>
      <c r="I191" s="153">
        <v>0.6</v>
      </c>
      <c r="J191" s="33"/>
    </row>
    <row r="192" spans="1:10" ht="12.75" hidden="1">
      <c r="A192" s="151" t="s">
        <v>179</v>
      </c>
      <c r="B192" s="153">
        <v>424</v>
      </c>
      <c r="C192" s="151" t="s">
        <v>58</v>
      </c>
      <c r="D192" s="151">
        <v>50</v>
      </c>
      <c r="E192" s="222">
        <f t="shared" si="3"/>
        <v>50</v>
      </c>
      <c r="F192" s="240">
        <v>0</v>
      </c>
      <c r="G192" s="241">
        <v>1.7795988</v>
      </c>
      <c r="H192" s="222">
        <f t="shared" si="4"/>
        <v>1702.3499903461386</v>
      </c>
      <c r="I192" s="153">
        <v>0</v>
      </c>
      <c r="J192" s="33"/>
    </row>
    <row r="193" spans="1:10" ht="12.75" hidden="1">
      <c r="A193" s="151" t="s">
        <v>145</v>
      </c>
      <c r="B193" s="153">
        <v>3451</v>
      </c>
      <c r="C193" s="151" t="s">
        <v>59</v>
      </c>
      <c r="D193" s="151">
        <v>51</v>
      </c>
      <c r="E193" s="222">
        <f t="shared" si="3"/>
        <v>51</v>
      </c>
      <c r="F193" s="240">
        <v>0</v>
      </c>
      <c r="G193" s="241">
        <v>1.7776162</v>
      </c>
      <c r="H193" s="222">
        <f t="shared" si="4"/>
        <v>1704.2486448987133</v>
      </c>
      <c r="I193" s="153">
        <v>0.2</v>
      </c>
      <c r="J193" s="33"/>
    </row>
    <row r="194" spans="1:10" ht="12.75" hidden="1">
      <c r="A194" s="151" t="s">
        <v>160</v>
      </c>
      <c r="B194" s="153">
        <v>530</v>
      </c>
      <c r="C194" s="151" t="s">
        <v>59</v>
      </c>
      <c r="D194" s="151">
        <v>20</v>
      </c>
      <c r="E194" s="222">
        <f t="shared" si="3"/>
        <v>20</v>
      </c>
      <c r="F194" s="240">
        <v>0</v>
      </c>
      <c r="G194" s="241">
        <v>1.7666649</v>
      </c>
      <c r="H194" s="222">
        <f t="shared" si="4"/>
        <v>1714.8130355677524</v>
      </c>
      <c r="I194" s="153">
        <v>0</v>
      </c>
      <c r="J194" s="33"/>
    </row>
    <row r="195" spans="1:10" ht="12.75" hidden="1">
      <c r="A195" s="151" t="s">
        <v>153</v>
      </c>
      <c r="B195" s="153">
        <v>2201</v>
      </c>
      <c r="C195" s="151" t="s">
        <v>58</v>
      </c>
      <c r="D195" s="151">
        <v>24</v>
      </c>
      <c r="E195" s="222">
        <f t="shared" si="3"/>
        <v>24</v>
      </c>
      <c r="F195" s="240">
        <v>0</v>
      </c>
      <c r="G195" s="241">
        <v>1.7775037</v>
      </c>
      <c r="H195" s="222">
        <f t="shared" si="4"/>
        <v>1704.356508512472</v>
      </c>
      <c r="I195" s="153">
        <v>0</v>
      </c>
      <c r="J195" s="33"/>
    </row>
    <row r="196" spans="1:10" ht="12.75" hidden="1">
      <c r="A196" s="151" t="s">
        <v>204</v>
      </c>
      <c r="B196" s="153">
        <v>244</v>
      </c>
      <c r="C196" s="151" t="s">
        <v>59</v>
      </c>
      <c r="D196" s="151">
        <v>52</v>
      </c>
      <c r="E196" s="222">
        <f t="shared" si="3"/>
        <v>52</v>
      </c>
      <c r="F196" s="240">
        <v>0</v>
      </c>
      <c r="G196" s="241">
        <v>1.7724007</v>
      </c>
      <c r="H196" s="222">
        <f t="shared" si="4"/>
        <v>1709.2635993655388</v>
      </c>
      <c r="I196" s="153">
        <v>0.3</v>
      </c>
      <c r="J196" s="33"/>
    </row>
    <row r="197" spans="1:10" ht="12.75" hidden="1">
      <c r="A197" s="151" t="s">
        <v>146</v>
      </c>
      <c r="B197" s="153">
        <v>3371</v>
      </c>
      <c r="C197" s="151" t="s">
        <v>60</v>
      </c>
      <c r="D197" s="151">
        <v>17</v>
      </c>
      <c r="E197" s="222">
        <f t="shared" si="3"/>
        <v>0</v>
      </c>
      <c r="F197" s="240">
        <v>17</v>
      </c>
      <c r="G197" s="241">
        <v>1.7739543</v>
      </c>
      <c r="H197" s="222">
        <f t="shared" si="4"/>
        <v>1707.7666544171968</v>
      </c>
      <c r="I197" s="153">
        <v>0</v>
      </c>
      <c r="J197" s="33"/>
    </row>
    <row r="198" spans="1:10" ht="12.75" hidden="1">
      <c r="A198" s="151" t="s">
        <v>158</v>
      </c>
      <c r="B198" s="153">
        <v>533</v>
      </c>
      <c r="C198" s="151" t="s">
        <v>59</v>
      </c>
      <c r="D198" s="151">
        <v>25</v>
      </c>
      <c r="E198" s="222">
        <f t="shared" si="3"/>
        <v>25</v>
      </c>
      <c r="F198" s="240">
        <v>0</v>
      </c>
      <c r="G198" s="241">
        <v>1.7694644</v>
      </c>
      <c r="H198" s="222">
        <f t="shared" si="4"/>
        <v>1712.1000004295088</v>
      </c>
      <c r="I198" s="153">
        <v>0</v>
      </c>
      <c r="J198" s="33"/>
    </row>
    <row r="199" spans="1:10" ht="12.75" hidden="1">
      <c r="A199" s="151" t="s">
        <v>169</v>
      </c>
      <c r="B199" s="153">
        <v>480</v>
      </c>
      <c r="C199" s="151" t="s">
        <v>59</v>
      </c>
      <c r="D199" s="151">
        <v>31</v>
      </c>
      <c r="E199" s="222">
        <f t="shared" si="3"/>
        <v>31</v>
      </c>
      <c r="F199" s="240">
        <v>0</v>
      </c>
      <c r="G199" s="241">
        <v>1.7759822</v>
      </c>
      <c r="H199" s="222">
        <f t="shared" si="4"/>
        <v>1705.8166461353048</v>
      </c>
      <c r="I199" s="153">
        <v>0.1</v>
      </c>
      <c r="J199" s="33"/>
    </row>
    <row r="200" spans="1:10" ht="12.75" hidden="1">
      <c r="A200" s="151" t="s">
        <v>178</v>
      </c>
      <c r="B200" s="153">
        <v>442</v>
      </c>
      <c r="C200" s="151" t="s">
        <v>59</v>
      </c>
      <c r="D200" s="151">
        <v>45</v>
      </c>
      <c r="E200" s="222">
        <f t="shared" si="3"/>
        <v>45</v>
      </c>
      <c r="F200" s="240">
        <v>0</v>
      </c>
      <c r="G200" s="241">
        <v>1.7770379</v>
      </c>
      <c r="H200" s="222">
        <f t="shared" si="4"/>
        <v>1704.803257150565</v>
      </c>
      <c r="I200" s="153">
        <v>0.9</v>
      </c>
      <c r="J200" s="33"/>
    </row>
    <row r="201" spans="1:10" ht="12.75" hidden="1">
      <c r="A201" s="151" t="s">
        <v>199</v>
      </c>
      <c r="B201" s="153">
        <v>304</v>
      </c>
      <c r="C201" s="151" t="s">
        <v>59</v>
      </c>
      <c r="D201" s="151">
        <v>14</v>
      </c>
      <c r="E201" s="222">
        <f t="shared" si="3"/>
        <v>14</v>
      </c>
      <c r="F201" s="240">
        <v>0</v>
      </c>
      <c r="G201" s="241">
        <v>1.7816396</v>
      </c>
      <c r="H201" s="222">
        <f t="shared" si="4"/>
        <v>1700.400013560543</v>
      </c>
      <c r="I201" s="153">
        <v>0</v>
      </c>
      <c r="J201" s="33"/>
    </row>
    <row r="202" spans="1:10" ht="12.75" hidden="1">
      <c r="A202" s="151" t="s">
        <v>121</v>
      </c>
      <c r="B202" s="153">
        <v>370</v>
      </c>
      <c r="C202" s="151" t="s">
        <v>60</v>
      </c>
      <c r="D202" s="151">
        <v>62</v>
      </c>
      <c r="E202" s="222">
        <f t="shared" si="3"/>
        <v>62</v>
      </c>
      <c r="F202" s="240">
        <v>0</v>
      </c>
      <c r="G202" s="241">
        <v>1.7703928</v>
      </c>
      <c r="H202" s="222">
        <f t="shared" si="4"/>
        <v>1711.2021693716786</v>
      </c>
      <c r="I202" s="153">
        <v>0</v>
      </c>
      <c r="J202" s="33"/>
    </row>
    <row r="203" spans="1:10" ht="12.75" hidden="1">
      <c r="A203" s="245" t="s">
        <v>233</v>
      </c>
      <c r="B203" s="246">
        <v>488</v>
      </c>
      <c r="C203" s="245"/>
      <c r="D203" s="245">
        <v>33</v>
      </c>
      <c r="E203" s="222">
        <f t="shared" si="3"/>
        <v>33</v>
      </c>
      <c r="F203" s="240">
        <v>0</v>
      </c>
      <c r="G203" s="242">
        <v>1.76745135789504</v>
      </c>
      <c r="H203" s="222">
        <f t="shared" si="4"/>
        <v>1714.050000000004</v>
      </c>
      <c r="I203" s="246">
        <v>0</v>
      </c>
      <c r="J203" s="33"/>
    </row>
    <row r="204" spans="1:10" ht="12.75" hidden="1">
      <c r="A204" s="151" t="s">
        <v>144</v>
      </c>
      <c r="B204" s="153">
        <v>3452</v>
      </c>
      <c r="C204" s="151" t="s">
        <v>60</v>
      </c>
      <c r="D204" s="151">
        <v>58</v>
      </c>
      <c r="E204" s="222">
        <f t="shared" si="3"/>
        <v>58</v>
      </c>
      <c r="F204" s="240">
        <v>0</v>
      </c>
      <c r="G204" s="241">
        <v>1.7776162</v>
      </c>
      <c r="H204" s="222">
        <f t="shared" si="4"/>
        <v>1704.2486448987133</v>
      </c>
      <c r="I204" s="153">
        <v>0.2</v>
      </c>
      <c r="J204" s="33"/>
    </row>
    <row r="205" spans="1:10" ht="12.75" hidden="1">
      <c r="A205" s="245" t="s">
        <v>237</v>
      </c>
      <c r="B205" s="246">
        <v>489</v>
      </c>
      <c r="C205" s="245"/>
      <c r="D205" s="245">
        <v>41</v>
      </c>
      <c r="E205" s="222">
        <f t="shared" si="3"/>
        <v>41</v>
      </c>
      <c r="F205" s="240">
        <v>0</v>
      </c>
      <c r="G205" s="242">
        <v>1.76745135789504</v>
      </c>
      <c r="H205" s="222">
        <f t="shared" si="4"/>
        <v>1714.050000000004</v>
      </c>
      <c r="I205" s="246">
        <v>0</v>
      </c>
      <c r="J205" s="33"/>
    </row>
    <row r="206" spans="1:10" ht="12.75" hidden="1">
      <c r="A206" s="151" t="s">
        <v>112</v>
      </c>
      <c r="B206" s="153">
        <v>537</v>
      </c>
      <c r="C206" s="151" t="s">
        <v>58</v>
      </c>
      <c r="D206" s="151">
        <v>48</v>
      </c>
      <c r="E206" s="222">
        <f t="shared" si="3"/>
        <v>48</v>
      </c>
      <c r="F206" s="240">
        <v>0</v>
      </c>
      <c r="G206" s="241">
        <v>1.7690953</v>
      </c>
      <c r="H206" s="222">
        <f t="shared" si="4"/>
        <v>1712.4572090604731</v>
      </c>
      <c r="I206" s="153">
        <v>1</v>
      </c>
      <c r="J206" s="33"/>
    </row>
    <row r="207" spans="1:10" ht="12.75" hidden="1">
      <c r="A207" s="151" t="s">
        <v>162</v>
      </c>
      <c r="B207" s="153">
        <v>502</v>
      </c>
      <c r="C207" s="151" t="s">
        <v>59</v>
      </c>
      <c r="D207" s="151">
        <v>100</v>
      </c>
      <c r="E207" s="222">
        <f t="shared" si="3"/>
        <v>100</v>
      </c>
      <c r="F207" s="240">
        <v>0</v>
      </c>
      <c r="G207" s="241">
        <v>1.7785236</v>
      </c>
      <c r="H207" s="222">
        <f t="shared" si="4"/>
        <v>1703.3791398663477</v>
      </c>
      <c r="I207" s="153">
        <v>1</v>
      </c>
      <c r="J207" s="33"/>
    </row>
    <row r="208" spans="1:10" ht="12.75" hidden="1">
      <c r="A208" s="151" t="s">
        <v>147</v>
      </c>
      <c r="B208" s="153">
        <v>2332</v>
      </c>
      <c r="C208" s="151" t="s">
        <v>58</v>
      </c>
      <c r="D208" s="151">
        <v>21</v>
      </c>
      <c r="E208" s="222">
        <f t="shared" si="3"/>
        <v>21</v>
      </c>
      <c r="F208" s="240">
        <v>0</v>
      </c>
      <c r="G208" s="241">
        <v>1.7724007</v>
      </c>
      <c r="H208" s="222">
        <f t="shared" si="4"/>
        <v>1709.2635993655388</v>
      </c>
      <c r="I208" s="153">
        <v>0.8</v>
      </c>
      <c r="J208" s="33"/>
    </row>
    <row r="209" spans="1:10" ht="12.75" hidden="1">
      <c r="A209" s="151" t="s">
        <v>192</v>
      </c>
      <c r="B209" s="153">
        <v>350</v>
      </c>
      <c r="C209" s="151" t="s">
        <v>58</v>
      </c>
      <c r="D209" s="151">
        <v>31</v>
      </c>
      <c r="E209" s="222">
        <f t="shared" si="3"/>
        <v>31</v>
      </c>
      <c r="F209" s="240">
        <v>0</v>
      </c>
      <c r="G209" s="241">
        <v>1.7767215</v>
      </c>
      <c r="H209" s="222">
        <f t="shared" si="4"/>
        <v>1705.106849891781</v>
      </c>
      <c r="I209" s="153">
        <v>0</v>
      </c>
      <c r="J209" s="33"/>
    </row>
    <row r="210" spans="1:10" ht="12.75" hidden="1">
      <c r="A210" s="151" t="s">
        <v>107</v>
      </c>
      <c r="B210" s="153">
        <v>541</v>
      </c>
      <c r="C210" s="151" t="s">
        <v>108</v>
      </c>
      <c r="D210" s="151">
        <v>51</v>
      </c>
      <c r="E210" s="222">
        <f aca="true" t="shared" si="5" ref="E210:E239">D210-F210</f>
        <v>51</v>
      </c>
      <c r="F210" s="240">
        <v>0</v>
      </c>
      <c r="G210" s="241">
        <v>1.77807</v>
      </c>
      <c r="H210" s="222">
        <f aca="true" t="shared" si="6" ref="H210:H239">365/G210*8.3</f>
        <v>1703.8136856254255</v>
      </c>
      <c r="I210" s="153">
        <v>0</v>
      </c>
      <c r="J210" s="33"/>
    </row>
    <row r="211" spans="1:10" ht="12.75" hidden="1">
      <c r="A211" s="151" t="s">
        <v>166</v>
      </c>
      <c r="B211" s="153">
        <v>486</v>
      </c>
      <c r="C211" s="151" t="s">
        <v>59</v>
      </c>
      <c r="D211" s="151">
        <v>61</v>
      </c>
      <c r="E211" s="222">
        <f t="shared" si="5"/>
        <v>61</v>
      </c>
      <c r="F211" s="240">
        <v>0</v>
      </c>
      <c r="G211" s="241">
        <v>1.772926</v>
      </c>
      <c r="H211" s="222">
        <f t="shared" si="6"/>
        <v>1708.7571618894415</v>
      </c>
      <c r="I211" s="153">
        <v>0.35</v>
      </c>
      <c r="J211" s="33"/>
    </row>
    <row r="212" spans="1:10" ht="12.75" hidden="1">
      <c r="A212" s="151" t="s">
        <v>194</v>
      </c>
      <c r="B212" s="153">
        <v>333</v>
      </c>
      <c r="C212" s="151" t="s">
        <v>59</v>
      </c>
      <c r="D212" s="151">
        <v>17</v>
      </c>
      <c r="E212" s="222">
        <f t="shared" si="5"/>
        <v>17</v>
      </c>
      <c r="F212" s="240">
        <v>0</v>
      </c>
      <c r="G212" s="241">
        <v>1.7772721</v>
      </c>
      <c r="H212" s="222">
        <f t="shared" si="6"/>
        <v>1704.5786067310685</v>
      </c>
      <c r="I212" s="153">
        <v>0.5</v>
      </c>
      <c r="J212" s="33"/>
    </row>
    <row r="213" spans="1:10" ht="12.75" hidden="1">
      <c r="A213" s="151" t="s">
        <v>218</v>
      </c>
      <c r="B213" s="153">
        <v>216</v>
      </c>
      <c r="C213" s="151" t="s">
        <v>59</v>
      </c>
      <c r="D213" s="151">
        <v>54</v>
      </c>
      <c r="E213" s="222">
        <f t="shared" si="5"/>
        <v>54</v>
      </c>
      <c r="F213" s="240">
        <v>0</v>
      </c>
      <c r="G213" s="241">
        <v>1.7777686</v>
      </c>
      <c r="H213" s="222">
        <f t="shared" si="6"/>
        <v>1704.1025474294015</v>
      </c>
      <c r="I213" s="153">
        <v>0</v>
      </c>
      <c r="J213" s="33"/>
    </row>
    <row r="214" spans="1:10" ht="12.75" hidden="1">
      <c r="A214" s="151" t="s">
        <v>214</v>
      </c>
      <c r="B214" s="153">
        <v>224</v>
      </c>
      <c r="C214" s="151" t="s">
        <v>59</v>
      </c>
      <c r="D214" s="151">
        <v>41</v>
      </c>
      <c r="E214" s="222">
        <f t="shared" si="5"/>
        <v>41</v>
      </c>
      <c r="F214" s="240">
        <v>0</v>
      </c>
      <c r="G214" s="241">
        <v>1.7770081</v>
      </c>
      <c r="H214" s="222">
        <f t="shared" si="6"/>
        <v>1704.8318462926536</v>
      </c>
      <c r="I214" s="153">
        <v>0.25</v>
      </c>
      <c r="J214" s="33"/>
    </row>
    <row r="215" spans="1:9" ht="12.75" hidden="1">
      <c r="A215" s="151" t="s">
        <v>185</v>
      </c>
      <c r="B215" s="153">
        <v>392</v>
      </c>
      <c r="C215" s="151" t="s">
        <v>59</v>
      </c>
      <c r="D215" s="151">
        <v>33</v>
      </c>
      <c r="E215" s="222">
        <f t="shared" si="5"/>
        <v>33</v>
      </c>
      <c r="F215" s="240">
        <v>0</v>
      </c>
      <c r="G215" s="241">
        <v>1.7741438</v>
      </c>
      <c r="H215" s="222">
        <f t="shared" si="6"/>
        <v>1707.5842442985738</v>
      </c>
      <c r="I215" s="153">
        <v>0</v>
      </c>
    </row>
    <row r="216" spans="1:9" ht="12.75" hidden="1">
      <c r="A216" s="151" t="s">
        <v>230</v>
      </c>
      <c r="B216" s="153">
        <v>20</v>
      </c>
      <c r="C216" s="151" t="s">
        <v>59</v>
      </c>
      <c r="D216" s="151">
        <v>36</v>
      </c>
      <c r="E216" s="222">
        <f t="shared" si="5"/>
        <v>36</v>
      </c>
      <c r="F216" s="240">
        <v>0</v>
      </c>
      <c r="G216" s="241">
        <v>1.7724007</v>
      </c>
      <c r="H216" s="222">
        <f t="shared" si="6"/>
        <v>1709.2635993655388</v>
      </c>
      <c r="I216" s="153">
        <v>0.35</v>
      </c>
    </row>
    <row r="217" spans="1:9" ht="12.75" hidden="1">
      <c r="A217" s="151" t="s">
        <v>180</v>
      </c>
      <c r="B217" s="153">
        <v>409</v>
      </c>
      <c r="C217" s="151" t="s">
        <v>59</v>
      </c>
      <c r="D217" s="151">
        <v>54</v>
      </c>
      <c r="E217" s="222">
        <f t="shared" si="5"/>
        <v>54</v>
      </c>
      <c r="F217" s="240">
        <v>0</v>
      </c>
      <c r="G217" s="241">
        <v>1.7755311</v>
      </c>
      <c r="H217" s="222">
        <f t="shared" si="6"/>
        <v>1706.250034144713</v>
      </c>
      <c r="I217" s="153">
        <v>0.8</v>
      </c>
    </row>
    <row r="218" spans="1:9" ht="12.75" hidden="1">
      <c r="A218" s="151" t="s">
        <v>210</v>
      </c>
      <c r="B218" s="153">
        <v>236</v>
      </c>
      <c r="C218" s="151" t="s">
        <v>58</v>
      </c>
      <c r="D218" s="151">
        <v>27</v>
      </c>
      <c r="E218" s="222">
        <f t="shared" si="5"/>
        <v>27</v>
      </c>
      <c r="F218" s="240">
        <v>0</v>
      </c>
      <c r="G218" s="241">
        <v>1.7755311</v>
      </c>
      <c r="H218" s="222">
        <f t="shared" si="6"/>
        <v>1706.250034144713</v>
      </c>
      <c r="I218" s="153">
        <v>0.4</v>
      </c>
    </row>
    <row r="219" spans="1:9" ht="12.75" hidden="1">
      <c r="A219" s="151" t="s">
        <v>156</v>
      </c>
      <c r="B219" s="153">
        <v>2142</v>
      </c>
      <c r="C219" s="151" t="s">
        <v>59</v>
      </c>
      <c r="D219" s="151">
        <v>28</v>
      </c>
      <c r="E219" s="222">
        <f t="shared" si="5"/>
        <v>0</v>
      </c>
      <c r="F219" s="240">
        <v>28</v>
      </c>
      <c r="G219" s="241">
        <v>1.7746723</v>
      </c>
      <c r="H219" s="222">
        <f t="shared" si="6"/>
        <v>1707.0757232194362</v>
      </c>
      <c r="I219" s="153">
        <v>1</v>
      </c>
    </row>
    <row r="220" spans="1:9" ht="12.75" hidden="1">
      <c r="A220" s="151" t="s">
        <v>201</v>
      </c>
      <c r="B220" s="153">
        <v>253</v>
      </c>
      <c r="C220" s="151" t="s">
        <v>59</v>
      </c>
      <c r="D220" s="151">
        <v>35</v>
      </c>
      <c r="E220" s="222">
        <f t="shared" si="5"/>
        <v>35</v>
      </c>
      <c r="F220" s="240">
        <v>0</v>
      </c>
      <c r="G220" s="241">
        <v>1.7681219</v>
      </c>
      <c r="H220" s="222">
        <f t="shared" si="6"/>
        <v>1713.3999641088096</v>
      </c>
      <c r="I220" s="153">
        <v>0</v>
      </c>
    </row>
    <row r="221" spans="1:9" ht="12.75" hidden="1">
      <c r="A221" s="151" t="s">
        <v>123</v>
      </c>
      <c r="B221" s="153">
        <v>360</v>
      </c>
      <c r="C221" s="151" t="s">
        <v>59</v>
      </c>
      <c r="D221" s="151">
        <v>56</v>
      </c>
      <c r="E221" s="222">
        <f t="shared" si="5"/>
        <v>56</v>
      </c>
      <c r="F221" s="240">
        <v>0</v>
      </c>
      <c r="G221" s="241">
        <v>1.7741438</v>
      </c>
      <c r="H221" s="222">
        <f t="shared" si="6"/>
        <v>1707.5842442985738</v>
      </c>
      <c r="I221" s="153">
        <v>0.5</v>
      </c>
    </row>
    <row r="222" spans="1:9" ht="12.75" hidden="1">
      <c r="A222" s="151" t="s">
        <v>176</v>
      </c>
      <c r="B222" s="153">
        <v>446</v>
      </c>
      <c r="C222" s="151" t="s">
        <v>59</v>
      </c>
      <c r="D222" s="151">
        <v>26</v>
      </c>
      <c r="E222" s="222">
        <f t="shared" si="5"/>
        <v>26</v>
      </c>
      <c r="F222" s="240">
        <v>0</v>
      </c>
      <c r="G222" s="241">
        <v>1.7722213</v>
      </c>
      <c r="H222" s="222">
        <f t="shared" si="6"/>
        <v>1709.4366262272101</v>
      </c>
      <c r="I222" s="153">
        <v>0</v>
      </c>
    </row>
    <row r="223" spans="1:9" ht="12.75" hidden="1">
      <c r="A223" s="151" t="s">
        <v>167</v>
      </c>
      <c r="B223" s="153">
        <v>483</v>
      </c>
      <c r="C223" s="151" t="s">
        <v>58</v>
      </c>
      <c r="D223" s="151">
        <v>14</v>
      </c>
      <c r="E223" s="222">
        <f t="shared" si="5"/>
        <v>14</v>
      </c>
      <c r="F223" s="240">
        <v>0</v>
      </c>
      <c r="G223" s="241">
        <v>1.7669031</v>
      </c>
      <c r="H223" s="222">
        <f t="shared" si="6"/>
        <v>1714.5818579411628</v>
      </c>
      <c r="I223" s="153">
        <v>0</v>
      </c>
    </row>
    <row r="224" spans="1:9" ht="12.75" hidden="1">
      <c r="A224" s="151" t="s">
        <v>149</v>
      </c>
      <c r="B224" s="153">
        <v>2302</v>
      </c>
      <c r="C224" s="151" t="s">
        <v>59</v>
      </c>
      <c r="D224" s="151">
        <v>32</v>
      </c>
      <c r="E224" s="222">
        <f t="shared" si="5"/>
        <v>32</v>
      </c>
      <c r="F224" s="240">
        <v>0</v>
      </c>
      <c r="G224" s="241">
        <v>1.7772586</v>
      </c>
      <c r="H224" s="222">
        <f t="shared" si="6"/>
        <v>1704.591554656143</v>
      </c>
      <c r="I224" s="153">
        <v>0</v>
      </c>
    </row>
    <row r="225" spans="1:9" ht="12.75" hidden="1">
      <c r="A225" s="151" t="s">
        <v>150</v>
      </c>
      <c r="B225" s="153">
        <v>2301</v>
      </c>
      <c r="C225" s="151" t="s">
        <v>59</v>
      </c>
      <c r="D225" s="151">
        <v>49</v>
      </c>
      <c r="E225" s="222">
        <f t="shared" si="5"/>
        <v>49</v>
      </c>
      <c r="F225" s="240">
        <v>0</v>
      </c>
      <c r="G225" s="241">
        <v>1.7772586</v>
      </c>
      <c r="H225" s="222">
        <f t="shared" si="6"/>
        <v>1704.591554656143</v>
      </c>
      <c r="I225" s="153">
        <v>0</v>
      </c>
    </row>
    <row r="226" spans="1:9" ht="12.75" hidden="1">
      <c r="A226" s="151" t="s">
        <v>228</v>
      </c>
      <c r="B226" s="153">
        <v>76</v>
      </c>
      <c r="C226" s="151" t="s">
        <v>59</v>
      </c>
      <c r="D226" s="151">
        <v>36</v>
      </c>
      <c r="E226" s="222">
        <f t="shared" si="5"/>
        <v>36</v>
      </c>
      <c r="F226" s="240">
        <v>0</v>
      </c>
      <c r="G226" s="241">
        <v>1.7717502</v>
      </c>
      <c r="H226" s="222">
        <f t="shared" si="6"/>
        <v>1709.8911573426096</v>
      </c>
      <c r="I226" s="153">
        <v>0</v>
      </c>
    </row>
    <row r="227" spans="1:9" ht="12.75" hidden="1">
      <c r="A227" s="151" t="s">
        <v>155</v>
      </c>
      <c r="B227" s="153">
        <v>2143</v>
      </c>
      <c r="C227" s="151" t="s">
        <v>58</v>
      </c>
      <c r="D227" s="151">
        <v>37</v>
      </c>
      <c r="E227" s="222">
        <f t="shared" si="5"/>
        <v>37</v>
      </c>
      <c r="F227" s="240">
        <v>0</v>
      </c>
      <c r="G227" s="241">
        <v>1.7746723</v>
      </c>
      <c r="H227" s="222">
        <f t="shared" si="6"/>
        <v>1707.0757232194362</v>
      </c>
      <c r="I227" s="153">
        <v>0</v>
      </c>
    </row>
    <row r="228" spans="1:9" ht="12.75" hidden="1">
      <c r="A228" s="151" t="s">
        <v>208</v>
      </c>
      <c r="B228" s="153">
        <v>240</v>
      </c>
      <c r="C228" s="151" t="s">
        <v>60</v>
      </c>
      <c r="D228" s="151">
        <v>122</v>
      </c>
      <c r="E228" s="222">
        <f t="shared" si="5"/>
        <v>122</v>
      </c>
      <c r="F228" s="240">
        <v>0</v>
      </c>
      <c r="G228" s="241">
        <v>1.7764562</v>
      </c>
      <c r="H228" s="222">
        <f t="shared" si="6"/>
        <v>1705.3614944179317</v>
      </c>
      <c r="I228" s="153">
        <v>1.5</v>
      </c>
    </row>
    <row r="229" spans="1:9" ht="12.75" hidden="1">
      <c r="A229" s="151" t="s">
        <v>143</v>
      </c>
      <c r="B229" s="153">
        <v>5001</v>
      </c>
      <c r="C229" s="151" t="s">
        <v>58</v>
      </c>
      <c r="D229" s="151">
        <v>33</v>
      </c>
      <c r="E229" s="222">
        <f t="shared" si="5"/>
        <v>33</v>
      </c>
      <c r="F229" s="240">
        <v>0</v>
      </c>
      <c r="G229" s="241">
        <v>1.7755311</v>
      </c>
      <c r="H229" s="222">
        <f t="shared" si="6"/>
        <v>1706.250034144713</v>
      </c>
      <c r="I229" s="153">
        <v>1.5</v>
      </c>
    </row>
    <row r="230" spans="1:9" ht="12.75" hidden="1">
      <c r="A230" s="151" t="s">
        <v>202</v>
      </c>
      <c r="B230" s="153">
        <v>252</v>
      </c>
      <c r="C230" s="151" t="s">
        <v>59</v>
      </c>
      <c r="D230" s="151">
        <v>50</v>
      </c>
      <c r="E230" s="222">
        <f t="shared" si="5"/>
        <v>50</v>
      </c>
      <c r="F230" s="240">
        <v>0</v>
      </c>
      <c r="G230" s="241">
        <v>1.7707433</v>
      </c>
      <c r="H230" s="222">
        <f t="shared" si="6"/>
        <v>1710.8634549118444</v>
      </c>
      <c r="I230" s="153">
        <v>0.32</v>
      </c>
    </row>
    <row r="231" spans="1:9" ht="12.75" hidden="1">
      <c r="A231" s="245" t="s">
        <v>238</v>
      </c>
      <c r="B231" s="246">
        <v>523</v>
      </c>
      <c r="C231" s="245"/>
      <c r="D231" s="245">
        <v>10</v>
      </c>
      <c r="E231" s="222">
        <f t="shared" si="5"/>
        <v>10</v>
      </c>
      <c r="F231" s="240">
        <v>0</v>
      </c>
      <c r="G231" s="242">
        <v>1.76745135789504</v>
      </c>
      <c r="H231" s="222">
        <f t="shared" si="6"/>
        <v>1714.050000000004</v>
      </c>
      <c r="I231" s="246">
        <v>0</v>
      </c>
    </row>
    <row r="232" spans="1:9" ht="12.75" hidden="1">
      <c r="A232" s="151" t="s">
        <v>187</v>
      </c>
      <c r="B232" s="153">
        <v>384</v>
      </c>
      <c r="C232" s="151" t="s">
        <v>58</v>
      </c>
      <c r="D232" s="151">
        <v>21</v>
      </c>
      <c r="E232" s="222">
        <f t="shared" si="5"/>
        <v>21</v>
      </c>
      <c r="F232" s="240">
        <v>0</v>
      </c>
      <c r="G232" s="241">
        <v>1.7726572</v>
      </c>
      <c r="H232" s="222">
        <f t="shared" si="6"/>
        <v>1709.016272294497</v>
      </c>
      <c r="I232" s="153">
        <v>1.1</v>
      </c>
    </row>
    <row r="233" spans="1:9" ht="12.75" hidden="1">
      <c r="A233" s="151" t="s">
        <v>244</v>
      </c>
      <c r="B233" s="153">
        <v>311</v>
      </c>
      <c r="C233" s="151" t="s">
        <v>59</v>
      </c>
      <c r="D233" s="151">
        <v>56</v>
      </c>
      <c r="E233" s="222">
        <f t="shared" si="5"/>
        <v>56</v>
      </c>
      <c r="F233" s="240">
        <v>0</v>
      </c>
      <c r="G233" s="241">
        <v>1.7782408</v>
      </c>
      <c r="H233" s="222">
        <f t="shared" si="6"/>
        <v>1703.650034348554</v>
      </c>
      <c r="I233" s="153">
        <v>0.8</v>
      </c>
    </row>
    <row r="234" spans="1:9" ht="12.75" hidden="1">
      <c r="A234" s="151" t="s">
        <v>119</v>
      </c>
      <c r="B234" s="153">
        <v>506</v>
      </c>
      <c r="C234" s="151" t="s">
        <v>60</v>
      </c>
      <c r="D234" s="151">
        <v>50</v>
      </c>
      <c r="E234" s="222">
        <f t="shared" si="5"/>
        <v>44</v>
      </c>
      <c r="F234" s="240">
        <v>6</v>
      </c>
      <c r="G234" s="241">
        <v>1.7690167</v>
      </c>
      <c r="H234" s="222">
        <f t="shared" si="6"/>
        <v>1712.5332960395456</v>
      </c>
      <c r="I234" s="153">
        <v>0</v>
      </c>
    </row>
    <row r="235" spans="1:9" ht="12.75" hidden="1">
      <c r="A235" s="151" t="s">
        <v>138</v>
      </c>
      <c r="B235" s="153">
        <v>5092</v>
      </c>
      <c r="C235" s="151" t="s">
        <v>59</v>
      </c>
      <c r="D235" s="151">
        <v>53</v>
      </c>
      <c r="E235" s="222">
        <f t="shared" si="5"/>
        <v>53</v>
      </c>
      <c r="F235" s="240">
        <v>0</v>
      </c>
      <c r="G235" s="241">
        <v>1.7721936</v>
      </c>
      <c r="H235" s="222">
        <f t="shared" si="6"/>
        <v>1709.4633453139659</v>
      </c>
      <c r="I235" s="153">
        <v>1.5</v>
      </c>
    </row>
    <row r="236" spans="1:9" ht="12.75" hidden="1">
      <c r="A236" s="151" t="s">
        <v>223</v>
      </c>
      <c r="B236" s="153">
        <v>95</v>
      </c>
      <c r="C236" s="151" t="s">
        <v>59</v>
      </c>
      <c r="D236" s="151">
        <v>26</v>
      </c>
      <c r="E236" s="222">
        <f t="shared" si="5"/>
        <v>26</v>
      </c>
      <c r="F236" s="240">
        <v>0</v>
      </c>
      <c r="G236" s="241">
        <v>1.7769144</v>
      </c>
      <c r="H236" s="222">
        <f t="shared" si="6"/>
        <v>1704.921745245579</v>
      </c>
      <c r="I236" s="153">
        <v>0.4</v>
      </c>
    </row>
    <row r="237" spans="1:9" ht="12.75" hidden="1">
      <c r="A237" s="151" t="s">
        <v>168</v>
      </c>
      <c r="B237" s="153">
        <v>481</v>
      </c>
      <c r="C237" s="151" t="s">
        <v>58</v>
      </c>
      <c r="D237" s="151">
        <v>37</v>
      </c>
      <c r="E237" s="222">
        <f t="shared" si="5"/>
        <v>37</v>
      </c>
      <c r="F237" s="240">
        <v>0</v>
      </c>
      <c r="G237" s="241">
        <v>1.7704521</v>
      </c>
      <c r="H237" s="222">
        <f t="shared" si="6"/>
        <v>1711.1448539048304</v>
      </c>
      <c r="I237" s="153">
        <v>0.9</v>
      </c>
    </row>
    <row r="238" spans="1:9" ht="12.75" hidden="1">
      <c r="A238" s="151" t="s">
        <v>125</v>
      </c>
      <c r="B238" s="153">
        <v>300</v>
      </c>
      <c r="C238" s="151" t="s">
        <v>58</v>
      </c>
      <c r="D238" s="151">
        <v>100</v>
      </c>
      <c r="E238" s="222">
        <f t="shared" si="5"/>
        <v>100</v>
      </c>
      <c r="F238" s="240">
        <v>0</v>
      </c>
      <c r="G238" s="241">
        <v>1.7721869</v>
      </c>
      <c r="H238" s="222">
        <f t="shared" si="6"/>
        <v>1709.4698081788101</v>
      </c>
      <c r="I238" s="153">
        <v>0</v>
      </c>
    </row>
    <row r="239" spans="1:9" ht="12.75" hidden="1">
      <c r="A239" s="151" t="s">
        <v>118</v>
      </c>
      <c r="B239" s="153">
        <v>515</v>
      </c>
      <c r="C239" s="151" t="s">
        <v>58</v>
      </c>
      <c r="D239" s="151">
        <v>38</v>
      </c>
      <c r="E239" s="222">
        <f t="shared" si="5"/>
        <v>38</v>
      </c>
      <c r="F239" s="240">
        <v>0</v>
      </c>
      <c r="G239" s="241">
        <v>1.7781439</v>
      </c>
      <c r="H239" s="222">
        <f t="shared" si="6"/>
        <v>1703.7428748033274</v>
      </c>
      <c r="I239" s="153">
        <v>0.4</v>
      </c>
    </row>
    <row r="240" spans="1:9" ht="12.75" hidden="1">
      <c r="A240" s="245" t="s">
        <v>234</v>
      </c>
      <c r="B240" s="246">
        <v>5201</v>
      </c>
      <c r="C240" s="245"/>
      <c r="D240" s="245">
        <v>40</v>
      </c>
      <c r="E240" s="222">
        <f aca="true" t="shared" si="7" ref="E240:E271">D240-F240</f>
        <v>40</v>
      </c>
      <c r="F240" s="240">
        <v>0</v>
      </c>
      <c r="G240" s="242">
        <v>1.7674513578950442</v>
      </c>
      <c r="H240" s="222">
        <f aca="true" t="shared" si="8" ref="H240:H271">365/G240*8.3</f>
        <v>1714.05</v>
      </c>
      <c r="I240" s="246">
        <v>0</v>
      </c>
    </row>
    <row r="241" spans="1:9" ht="12.75" hidden="1">
      <c r="A241" s="245" t="s">
        <v>235</v>
      </c>
      <c r="B241" s="246">
        <v>5202</v>
      </c>
      <c r="C241" s="245"/>
      <c r="D241" s="245">
        <v>40</v>
      </c>
      <c r="E241" s="222">
        <f t="shared" si="7"/>
        <v>40</v>
      </c>
      <c r="F241" s="240">
        <v>0</v>
      </c>
      <c r="G241" s="242">
        <v>1.76745135789504</v>
      </c>
      <c r="H241" s="222">
        <f t="shared" si="8"/>
        <v>1714.050000000004</v>
      </c>
      <c r="I241" s="246">
        <v>0</v>
      </c>
    </row>
    <row r="242" spans="1:9" ht="12.75" hidden="1">
      <c r="A242" s="151" t="s">
        <v>129</v>
      </c>
      <c r="B242" s="153">
        <v>209</v>
      </c>
      <c r="C242" s="151" t="s">
        <v>59</v>
      </c>
      <c r="D242" s="151">
        <v>84</v>
      </c>
      <c r="E242" s="222">
        <f t="shared" si="7"/>
        <v>84</v>
      </c>
      <c r="F242" s="240">
        <v>0</v>
      </c>
      <c r="G242" s="241">
        <v>1.7721556</v>
      </c>
      <c r="H242" s="222">
        <f t="shared" si="8"/>
        <v>1709.500001015712</v>
      </c>
      <c r="I242" s="153">
        <v>0.9</v>
      </c>
    </row>
    <row r="243" spans="1:9" ht="12.75" hidden="1">
      <c r="A243" s="151" t="s">
        <v>117</v>
      </c>
      <c r="B243" s="153">
        <v>516</v>
      </c>
      <c r="C243" s="151" t="s">
        <v>59</v>
      </c>
      <c r="D243" s="151">
        <v>43</v>
      </c>
      <c r="E243" s="222">
        <f t="shared" si="7"/>
        <v>43</v>
      </c>
      <c r="F243" s="240">
        <v>0</v>
      </c>
      <c r="G243" s="241">
        <v>1.7713165</v>
      </c>
      <c r="H243" s="222">
        <f t="shared" si="8"/>
        <v>1710.3098175848304</v>
      </c>
      <c r="I243" s="153">
        <v>0</v>
      </c>
    </row>
    <row r="244" spans="1:9" ht="12.75" hidden="1">
      <c r="A244" s="151" t="s">
        <v>109</v>
      </c>
      <c r="B244" s="153">
        <v>540</v>
      </c>
      <c r="C244" s="151" t="s">
        <v>110</v>
      </c>
      <c r="D244" s="151">
        <v>82</v>
      </c>
      <c r="E244" s="222">
        <f t="shared" si="7"/>
        <v>82</v>
      </c>
      <c r="F244" s="240">
        <v>0</v>
      </c>
      <c r="G244" s="241">
        <v>1.77243</v>
      </c>
      <c r="H244" s="222">
        <f t="shared" si="8"/>
        <v>1709.2353435678704</v>
      </c>
      <c r="I244" s="153">
        <v>1</v>
      </c>
    </row>
    <row r="245" spans="1:9" ht="12.75" hidden="1">
      <c r="A245" s="151" t="s">
        <v>170</v>
      </c>
      <c r="B245" s="153">
        <v>471</v>
      </c>
      <c r="C245" s="151" t="s">
        <v>59</v>
      </c>
      <c r="D245" s="151">
        <v>21</v>
      </c>
      <c r="E245" s="222">
        <f t="shared" si="7"/>
        <v>21</v>
      </c>
      <c r="F245" s="240">
        <v>0</v>
      </c>
      <c r="G245" s="241">
        <v>1.7739232</v>
      </c>
      <c r="H245" s="222">
        <f t="shared" si="8"/>
        <v>1707.7965945763606</v>
      </c>
      <c r="I245" s="153">
        <v>0.1</v>
      </c>
    </row>
    <row r="246" spans="1:9" ht="12.75" hidden="1">
      <c r="A246" s="151" t="s">
        <v>229</v>
      </c>
      <c r="B246" s="153">
        <v>28</v>
      </c>
      <c r="C246" s="151" t="s">
        <v>59</v>
      </c>
      <c r="D246" s="151">
        <v>16</v>
      </c>
      <c r="E246" s="222">
        <f t="shared" si="7"/>
        <v>16</v>
      </c>
      <c r="F246" s="240">
        <v>0</v>
      </c>
      <c r="G246" s="241">
        <v>1.7825284</v>
      </c>
      <c r="H246" s="222">
        <f t="shared" si="8"/>
        <v>1699.5521642179729</v>
      </c>
      <c r="I246" s="153">
        <v>0</v>
      </c>
    </row>
    <row r="247" spans="1:9" ht="12.75" hidden="1">
      <c r="A247" s="151" t="s">
        <v>216</v>
      </c>
      <c r="B247" s="153">
        <v>221</v>
      </c>
      <c r="C247" s="151" t="s">
        <v>59</v>
      </c>
      <c r="D247" s="151">
        <v>103</v>
      </c>
      <c r="E247" s="222">
        <f t="shared" si="7"/>
        <v>103</v>
      </c>
      <c r="F247" s="240">
        <v>0</v>
      </c>
      <c r="G247" s="241">
        <v>1.7746438</v>
      </c>
      <c r="H247" s="222">
        <f t="shared" si="8"/>
        <v>1707.1031381057992</v>
      </c>
      <c r="I247" s="153">
        <v>0</v>
      </c>
    </row>
    <row r="248" spans="1:9" ht="12.75" hidden="1">
      <c r="A248" s="151" t="s">
        <v>190</v>
      </c>
      <c r="B248" s="153">
        <v>354</v>
      </c>
      <c r="C248" s="151" t="s">
        <v>59</v>
      </c>
      <c r="D248" s="151">
        <v>38</v>
      </c>
      <c r="E248" s="222">
        <f t="shared" si="7"/>
        <v>28</v>
      </c>
      <c r="F248" s="240">
        <v>10</v>
      </c>
      <c r="G248" s="241">
        <v>1.7707055</v>
      </c>
      <c r="H248" s="222">
        <f t="shared" si="8"/>
        <v>1710.8999774383715</v>
      </c>
      <c r="I248" s="153">
        <v>0.1</v>
      </c>
    </row>
    <row r="249" spans="1:9" ht="12.75" hidden="1">
      <c r="A249" s="151" t="s">
        <v>151</v>
      </c>
      <c r="B249" s="153">
        <v>2203</v>
      </c>
      <c r="C249" s="151" t="s">
        <v>58</v>
      </c>
      <c r="D249" s="151">
        <v>38</v>
      </c>
      <c r="E249" s="222">
        <f t="shared" si="7"/>
        <v>38</v>
      </c>
      <c r="F249" s="240">
        <v>0</v>
      </c>
      <c r="G249" s="241">
        <v>1.7775037</v>
      </c>
      <c r="H249" s="222">
        <f t="shared" si="8"/>
        <v>1704.356508512472</v>
      </c>
      <c r="I249" s="153">
        <v>0</v>
      </c>
    </row>
    <row r="250" spans="1:9" ht="12.75" hidden="1">
      <c r="A250" s="245" t="s">
        <v>236</v>
      </c>
      <c r="B250" s="246">
        <v>327</v>
      </c>
      <c r="C250" s="245"/>
      <c r="D250" s="245">
        <v>24</v>
      </c>
      <c r="E250" s="222">
        <f t="shared" si="7"/>
        <v>24</v>
      </c>
      <c r="F250" s="240">
        <v>0</v>
      </c>
      <c r="G250" s="242">
        <v>1.76745135789504</v>
      </c>
      <c r="H250" s="222">
        <f t="shared" si="8"/>
        <v>1714.050000000004</v>
      </c>
      <c r="I250" s="246">
        <v>0</v>
      </c>
    </row>
    <row r="251" spans="1:9" ht="12.75" hidden="1">
      <c r="A251" s="151" t="s">
        <v>184</v>
      </c>
      <c r="B251" s="153">
        <v>396</v>
      </c>
      <c r="C251" s="151" t="s">
        <v>59</v>
      </c>
      <c r="D251" s="151">
        <v>44</v>
      </c>
      <c r="E251" s="222">
        <f t="shared" si="7"/>
        <v>44</v>
      </c>
      <c r="F251" s="240">
        <v>0</v>
      </c>
      <c r="G251" s="241">
        <v>1.7721269</v>
      </c>
      <c r="H251" s="222">
        <f t="shared" si="8"/>
        <v>1709.5276867587756</v>
      </c>
      <c r="I251" s="153">
        <v>0</v>
      </c>
    </row>
    <row r="252" spans="1:9" ht="12.75" hidden="1">
      <c r="A252" s="151" t="s">
        <v>130</v>
      </c>
      <c r="B252" s="153">
        <v>208</v>
      </c>
      <c r="C252" s="151" t="s">
        <v>58</v>
      </c>
      <c r="D252" s="151">
        <v>42</v>
      </c>
      <c r="E252" s="222">
        <f t="shared" si="7"/>
        <v>42</v>
      </c>
      <c r="F252" s="240">
        <v>0</v>
      </c>
      <c r="G252" s="241">
        <v>1.772671</v>
      </c>
      <c r="H252" s="222">
        <f t="shared" si="8"/>
        <v>1709.0029678377996</v>
      </c>
      <c r="I252" s="153">
        <v>0</v>
      </c>
    </row>
    <row r="253" spans="1:9" ht="12.75" hidden="1">
      <c r="A253" s="151" t="s">
        <v>131</v>
      </c>
      <c r="B253" s="153">
        <v>205</v>
      </c>
      <c r="C253" s="151" t="s">
        <v>61</v>
      </c>
      <c r="D253" s="151">
        <v>68</v>
      </c>
      <c r="E253" s="222">
        <f t="shared" si="7"/>
        <v>68</v>
      </c>
      <c r="F253" s="240">
        <v>0</v>
      </c>
      <c r="G253" s="241">
        <v>1.77350427</v>
      </c>
      <c r="H253" s="222">
        <f t="shared" si="8"/>
        <v>1708.2000033752386</v>
      </c>
      <c r="I253" s="153">
        <v>4.8</v>
      </c>
    </row>
    <row r="254" spans="1:9" ht="12.75" hidden="1">
      <c r="A254" s="151" t="s">
        <v>173</v>
      </c>
      <c r="B254" s="153">
        <v>454</v>
      </c>
      <c r="C254" s="151" t="s">
        <v>59</v>
      </c>
      <c r="D254" s="151">
        <v>26</v>
      </c>
      <c r="E254" s="222">
        <f t="shared" si="7"/>
        <v>26</v>
      </c>
      <c r="F254" s="240">
        <v>0</v>
      </c>
      <c r="G254" s="241">
        <v>1.7832978</v>
      </c>
      <c r="H254" s="222">
        <f t="shared" si="8"/>
        <v>1698.8188960923972</v>
      </c>
      <c r="I254" s="153">
        <v>0</v>
      </c>
    </row>
    <row r="255" spans="1:9" ht="12.75" hidden="1">
      <c r="A255" s="151" t="s">
        <v>137</v>
      </c>
      <c r="B255" s="153">
        <v>5101</v>
      </c>
      <c r="C255" s="151" t="s">
        <v>59</v>
      </c>
      <c r="D255" s="151">
        <v>12</v>
      </c>
      <c r="E255" s="222">
        <f t="shared" si="7"/>
        <v>12</v>
      </c>
      <c r="F255" s="240">
        <v>0</v>
      </c>
      <c r="G255" s="241">
        <v>1.7699531</v>
      </c>
      <c r="H255" s="222">
        <f t="shared" si="8"/>
        <v>1711.627274191616</v>
      </c>
      <c r="I255" s="153">
        <v>0.15</v>
      </c>
    </row>
    <row r="256" spans="1:9" ht="12.75" hidden="1">
      <c r="A256" s="151" t="s">
        <v>175</v>
      </c>
      <c r="B256" s="153">
        <v>451</v>
      </c>
      <c r="C256" s="151" t="s">
        <v>59</v>
      </c>
      <c r="D256" s="151">
        <v>37</v>
      </c>
      <c r="E256" s="222">
        <f t="shared" si="7"/>
        <v>29</v>
      </c>
      <c r="F256" s="240">
        <v>8</v>
      </c>
      <c r="G256" s="241">
        <v>1.7756063</v>
      </c>
      <c r="H256" s="222">
        <f t="shared" si="8"/>
        <v>1706.1777715026133</v>
      </c>
      <c r="I256" s="153">
        <v>0.5</v>
      </c>
    </row>
    <row r="257" spans="1:9" ht="12.75" hidden="1">
      <c r="A257" s="151" t="s">
        <v>135</v>
      </c>
      <c r="B257" s="153">
        <v>5112</v>
      </c>
      <c r="C257" s="151" t="s">
        <v>59</v>
      </c>
      <c r="D257" s="151">
        <v>50</v>
      </c>
      <c r="E257" s="222">
        <f t="shared" si="7"/>
        <v>50</v>
      </c>
      <c r="F257" s="240">
        <v>0</v>
      </c>
      <c r="G257" s="241">
        <v>1.7728547</v>
      </c>
      <c r="H257" s="222">
        <f t="shared" si="8"/>
        <v>1708.8258840388896</v>
      </c>
      <c r="I257" s="153">
        <v>0.55</v>
      </c>
    </row>
    <row r="258" spans="1:9" ht="12.75" hidden="1">
      <c r="A258" s="151" t="s">
        <v>111</v>
      </c>
      <c r="B258" s="153">
        <v>538</v>
      </c>
      <c r="C258" s="151" t="s">
        <v>58</v>
      </c>
      <c r="D258" s="151">
        <v>53</v>
      </c>
      <c r="E258" s="222">
        <f t="shared" si="7"/>
        <v>53</v>
      </c>
      <c r="F258" s="240">
        <v>0</v>
      </c>
      <c r="G258" s="241">
        <v>1.7758643</v>
      </c>
      <c r="H258" s="222">
        <f t="shared" si="8"/>
        <v>1705.929895657005</v>
      </c>
      <c r="I258" s="153">
        <v>1.38</v>
      </c>
    </row>
    <row r="259" spans="1:9" ht="12.75" hidden="1">
      <c r="A259" s="151" t="s">
        <v>136</v>
      </c>
      <c r="B259" s="153">
        <v>5111</v>
      </c>
      <c r="C259" s="151" t="s">
        <v>59</v>
      </c>
      <c r="D259" s="151">
        <v>79</v>
      </c>
      <c r="E259" s="222">
        <f t="shared" si="7"/>
        <v>71</v>
      </c>
      <c r="F259" s="240">
        <v>8</v>
      </c>
      <c r="G259" s="241">
        <v>1.7728547</v>
      </c>
      <c r="H259" s="222">
        <f t="shared" si="8"/>
        <v>1708.8258840388896</v>
      </c>
      <c r="I259" s="153">
        <v>0</v>
      </c>
    </row>
    <row r="260" spans="1:9" ht="12.75" hidden="1">
      <c r="A260" s="151" t="s">
        <v>159</v>
      </c>
      <c r="B260" s="153">
        <v>532</v>
      </c>
      <c r="C260" s="151" t="s">
        <v>58</v>
      </c>
      <c r="D260" s="151">
        <v>44</v>
      </c>
      <c r="E260" s="222">
        <f t="shared" si="7"/>
        <v>44</v>
      </c>
      <c r="F260" s="240">
        <v>0</v>
      </c>
      <c r="G260" s="241">
        <v>1.7727454</v>
      </c>
      <c r="H260" s="222">
        <f t="shared" si="8"/>
        <v>1708.9312430312893</v>
      </c>
      <c r="I260" s="153">
        <v>0.45</v>
      </c>
    </row>
    <row r="261" spans="1:9" ht="12.75" hidden="1">
      <c r="A261" s="151" t="s">
        <v>134</v>
      </c>
      <c r="B261" s="153">
        <v>5131</v>
      </c>
      <c r="C261" s="151" t="s">
        <v>58</v>
      </c>
      <c r="D261" s="151">
        <v>65</v>
      </c>
      <c r="E261" s="222">
        <f t="shared" si="7"/>
        <v>59</v>
      </c>
      <c r="F261" s="240">
        <v>6</v>
      </c>
      <c r="G261" s="241">
        <v>1.7690953</v>
      </c>
      <c r="H261" s="222">
        <f t="shared" si="8"/>
        <v>1712.4572090604731</v>
      </c>
      <c r="I261" s="153">
        <v>2</v>
      </c>
    </row>
    <row r="262" spans="1:9" ht="12.75" hidden="1">
      <c r="A262" s="151" t="s">
        <v>191</v>
      </c>
      <c r="B262" s="153">
        <v>352</v>
      </c>
      <c r="C262" s="151" t="s">
        <v>59</v>
      </c>
      <c r="D262" s="151">
        <v>28</v>
      </c>
      <c r="E262" s="222">
        <f t="shared" si="7"/>
        <v>28</v>
      </c>
      <c r="F262" s="240">
        <v>0</v>
      </c>
      <c r="G262" s="241">
        <v>1.7693758</v>
      </c>
      <c r="H262" s="222">
        <f t="shared" si="8"/>
        <v>1712.1857323921806</v>
      </c>
      <c r="I262" s="153">
        <v>0.32</v>
      </c>
    </row>
    <row r="263" spans="1:9" ht="12.75" hidden="1">
      <c r="A263" s="151" t="s">
        <v>164</v>
      </c>
      <c r="B263" s="153">
        <v>495</v>
      </c>
      <c r="C263" s="151" t="s">
        <v>59</v>
      </c>
      <c r="D263" s="151">
        <v>24</v>
      </c>
      <c r="E263" s="222">
        <f t="shared" si="7"/>
        <v>24</v>
      </c>
      <c r="F263" s="240">
        <v>0</v>
      </c>
      <c r="G263" s="241">
        <v>1.7778169</v>
      </c>
      <c r="H263" s="222">
        <f t="shared" si="8"/>
        <v>1704.0562501121462</v>
      </c>
      <c r="I263" s="153">
        <v>0</v>
      </c>
    </row>
    <row r="264" spans="1:9" ht="12.75" hidden="1">
      <c r="A264" s="151" t="s">
        <v>161</v>
      </c>
      <c r="B264" s="153">
        <v>508</v>
      </c>
      <c r="C264" s="151" t="s">
        <v>60</v>
      </c>
      <c r="D264" s="151">
        <v>103</v>
      </c>
      <c r="E264" s="222">
        <f t="shared" si="7"/>
        <v>103</v>
      </c>
      <c r="F264" s="240">
        <v>0</v>
      </c>
      <c r="G264" s="241">
        <v>1.7695419</v>
      </c>
      <c r="H264" s="222">
        <f t="shared" si="8"/>
        <v>1712.025016192044</v>
      </c>
      <c r="I264" s="153">
        <v>1.5</v>
      </c>
    </row>
    <row r="265" spans="1:9" ht="12.75" hidden="1">
      <c r="A265" s="151" t="s">
        <v>133</v>
      </c>
      <c r="B265" s="153">
        <v>5311</v>
      </c>
      <c r="C265" s="151" t="s">
        <v>58</v>
      </c>
      <c r="D265" s="151">
        <v>76</v>
      </c>
      <c r="E265" s="222">
        <f t="shared" si="7"/>
        <v>76</v>
      </c>
      <c r="F265" s="240">
        <v>0</v>
      </c>
      <c r="G265" s="241">
        <v>1.7774335</v>
      </c>
      <c r="H265" s="222">
        <f t="shared" si="8"/>
        <v>1704.4238223258424</v>
      </c>
      <c r="I265" s="153">
        <v>0</v>
      </c>
    </row>
    <row r="266" spans="1:9" ht="12.75" hidden="1">
      <c r="A266" s="151" t="s">
        <v>198</v>
      </c>
      <c r="B266" s="153">
        <v>312</v>
      </c>
      <c r="C266" s="151" t="s">
        <v>59</v>
      </c>
      <c r="D266" s="151">
        <v>39</v>
      </c>
      <c r="E266" s="222">
        <f t="shared" si="7"/>
        <v>39</v>
      </c>
      <c r="F266" s="240">
        <v>0</v>
      </c>
      <c r="G266" s="241">
        <v>1.774855</v>
      </c>
      <c r="H266" s="222">
        <f t="shared" si="8"/>
        <v>1706.9000002817131</v>
      </c>
      <c r="I266" s="153">
        <v>0</v>
      </c>
    </row>
    <row r="267" spans="1:9" ht="12.75" hidden="1">
      <c r="A267" s="151" t="s">
        <v>220</v>
      </c>
      <c r="B267" s="153">
        <v>207</v>
      </c>
      <c r="C267" s="151" t="s">
        <v>59</v>
      </c>
      <c r="D267" s="151">
        <v>132</v>
      </c>
      <c r="E267" s="222">
        <f t="shared" si="7"/>
        <v>132</v>
      </c>
      <c r="F267" s="240">
        <v>0</v>
      </c>
      <c r="G267" s="241">
        <v>1.7701945</v>
      </c>
      <c r="H267" s="222">
        <f t="shared" si="8"/>
        <v>1711.3938609570873</v>
      </c>
      <c r="I267" s="153">
        <v>0.4</v>
      </c>
    </row>
    <row r="268" spans="1:9" ht="12.75" hidden="1">
      <c r="A268" s="151" t="s">
        <v>225</v>
      </c>
      <c r="B268" s="153">
        <v>93</v>
      </c>
      <c r="C268" s="151" t="s">
        <v>59</v>
      </c>
      <c r="D268" s="151">
        <v>24</v>
      </c>
      <c r="E268" s="222">
        <f t="shared" si="7"/>
        <v>19</v>
      </c>
      <c r="F268" s="240">
        <v>5</v>
      </c>
      <c r="G268" s="241">
        <v>1.7769144</v>
      </c>
      <c r="H268" s="222">
        <f t="shared" si="8"/>
        <v>1704.921745245579</v>
      </c>
      <c r="I268" s="153">
        <v>0.4</v>
      </c>
    </row>
    <row r="269" spans="1:9" ht="12.75" hidden="1">
      <c r="A269" s="151" t="s">
        <v>224</v>
      </c>
      <c r="B269" s="153">
        <v>94</v>
      </c>
      <c r="C269" s="151" t="s">
        <v>59</v>
      </c>
      <c r="D269" s="151">
        <v>29</v>
      </c>
      <c r="E269" s="222">
        <f t="shared" si="7"/>
        <v>29</v>
      </c>
      <c r="F269" s="240">
        <v>0</v>
      </c>
      <c r="G269" s="241">
        <v>1.7769144</v>
      </c>
      <c r="H269" s="222">
        <f t="shared" si="8"/>
        <v>1704.921745245579</v>
      </c>
      <c r="I269" s="153">
        <v>0.4</v>
      </c>
    </row>
    <row r="270" spans="1:9" ht="12.75" hidden="1">
      <c r="A270" s="151" t="s">
        <v>186</v>
      </c>
      <c r="B270" s="153">
        <v>390</v>
      </c>
      <c r="C270" s="151" t="s">
        <v>60</v>
      </c>
      <c r="D270" s="151">
        <v>62</v>
      </c>
      <c r="E270" s="222">
        <f t="shared" si="7"/>
        <v>62</v>
      </c>
      <c r="F270" s="240">
        <v>0</v>
      </c>
      <c r="G270" s="241">
        <v>1.7740829</v>
      </c>
      <c r="H270" s="222">
        <f t="shared" si="8"/>
        <v>1707.6428615596262</v>
      </c>
      <c r="I270" s="153">
        <v>1.4</v>
      </c>
    </row>
    <row r="271" spans="1:9" ht="12.75" hidden="1">
      <c r="A271" s="151" t="s">
        <v>196</v>
      </c>
      <c r="B271" s="153">
        <v>329</v>
      </c>
      <c r="C271" s="151" t="s">
        <v>59</v>
      </c>
      <c r="D271" s="151">
        <v>24</v>
      </c>
      <c r="E271" s="222">
        <f t="shared" si="7"/>
        <v>24</v>
      </c>
      <c r="F271" s="240">
        <v>0</v>
      </c>
      <c r="G271" s="241">
        <v>1.7732661</v>
      </c>
      <c r="H271" s="222">
        <f t="shared" si="8"/>
        <v>1708.4294342512949</v>
      </c>
      <c r="I271" s="153">
        <v>0</v>
      </c>
    </row>
    <row r="272" spans="1:9" ht="12.75" hidden="1">
      <c r="A272" s="151" t="s">
        <v>124</v>
      </c>
      <c r="B272" s="153">
        <v>330</v>
      </c>
      <c r="C272" s="151" t="s">
        <v>60</v>
      </c>
      <c r="D272" s="151">
        <v>97</v>
      </c>
      <c r="E272" s="222">
        <f aca="true" t="shared" si="9" ref="E272:E281">D272-F272</f>
        <v>97</v>
      </c>
      <c r="F272" s="240">
        <v>0</v>
      </c>
      <c r="G272" s="241">
        <v>1.7760847</v>
      </c>
      <c r="H272" s="222">
        <f aca="true" t="shared" si="10" ref="H272:H281">365/G272*8.3</f>
        <v>1705.7182013898325</v>
      </c>
      <c r="I272" s="153">
        <v>0.8</v>
      </c>
    </row>
    <row r="273" spans="1:9" ht="12.75" hidden="1">
      <c r="A273" s="151" t="s">
        <v>132</v>
      </c>
      <c r="B273" s="153">
        <v>5312</v>
      </c>
      <c r="C273" s="151" t="s">
        <v>59</v>
      </c>
      <c r="D273" s="151">
        <v>24</v>
      </c>
      <c r="E273" s="222">
        <f t="shared" si="9"/>
        <v>24</v>
      </c>
      <c r="F273" s="240">
        <v>0</v>
      </c>
      <c r="G273" s="241">
        <v>1.7675123</v>
      </c>
      <c r="H273" s="222">
        <f t="shared" si="10"/>
        <v>1713.9909012231487</v>
      </c>
      <c r="I273" s="153">
        <v>0</v>
      </c>
    </row>
    <row r="274" spans="1:9" ht="12.75" hidden="1">
      <c r="A274" s="151" t="s">
        <v>113</v>
      </c>
      <c r="B274" s="153">
        <v>534</v>
      </c>
      <c r="C274" s="151" t="s">
        <v>61</v>
      </c>
      <c r="D274" s="151">
        <v>12</v>
      </c>
      <c r="E274" s="222">
        <f t="shared" si="9"/>
        <v>12</v>
      </c>
      <c r="F274" s="240">
        <v>0</v>
      </c>
      <c r="G274" s="241">
        <v>1.7757566</v>
      </c>
      <c r="H274" s="222">
        <f t="shared" si="10"/>
        <v>1706.0333606531437</v>
      </c>
      <c r="I274" s="153">
        <v>0.2</v>
      </c>
    </row>
    <row r="275" spans="1:9" ht="12.75" hidden="1">
      <c r="A275" s="151" t="s">
        <v>165</v>
      </c>
      <c r="B275" s="153">
        <v>493</v>
      </c>
      <c r="C275" s="151" t="s">
        <v>59</v>
      </c>
      <c r="D275" s="151">
        <v>28</v>
      </c>
      <c r="E275" s="222">
        <f t="shared" si="9"/>
        <v>28</v>
      </c>
      <c r="F275" s="240">
        <v>0</v>
      </c>
      <c r="G275" s="241">
        <v>1.7758211</v>
      </c>
      <c r="H275" s="222">
        <f t="shared" si="10"/>
        <v>1705.971395429416</v>
      </c>
      <c r="I275" s="153">
        <v>0.9</v>
      </c>
    </row>
    <row r="276" spans="1:9" ht="12.75" hidden="1">
      <c r="A276" s="151" t="s">
        <v>226</v>
      </c>
      <c r="B276" s="153">
        <v>92</v>
      </c>
      <c r="C276" s="151" t="s">
        <v>59</v>
      </c>
      <c r="D276" s="151">
        <v>44</v>
      </c>
      <c r="E276" s="222">
        <f t="shared" si="9"/>
        <v>44</v>
      </c>
      <c r="F276" s="240">
        <v>0</v>
      </c>
      <c r="G276" s="241">
        <v>1.7769144</v>
      </c>
      <c r="H276" s="222">
        <f t="shared" si="10"/>
        <v>1704.921745245579</v>
      </c>
      <c r="I276" s="153">
        <v>1</v>
      </c>
    </row>
    <row r="277" spans="1:9" ht="12.75" hidden="1">
      <c r="A277" s="151" t="s">
        <v>172</v>
      </c>
      <c r="B277" s="153">
        <v>455</v>
      </c>
      <c r="C277" s="151" t="s">
        <v>60</v>
      </c>
      <c r="D277" s="151">
        <v>37</v>
      </c>
      <c r="E277" s="222">
        <f t="shared" si="9"/>
        <v>37</v>
      </c>
      <c r="F277" s="240">
        <v>0</v>
      </c>
      <c r="G277" s="241">
        <v>1.7751848</v>
      </c>
      <c r="H277" s="222">
        <f t="shared" si="10"/>
        <v>1706.5828864690598</v>
      </c>
      <c r="I277" s="153">
        <v>0</v>
      </c>
    </row>
    <row r="278" spans="1:9" ht="12.75" hidden="1">
      <c r="A278" s="151" t="s">
        <v>140</v>
      </c>
      <c r="B278" s="153">
        <v>5072</v>
      </c>
      <c r="C278" s="151" t="s">
        <v>58</v>
      </c>
      <c r="D278" s="151">
        <v>32</v>
      </c>
      <c r="E278" s="222">
        <f t="shared" si="9"/>
        <v>32</v>
      </c>
      <c r="F278" s="240">
        <v>0</v>
      </c>
      <c r="G278" s="241">
        <v>1.7710781</v>
      </c>
      <c r="H278" s="222">
        <f t="shared" si="10"/>
        <v>1710.5400377318201</v>
      </c>
      <c r="I278" s="153">
        <v>0</v>
      </c>
    </row>
    <row r="279" spans="1:9" ht="12.75" hidden="1">
      <c r="A279" s="151" t="s">
        <v>141</v>
      </c>
      <c r="B279" s="153">
        <v>5071</v>
      </c>
      <c r="C279" s="151" t="s">
        <v>59</v>
      </c>
      <c r="D279" s="151">
        <v>33</v>
      </c>
      <c r="E279" s="222">
        <f t="shared" si="9"/>
        <v>33</v>
      </c>
      <c r="F279" s="240">
        <v>0</v>
      </c>
      <c r="G279" s="241">
        <v>1.7742115</v>
      </c>
      <c r="H279" s="222">
        <f t="shared" si="10"/>
        <v>1707.5190866477872</v>
      </c>
      <c r="I279" s="153">
        <v>0</v>
      </c>
    </row>
    <row r="280" spans="1:9" ht="12.75" hidden="1">
      <c r="A280" s="151" t="s">
        <v>120</v>
      </c>
      <c r="B280" s="153">
        <v>496</v>
      </c>
      <c r="C280" s="151" t="s">
        <v>58</v>
      </c>
      <c r="D280" s="151">
        <v>75</v>
      </c>
      <c r="E280" s="222">
        <f t="shared" si="9"/>
        <v>75</v>
      </c>
      <c r="F280" s="240">
        <v>0</v>
      </c>
      <c r="G280" s="241">
        <v>1.773339</v>
      </c>
      <c r="H280" s="222">
        <f t="shared" si="10"/>
        <v>1708.3592026115707</v>
      </c>
      <c r="I280" s="153">
        <v>1</v>
      </c>
    </row>
    <row r="281" spans="1:9" ht="12.75" hidden="1">
      <c r="A281" s="151" t="s">
        <v>177</v>
      </c>
      <c r="B281" s="153">
        <v>443</v>
      </c>
      <c r="C281" s="151" t="s">
        <v>58</v>
      </c>
      <c r="D281" s="151">
        <v>30</v>
      </c>
      <c r="E281" s="222">
        <f t="shared" si="9"/>
        <v>30</v>
      </c>
      <c r="F281" s="240">
        <v>0</v>
      </c>
      <c r="G281" s="241">
        <v>1.772926</v>
      </c>
      <c r="H281" s="222">
        <f t="shared" si="10"/>
        <v>1708.7571618894415</v>
      </c>
      <c r="I281" s="153">
        <v>1</v>
      </c>
    </row>
  </sheetData>
  <sheetProtection password="D1B4" sheet="1" selectLockedCells="1"/>
  <mergeCells count="42">
    <mergeCell ref="B131:E131"/>
    <mergeCell ref="B42:E42"/>
    <mergeCell ref="B40:E40"/>
    <mergeCell ref="D100:F100"/>
    <mergeCell ref="B121:E122"/>
    <mergeCell ref="C4:D4"/>
    <mergeCell ref="B109:C109"/>
    <mergeCell ref="A5:I5"/>
    <mergeCell ref="D29:E29"/>
    <mergeCell ref="B124:E125"/>
    <mergeCell ref="C3:D3"/>
    <mergeCell ref="D16:E16"/>
    <mergeCell ref="B10:C10"/>
    <mergeCell ref="E4:F4"/>
    <mergeCell ref="B118:E119"/>
    <mergeCell ref="B113:C113"/>
    <mergeCell ref="D14:E14"/>
    <mergeCell ref="B12:C12"/>
    <mergeCell ref="B127:E127"/>
    <mergeCell ref="B105:C105"/>
    <mergeCell ref="B103:C103"/>
    <mergeCell ref="B36:E36"/>
    <mergeCell ref="A146:I146"/>
    <mergeCell ref="B111:C111"/>
    <mergeCell ref="B107:C107"/>
    <mergeCell ref="D12:H12"/>
    <mergeCell ref="B38:E38"/>
    <mergeCell ref="B31:C31"/>
    <mergeCell ref="D31:E31"/>
    <mergeCell ref="B16:C16"/>
    <mergeCell ref="G16:H18"/>
    <mergeCell ref="B29:C29"/>
    <mergeCell ref="B1:H1"/>
    <mergeCell ref="A23:I23"/>
    <mergeCell ref="A2:I2"/>
    <mergeCell ref="B14:C14"/>
    <mergeCell ref="D27:E27"/>
    <mergeCell ref="B27:C27"/>
    <mergeCell ref="E3:F3"/>
    <mergeCell ref="D18:E18"/>
    <mergeCell ref="D10:H10"/>
  </mergeCells>
  <dataValidations count="1">
    <dataValidation type="list" allowBlank="1" sqref="D10:H10">
      <formula1>$A$149:$A$395</formula1>
    </dataValidation>
  </dataValidations>
  <printOptions horizontalCentered="1" verticalCentered="1"/>
  <pageMargins left="0.3937007874015748" right="0.3937007874015748" top="0.3937007874015748" bottom="0.3937007874015748" header="0.3937007874015748" footer="0.3937007874015748"/>
  <pageSetup fitToHeight="1" fitToWidth="1" horizontalDpi="600" verticalDpi="600" orientation="portrait" paperSize="9" scale="45" r:id="rId4"/>
  <ignoredErrors>
    <ignoredError sqref="G113" formula="1"/>
    <ignoredError sqref="D18 D16" unlockedFormula="1"/>
  </ignoredErrors>
  <legacyDrawing r:id="rId3"/>
  <oleObjects>
    <oleObject progId="Word.Document.8" shapeId="220006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DSAS</dc:creator>
  <cp:keywords/>
  <dc:description/>
  <cp:lastModifiedBy>Sébastien Pagliaro</cp:lastModifiedBy>
  <cp:lastPrinted>2015-11-30T14:36:36Z</cp:lastPrinted>
  <dcterms:created xsi:type="dcterms:W3CDTF">2005-01-27T12:51:19Z</dcterms:created>
  <dcterms:modified xsi:type="dcterms:W3CDTF">2015-12-17T10:32:29Z</dcterms:modified>
  <cp:category/>
  <cp:version/>
  <cp:contentType/>
  <cp:contentStatus/>
</cp:coreProperties>
</file>