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ate1904="1" codeName="ThisWorkbook" hidePivotFieldList="1"/>
  <mc:AlternateContent xmlns:mc="http://schemas.openxmlformats.org/markup-compatibility/2006">
    <mc:Choice Requires="x15">
      <x15ac:absPath xmlns:x15ac="http://schemas.microsoft.com/office/spreadsheetml/2010/11/ac" url="C:\Users\fur7t3\Desktop\"/>
    </mc:Choice>
  </mc:AlternateContent>
  <xr:revisionPtr revIDLastSave="0" documentId="8_{99BD2B86-3A68-4CFA-99D6-348A5432D566}" xr6:coauthVersionLast="45" xr6:coauthVersionMax="45" xr10:uidLastSave="{00000000-0000-0000-0000-000000000000}"/>
  <bookViews>
    <workbookView xWindow="-120" yWindow="-120" windowWidth="29040" windowHeight="15840" tabRatio="923" xr2:uid="{00000000-000D-0000-FFFF-FFFF00000000}"/>
  </bookViews>
  <sheets>
    <sheet name="Table des matières" sheetId="56" r:id="rId1"/>
    <sheet name="Paramètres" sheetId="40" r:id="rId2"/>
    <sheet name="Recherche" sheetId="48" r:id="rId3"/>
    <sheet name="Données" sheetId="42" r:id="rId4"/>
    <sheet name="VPI" sheetId="19" r:id="rId5"/>
    <sheet name="PCS" sheetId="9" r:id="rId6"/>
    <sheet name="Ecrêtage" sheetId="33" r:id="rId7"/>
    <sheet name="Péréquation directe" sheetId="34" r:id="rId8"/>
    <sheet name="Population" sheetId="36" r:id="rId9"/>
    <sheet name="Solidarité" sheetId="37" r:id="rId10"/>
    <sheet name="DT" sheetId="11" r:id="rId11"/>
    <sheet name="Effort" sheetId="12" r:id="rId12"/>
    <sheet name="Aide" sheetId="39" r:id="rId13"/>
    <sheet name="Taux" sheetId="13" r:id="rId14"/>
    <sheet name="Facture policière" sheetId="49" r:id="rId15"/>
    <sheet name="Synthèse" sheetId="25" r:id="rId16"/>
    <sheet name="Décompte vs acomptes" sheetId="54" r:id="rId17"/>
  </sheets>
  <definedNames>
    <definedName name="_xlnm._FilterDatabase" localSheetId="5" hidden="1">PCS!$A$10:$I$312</definedName>
    <definedName name="_xlnm._FilterDatabase" localSheetId="7" hidden="1">'Péréquation directe'!$A$10:$J$312</definedName>
    <definedName name="_xlnm._FilterDatabase" localSheetId="15" hidden="1">Synthèse!$A$4:$G$308</definedName>
    <definedName name="_xlnm.Database" localSheetId="16">#REF!</definedName>
    <definedName name="_xlnm.Database">#REF!</definedName>
    <definedName name="_xlnm.Print_Titles" localSheetId="10">DT!$4:$5</definedName>
    <definedName name="_xlnm.Print_Titles" localSheetId="11">Effort!$4:$5</definedName>
    <definedName name="_xlnm.Print_Titles" localSheetId="14">'Facture policière'!$4:$4</definedName>
    <definedName name="_xlnm.Print_Titles" localSheetId="5">PCS!$10:$11</definedName>
    <definedName name="_xlnm.Print_Titles" localSheetId="15">Synthèse!$4:$5</definedName>
    <definedName name="_xlnm.Print_Titles" localSheetId="13">Taux!$4:$5</definedName>
    <definedName name="ind">2</definedName>
    <definedName name="_xlnm.Print_Area" localSheetId="3">Données!#REF!</definedName>
    <definedName name="_xlnm.Print_Area" localSheetId="14">'Facture policière'!$A$1:$M$306</definedName>
    <definedName name="_xlnm.Print_Area" localSheetId="7">'Péréquation directe'!$303:$334</definedName>
    <definedName name="_xlnm.Print_Area" localSheetId="2">Recherche!$B$6:$F$68</definedName>
    <definedName name="_xlnm.Print_Area" localSheetId="15">Synthèse!$A$1:$J$306</definedName>
    <definedName name="_xlnm.Print_Area" localSheetId="13">Taux!$A$1:$P$307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40" l="1"/>
  <c r="A1" i="42" l="1"/>
  <c r="D13" i="9"/>
  <c r="E13" i="9"/>
  <c r="D14" i="9"/>
  <c r="E14" i="9"/>
  <c r="D15" i="9"/>
  <c r="E15" i="9"/>
  <c r="D16" i="9"/>
  <c r="E16" i="9"/>
  <c r="D17" i="9"/>
  <c r="E17" i="9"/>
  <c r="D18" i="9"/>
  <c r="E18" i="9"/>
  <c r="D19" i="9"/>
  <c r="E19" i="9"/>
  <c r="D20" i="9"/>
  <c r="E20" i="9"/>
  <c r="D21" i="9"/>
  <c r="E21" i="9"/>
  <c r="D22" i="9"/>
  <c r="E22" i="9"/>
  <c r="D23" i="9"/>
  <c r="E23" i="9"/>
  <c r="D24" i="9"/>
  <c r="E24" i="9"/>
  <c r="D25" i="9"/>
  <c r="E25" i="9"/>
  <c r="D26" i="9"/>
  <c r="E26" i="9"/>
  <c r="D27" i="9"/>
  <c r="E27" i="9"/>
  <c r="D28" i="9"/>
  <c r="E28" i="9"/>
  <c r="D29" i="9"/>
  <c r="E29" i="9"/>
  <c r="D30" i="9"/>
  <c r="E30" i="9"/>
  <c r="D31" i="9"/>
  <c r="E31" i="9"/>
  <c r="D32" i="9"/>
  <c r="E32" i="9"/>
  <c r="D33" i="9"/>
  <c r="E33" i="9"/>
  <c r="D34" i="9"/>
  <c r="E34" i="9"/>
  <c r="D35" i="9"/>
  <c r="E35" i="9"/>
  <c r="D36" i="9"/>
  <c r="E36" i="9"/>
  <c r="D37" i="9"/>
  <c r="E37" i="9"/>
  <c r="D38" i="9"/>
  <c r="E38" i="9"/>
  <c r="D39" i="9"/>
  <c r="E39" i="9"/>
  <c r="D40" i="9"/>
  <c r="E40" i="9"/>
  <c r="D41" i="9"/>
  <c r="E41" i="9"/>
  <c r="D42" i="9"/>
  <c r="E42" i="9"/>
  <c r="D43" i="9"/>
  <c r="E43" i="9"/>
  <c r="D44" i="9"/>
  <c r="E44" i="9"/>
  <c r="D45" i="9"/>
  <c r="E45" i="9"/>
  <c r="D46" i="9"/>
  <c r="E46" i="9"/>
  <c r="D47" i="9"/>
  <c r="E47" i="9"/>
  <c r="D48" i="9"/>
  <c r="E48" i="9"/>
  <c r="D49" i="9"/>
  <c r="E49" i="9"/>
  <c r="D50" i="9"/>
  <c r="E50" i="9"/>
  <c r="D51" i="9"/>
  <c r="E51" i="9"/>
  <c r="D52" i="9"/>
  <c r="E52" i="9"/>
  <c r="D53" i="9"/>
  <c r="E53" i="9"/>
  <c r="D54" i="9"/>
  <c r="E54" i="9"/>
  <c r="D55" i="9"/>
  <c r="E55" i="9"/>
  <c r="D56" i="9"/>
  <c r="E56" i="9"/>
  <c r="D57" i="9"/>
  <c r="E57" i="9"/>
  <c r="D58" i="9"/>
  <c r="E58" i="9"/>
  <c r="D59" i="9"/>
  <c r="E59" i="9"/>
  <c r="D60" i="9"/>
  <c r="E60" i="9"/>
  <c r="D61" i="9"/>
  <c r="E61" i="9"/>
  <c r="D62" i="9"/>
  <c r="E62" i="9"/>
  <c r="D63" i="9"/>
  <c r="E63" i="9"/>
  <c r="D64" i="9"/>
  <c r="E64" i="9"/>
  <c r="D65" i="9"/>
  <c r="E65" i="9"/>
  <c r="D66" i="9"/>
  <c r="E66" i="9"/>
  <c r="D67" i="9"/>
  <c r="E67" i="9"/>
  <c r="D68" i="9"/>
  <c r="E68" i="9"/>
  <c r="D69" i="9"/>
  <c r="E69" i="9"/>
  <c r="D70" i="9"/>
  <c r="E70" i="9"/>
  <c r="D71" i="9"/>
  <c r="E71" i="9"/>
  <c r="D72" i="9"/>
  <c r="E72" i="9"/>
  <c r="D73" i="9"/>
  <c r="E73" i="9"/>
  <c r="D74" i="9"/>
  <c r="E74" i="9"/>
  <c r="D75" i="9"/>
  <c r="E75" i="9"/>
  <c r="D76" i="9"/>
  <c r="E76" i="9"/>
  <c r="D77" i="9"/>
  <c r="E77" i="9"/>
  <c r="D78" i="9"/>
  <c r="E78" i="9"/>
  <c r="D79" i="9"/>
  <c r="E79" i="9"/>
  <c r="D80" i="9"/>
  <c r="E80" i="9"/>
  <c r="D81" i="9"/>
  <c r="E81" i="9"/>
  <c r="D82" i="9"/>
  <c r="E82" i="9"/>
  <c r="D83" i="9"/>
  <c r="E83" i="9"/>
  <c r="D84" i="9"/>
  <c r="E84" i="9"/>
  <c r="D85" i="9"/>
  <c r="E85" i="9"/>
  <c r="D86" i="9"/>
  <c r="E86" i="9"/>
  <c r="D87" i="9"/>
  <c r="E87" i="9"/>
  <c r="D88" i="9"/>
  <c r="E88" i="9"/>
  <c r="D89" i="9"/>
  <c r="E89" i="9"/>
  <c r="D90" i="9"/>
  <c r="E90" i="9"/>
  <c r="D91" i="9"/>
  <c r="E91" i="9"/>
  <c r="D92" i="9"/>
  <c r="E92" i="9"/>
  <c r="D93" i="9"/>
  <c r="E93" i="9"/>
  <c r="D94" i="9"/>
  <c r="E94" i="9"/>
  <c r="D95" i="9"/>
  <c r="E95" i="9"/>
  <c r="D96" i="9"/>
  <c r="E96" i="9"/>
  <c r="D97" i="9"/>
  <c r="E97" i="9"/>
  <c r="D98" i="9"/>
  <c r="E98" i="9"/>
  <c r="D99" i="9"/>
  <c r="E99" i="9"/>
  <c r="D100" i="9"/>
  <c r="E100" i="9"/>
  <c r="D101" i="9"/>
  <c r="E101" i="9"/>
  <c r="D102" i="9"/>
  <c r="E102" i="9"/>
  <c r="D103" i="9"/>
  <c r="E103" i="9"/>
  <c r="D104" i="9"/>
  <c r="E104" i="9"/>
  <c r="D105" i="9"/>
  <c r="E105" i="9"/>
  <c r="D106" i="9"/>
  <c r="E106" i="9"/>
  <c r="D107" i="9"/>
  <c r="E107" i="9"/>
  <c r="D108" i="9"/>
  <c r="E108" i="9"/>
  <c r="D109" i="9"/>
  <c r="E109" i="9"/>
  <c r="D110" i="9"/>
  <c r="E110" i="9"/>
  <c r="D111" i="9"/>
  <c r="E111" i="9"/>
  <c r="D112" i="9"/>
  <c r="E112" i="9"/>
  <c r="D113" i="9"/>
  <c r="E113" i="9"/>
  <c r="D114" i="9"/>
  <c r="E114" i="9"/>
  <c r="D115" i="9"/>
  <c r="E115" i="9"/>
  <c r="D116" i="9"/>
  <c r="E116" i="9"/>
  <c r="D117" i="9"/>
  <c r="E117" i="9"/>
  <c r="D118" i="9"/>
  <c r="E118" i="9"/>
  <c r="D119" i="9"/>
  <c r="E119" i="9"/>
  <c r="D120" i="9"/>
  <c r="E120" i="9"/>
  <c r="D121" i="9"/>
  <c r="E121" i="9"/>
  <c r="D122" i="9"/>
  <c r="E122" i="9"/>
  <c r="D123" i="9"/>
  <c r="E123" i="9"/>
  <c r="D124" i="9"/>
  <c r="E124" i="9"/>
  <c r="D125" i="9"/>
  <c r="E125" i="9"/>
  <c r="D126" i="9"/>
  <c r="E126" i="9"/>
  <c r="D127" i="9"/>
  <c r="E127" i="9"/>
  <c r="D128" i="9"/>
  <c r="E128" i="9"/>
  <c r="D129" i="9"/>
  <c r="E129" i="9"/>
  <c r="D130" i="9"/>
  <c r="E130" i="9"/>
  <c r="D131" i="9"/>
  <c r="E131" i="9"/>
  <c r="D132" i="9"/>
  <c r="E132" i="9"/>
  <c r="D133" i="9"/>
  <c r="E133" i="9"/>
  <c r="D134" i="9"/>
  <c r="E134" i="9"/>
  <c r="D135" i="9"/>
  <c r="E135" i="9"/>
  <c r="D136" i="9"/>
  <c r="E136" i="9"/>
  <c r="D137" i="9"/>
  <c r="E137" i="9"/>
  <c r="D138" i="9"/>
  <c r="E138" i="9"/>
  <c r="D139" i="9"/>
  <c r="E139" i="9"/>
  <c r="D140" i="9"/>
  <c r="E140" i="9"/>
  <c r="D141" i="9"/>
  <c r="E141" i="9"/>
  <c r="D142" i="9"/>
  <c r="E142" i="9"/>
  <c r="D143" i="9"/>
  <c r="E143" i="9"/>
  <c r="D144" i="9"/>
  <c r="E144" i="9"/>
  <c r="D145" i="9"/>
  <c r="E145" i="9"/>
  <c r="D146" i="9"/>
  <c r="E146" i="9"/>
  <c r="D147" i="9"/>
  <c r="E147" i="9"/>
  <c r="D148" i="9"/>
  <c r="E148" i="9"/>
  <c r="D149" i="9"/>
  <c r="E149" i="9"/>
  <c r="D150" i="9"/>
  <c r="E150" i="9"/>
  <c r="D151" i="9"/>
  <c r="E151" i="9"/>
  <c r="D152" i="9"/>
  <c r="E152" i="9"/>
  <c r="D153" i="9"/>
  <c r="E153" i="9"/>
  <c r="D154" i="9"/>
  <c r="E154" i="9"/>
  <c r="D155" i="9"/>
  <c r="E155" i="9"/>
  <c r="D156" i="9"/>
  <c r="E156" i="9"/>
  <c r="D157" i="9"/>
  <c r="E157" i="9"/>
  <c r="D158" i="9"/>
  <c r="E158" i="9"/>
  <c r="D159" i="9"/>
  <c r="E159" i="9"/>
  <c r="D160" i="9"/>
  <c r="E160" i="9"/>
  <c r="D161" i="9"/>
  <c r="E161" i="9"/>
  <c r="D162" i="9"/>
  <c r="E162" i="9"/>
  <c r="D163" i="9"/>
  <c r="E163" i="9"/>
  <c r="D164" i="9"/>
  <c r="E164" i="9"/>
  <c r="D165" i="9"/>
  <c r="E165" i="9"/>
  <c r="D166" i="9"/>
  <c r="E166" i="9"/>
  <c r="D167" i="9"/>
  <c r="E167" i="9"/>
  <c r="D168" i="9"/>
  <c r="E168" i="9"/>
  <c r="D169" i="9"/>
  <c r="E169" i="9"/>
  <c r="D170" i="9"/>
  <c r="E170" i="9"/>
  <c r="D171" i="9"/>
  <c r="E171" i="9"/>
  <c r="D172" i="9"/>
  <c r="E172" i="9"/>
  <c r="D173" i="9"/>
  <c r="E173" i="9"/>
  <c r="D174" i="9"/>
  <c r="E174" i="9"/>
  <c r="D175" i="9"/>
  <c r="E175" i="9"/>
  <c r="D176" i="9"/>
  <c r="E176" i="9"/>
  <c r="D177" i="9"/>
  <c r="E177" i="9"/>
  <c r="D178" i="9"/>
  <c r="E178" i="9"/>
  <c r="D179" i="9"/>
  <c r="E179" i="9"/>
  <c r="D180" i="9"/>
  <c r="E180" i="9"/>
  <c r="D181" i="9"/>
  <c r="E181" i="9"/>
  <c r="D182" i="9"/>
  <c r="E182" i="9"/>
  <c r="D183" i="9"/>
  <c r="E183" i="9"/>
  <c r="D184" i="9"/>
  <c r="E184" i="9"/>
  <c r="D185" i="9"/>
  <c r="E185" i="9"/>
  <c r="D186" i="9"/>
  <c r="E186" i="9"/>
  <c r="D187" i="9"/>
  <c r="E187" i="9"/>
  <c r="F187" i="9" s="1"/>
  <c r="D188" i="9"/>
  <c r="E188" i="9"/>
  <c r="D189" i="9"/>
  <c r="E189" i="9"/>
  <c r="D190" i="9"/>
  <c r="E190" i="9"/>
  <c r="D191" i="9"/>
  <c r="E191" i="9"/>
  <c r="F191" i="9" s="1"/>
  <c r="D192" i="9"/>
  <c r="E192" i="9"/>
  <c r="D193" i="9"/>
  <c r="E193" i="9"/>
  <c r="D194" i="9"/>
  <c r="E194" i="9"/>
  <c r="D195" i="9"/>
  <c r="E195" i="9"/>
  <c r="F195" i="9" s="1"/>
  <c r="D196" i="9"/>
  <c r="E196" i="9"/>
  <c r="D197" i="9"/>
  <c r="E197" i="9"/>
  <c r="D198" i="9"/>
  <c r="E198" i="9"/>
  <c r="D199" i="9"/>
  <c r="E199" i="9"/>
  <c r="F199" i="9" s="1"/>
  <c r="D200" i="9"/>
  <c r="E200" i="9"/>
  <c r="D201" i="9"/>
  <c r="E201" i="9"/>
  <c r="D202" i="9"/>
  <c r="E202" i="9"/>
  <c r="D203" i="9"/>
  <c r="E203" i="9"/>
  <c r="F203" i="9" s="1"/>
  <c r="D204" i="9"/>
  <c r="E204" i="9"/>
  <c r="D205" i="9"/>
  <c r="E205" i="9"/>
  <c r="D206" i="9"/>
  <c r="E206" i="9"/>
  <c r="D207" i="9"/>
  <c r="E207" i="9"/>
  <c r="F207" i="9" s="1"/>
  <c r="D208" i="9"/>
  <c r="E208" i="9"/>
  <c r="D209" i="9"/>
  <c r="E209" i="9"/>
  <c r="D210" i="9"/>
  <c r="E210" i="9"/>
  <c r="D211" i="9"/>
  <c r="E211" i="9"/>
  <c r="F211" i="9" s="1"/>
  <c r="D212" i="9"/>
  <c r="E212" i="9"/>
  <c r="D213" i="9"/>
  <c r="E213" i="9"/>
  <c r="D214" i="9"/>
  <c r="E214" i="9"/>
  <c r="D215" i="9"/>
  <c r="E215" i="9"/>
  <c r="F215" i="9" s="1"/>
  <c r="D216" i="9"/>
  <c r="E216" i="9"/>
  <c r="D217" i="9"/>
  <c r="E217" i="9"/>
  <c r="D218" i="9"/>
  <c r="E218" i="9"/>
  <c r="D219" i="9"/>
  <c r="E219" i="9"/>
  <c r="F219" i="9" s="1"/>
  <c r="D220" i="9"/>
  <c r="E220" i="9"/>
  <c r="D221" i="9"/>
  <c r="E221" i="9"/>
  <c r="D222" i="9"/>
  <c r="E222" i="9"/>
  <c r="D223" i="9"/>
  <c r="E223" i="9"/>
  <c r="F223" i="9" s="1"/>
  <c r="D224" i="9"/>
  <c r="E224" i="9"/>
  <c r="D225" i="9"/>
  <c r="E225" i="9"/>
  <c r="D226" i="9"/>
  <c r="E226" i="9"/>
  <c r="D227" i="9"/>
  <c r="E227" i="9"/>
  <c r="F227" i="9" s="1"/>
  <c r="D228" i="9"/>
  <c r="E228" i="9"/>
  <c r="D229" i="9"/>
  <c r="E229" i="9"/>
  <c r="D230" i="9"/>
  <c r="E230" i="9"/>
  <c r="D231" i="9"/>
  <c r="E231" i="9"/>
  <c r="F231" i="9" s="1"/>
  <c r="D232" i="9"/>
  <c r="E232" i="9"/>
  <c r="D233" i="9"/>
  <c r="E233" i="9"/>
  <c r="D234" i="9"/>
  <c r="E234" i="9"/>
  <c r="D235" i="9"/>
  <c r="E235" i="9"/>
  <c r="F235" i="9" s="1"/>
  <c r="D236" i="9"/>
  <c r="E236" i="9"/>
  <c r="D237" i="9"/>
  <c r="E237" i="9"/>
  <c r="D238" i="9"/>
  <c r="E238" i="9"/>
  <c r="D239" i="9"/>
  <c r="E239" i="9"/>
  <c r="F239" i="9" s="1"/>
  <c r="D240" i="9"/>
  <c r="E240" i="9"/>
  <c r="D241" i="9"/>
  <c r="E241" i="9"/>
  <c r="D242" i="9"/>
  <c r="E242" i="9"/>
  <c r="D243" i="9"/>
  <c r="E243" i="9"/>
  <c r="F243" i="9" s="1"/>
  <c r="D244" i="9"/>
  <c r="E244" i="9"/>
  <c r="D245" i="9"/>
  <c r="E245" i="9"/>
  <c r="D246" i="9"/>
  <c r="E246" i="9"/>
  <c r="D247" i="9"/>
  <c r="E247" i="9"/>
  <c r="F247" i="9" s="1"/>
  <c r="D248" i="9"/>
  <c r="E248" i="9"/>
  <c r="D249" i="9"/>
  <c r="E249" i="9"/>
  <c r="D250" i="9"/>
  <c r="E250" i="9"/>
  <c r="D251" i="9"/>
  <c r="E251" i="9"/>
  <c r="F251" i="9" s="1"/>
  <c r="D252" i="9"/>
  <c r="E252" i="9"/>
  <c r="D253" i="9"/>
  <c r="E253" i="9"/>
  <c r="D254" i="9"/>
  <c r="E254" i="9"/>
  <c r="D255" i="9"/>
  <c r="E255" i="9"/>
  <c r="F255" i="9" s="1"/>
  <c r="D256" i="9"/>
  <c r="E256" i="9"/>
  <c r="D257" i="9"/>
  <c r="E257" i="9"/>
  <c r="D258" i="9"/>
  <c r="E258" i="9"/>
  <c r="D259" i="9"/>
  <c r="E259" i="9"/>
  <c r="F259" i="9" s="1"/>
  <c r="D260" i="9"/>
  <c r="E260" i="9"/>
  <c r="D261" i="9"/>
  <c r="E261" i="9"/>
  <c r="D262" i="9"/>
  <c r="E262" i="9"/>
  <c r="D263" i="9"/>
  <c r="E263" i="9"/>
  <c r="F263" i="9" s="1"/>
  <c r="D264" i="9"/>
  <c r="E264" i="9"/>
  <c r="D265" i="9"/>
  <c r="E265" i="9"/>
  <c r="D266" i="9"/>
  <c r="E266" i="9"/>
  <c r="D267" i="9"/>
  <c r="E267" i="9"/>
  <c r="F267" i="9" s="1"/>
  <c r="D268" i="9"/>
  <c r="E268" i="9"/>
  <c r="D269" i="9"/>
  <c r="E269" i="9"/>
  <c r="D270" i="9"/>
  <c r="E270" i="9"/>
  <c r="D271" i="9"/>
  <c r="E271" i="9"/>
  <c r="F271" i="9" s="1"/>
  <c r="D272" i="9"/>
  <c r="E272" i="9"/>
  <c r="D273" i="9"/>
  <c r="E273" i="9"/>
  <c r="D274" i="9"/>
  <c r="E274" i="9"/>
  <c r="D275" i="9"/>
  <c r="E275" i="9"/>
  <c r="F275" i="9" s="1"/>
  <c r="D276" i="9"/>
  <c r="E276" i="9"/>
  <c r="D277" i="9"/>
  <c r="E277" i="9"/>
  <c r="D278" i="9"/>
  <c r="E278" i="9"/>
  <c r="D279" i="9"/>
  <c r="E279" i="9"/>
  <c r="F279" i="9" s="1"/>
  <c r="D280" i="9"/>
  <c r="E280" i="9"/>
  <c r="D281" i="9"/>
  <c r="E281" i="9"/>
  <c r="D282" i="9"/>
  <c r="E282" i="9"/>
  <c r="D283" i="9"/>
  <c r="E283" i="9"/>
  <c r="F283" i="9" s="1"/>
  <c r="D284" i="9"/>
  <c r="E284" i="9"/>
  <c r="D285" i="9"/>
  <c r="E285" i="9"/>
  <c r="D286" i="9"/>
  <c r="E286" i="9"/>
  <c r="D287" i="9"/>
  <c r="E287" i="9"/>
  <c r="F287" i="9" s="1"/>
  <c r="D288" i="9"/>
  <c r="E288" i="9"/>
  <c r="D289" i="9"/>
  <c r="E289" i="9"/>
  <c r="D290" i="9"/>
  <c r="E290" i="9"/>
  <c r="D291" i="9"/>
  <c r="E291" i="9"/>
  <c r="F291" i="9" s="1"/>
  <c r="D292" i="9"/>
  <c r="E292" i="9"/>
  <c r="D293" i="9"/>
  <c r="E293" i="9"/>
  <c r="D294" i="9"/>
  <c r="E294" i="9"/>
  <c r="D295" i="9"/>
  <c r="E295" i="9"/>
  <c r="F295" i="9" s="1"/>
  <c r="D296" i="9"/>
  <c r="E296" i="9"/>
  <c r="D297" i="9"/>
  <c r="E297" i="9"/>
  <c r="D298" i="9"/>
  <c r="E298" i="9"/>
  <c r="D299" i="9"/>
  <c r="E299" i="9"/>
  <c r="F299" i="9" s="1"/>
  <c r="D300" i="9"/>
  <c r="E300" i="9"/>
  <c r="D301" i="9"/>
  <c r="E301" i="9"/>
  <c r="D302" i="9"/>
  <c r="E302" i="9"/>
  <c r="F302" i="9" s="1"/>
  <c r="D303" i="9"/>
  <c r="E303" i="9"/>
  <c r="F303" i="9" s="1"/>
  <c r="D304" i="9"/>
  <c r="E304" i="9"/>
  <c r="D305" i="9"/>
  <c r="E305" i="9"/>
  <c r="D306" i="9"/>
  <c r="E306" i="9"/>
  <c r="F306" i="9" s="1"/>
  <c r="D307" i="9"/>
  <c r="E307" i="9"/>
  <c r="F307" i="9" s="1"/>
  <c r="D308" i="9"/>
  <c r="E308" i="9"/>
  <c r="D309" i="9"/>
  <c r="E309" i="9"/>
  <c r="D310" i="9"/>
  <c r="E310" i="9"/>
  <c r="F310" i="9" s="1"/>
  <c r="D311" i="9"/>
  <c r="E311" i="9"/>
  <c r="F311" i="9" s="1"/>
  <c r="E12" i="9"/>
  <c r="E11" i="9"/>
  <c r="D11" i="9"/>
  <c r="D12" i="9"/>
  <c r="F294" i="9" l="1"/>
  <c r="F290" i="9"/>
  <c r="F286" i="9"/>
  <c r="F278" i="9"/>
  <c r="F274" i="9"/>
  <c r="F270" i="9"/>
  <c r="F266" i="9"/>
  <c r="F262" i="9"/>
  <c r="F258" i="9"/>
  <c r="F254" i="9"/>
  <c r="F250" i="9"/>
  <c r="F246" i="9"/>
  <c r="F242" i="9"/>
  <c r="F238" i="9"/>
  <c r="F234" i="9"/>
  <c r="F230" i="9"/>
  <c r="F226" i="9"/>
  <c r="F282" i="9"/>
  <c r="D312" i="9"/>
  <c r="F309" i="9"/>
  <c r="F301" i="9"/>
  <c r="F297" i="9"/>
  <c r="F293" i="9"/>
  <c r="F289" i="9"/>
  <c r="F285" i="9"/>
  <c r="F281" i="9"/>
  <c r="F277" i="9"/>
  <c r="F273" i="9"/>
  <c r="F269" i="9"/>
  <c r="F265" i="9"/>
  <c r="F298" i="9"/>
  <c r="F305" i="9"/>
  <c r="F304" i="9"/>
  <c r="F296" i="9"/>
  <c r="F288" i="9"/>
  <c r="F284" i="9"/>
  <c r="F276" i="9"/>
  <c r="F268" i="9"/>
  <c r="F260" i="9"/>
  <c r="F252" i="9"/>
  <c r="F244" i="9"/>
  <c r="F236" i="9"/>
  <c r="F228" i="9"/>
  <c r="F220" i="9"/>
  <c r="F212" i="9"/>
  <c r="F204" i="9"/>
  <c r="F196" i="9"/>
  <c r="F188" i="9"/>
  <c r="F180" i="9"/>
  <c r="F172" i="9"/>
  <c r="F164" i="9"/>
  <c r="F152" i="9"/>
  <c r="F144" i="9"/>
  <c r="F136" i="9"/>
  <c r="F128" i="9"/>
  <c r="F120" i="9"/>
  <c r="F112" i="9"/>
  <c r="F108" i="9"/>
  <c r="F100" i="9"/>
  <c r="F92" i="9"/>
  <c r="F84" i="9"/>
  <c r="F76" i="9"/>
  <c r="F68" i="9"/>
  <c r="F60" i="9"/>
  <c r="F52" i="9"/>
  <c r="F40" i="9"/>
  <c r="F12" i="9"/>
  <c r="F183" i="9"/>
  <c r="F175" i="9"/>
  <c r="F167" i="9"/>
  <c r="F159" i="9"/>
  <c r="F151" i="9"/>
  <c r="F143" i="9"/>
  <c r="F135" i="9"/>
  <c r="F123" i="9"/>
  <c r="F115" i="9"/>
  <c r="F107" i="9"/>
  <c r="F99" i="9"/>
  <c r="F87" i="9"/>
  <c r="F63" i="9"/>
  <c r="F179" i="9"/>
  <c r="F171" i="9"/>
  <c r="F163" i="9"/>
  <c r="F155" i="9"/>
  <c r="F147" i="9"/>
  <c r="F139" i="9"/>
  <c r="F131" i="9"/>
  <c r="F127" i="9"/>
  <c r="F119" i="9"/>
  <c r="F111" i="9"/>
  <c r="F103" i="9"/>
  <c r="F95" i="9"/>
  <c r="F91" i="9"/>
  <c r="F83" i="9"/>
  <c r="F79" i="9"/>
  <c r="F75" i="9"/>
  <c r="F71" i="9"/>
  <c r="F67" i="9"/>
  <c r="F59" i="9"/>
  <c r="F55" i="9"/>
  <c r="F51" i="9"/>
  <c r="F47" i="9"/>
  <c r="F43" i="9"/>
  <c r="F39" i="9"/>
  <c r="F35" i="9"/>
  <c r="F31" i="9"/>
  <c r="F27" i="9"/>
  <c r="F23" i="9"/>
  <c r="F19" i="9"/>
  <c r="F15" i="9"/>
  <c r="F222" i="9"/>
  <c r="F218" i="9"/>
  <c r="F214" i="9"/>
  <c r="F210" i="9"/>
  <c r="F206" i="9"/>
  <c r="F202" i="9"/>
  <c r="F198" i="9"/>
  <c r="F194" i="9"/>
  <c r="F190" i="9"/>
  <c r="F186" i="9"/>
  <c r="F182" i="9"/>
  <c r="F178" i="9"/>
  <c r="F174" i="9"/>
  <c r="F170" i="9"/>
  <c r="F166" i="9"/>
  <c r="F162" i="9"/>
  <c r="F158" i="9"/>
  <c r="F154" i="9"/>
  <c r="F150" i="9"/>
  <c r="F146" i="9"/>
  <c r="F142" i="9"/>
  <c r="F138" i="9"/>
  <c r="F134" i="9"/>
  <c r="F130" i="9"/>
  <c r="F126" i="9"/>
  <c r="F122" i="9"/>
  <c r="F118" i="9"/>
  <c r="F114" i="9"/>
  <c r="F110" i="9"/>
  <c r="F106" i="9"/>
  <c r="F102" i="9"/>
  <c r="F98" i="9"/>
  <c r="F94" i="9"/>
  <c r="F90" i="9"/>
  <c r="F86" i="9"/>
  <c r="F82" i="9"/>
  <c r="F78" i="9"/>
  <c r="F74" i="9"/>
  <c r="F70" i="9"/>
  <c r="F66" i="9"/>
  <c r="F62" i="9"/>
  <c r="F58" i="9"/>
  <c r="F54" i="9"/>
  <c r="F50" i="9"/>
  <c r="F46" i="9"/>
  <c r="F42" i="9"/>
  <c r="F38" i="9"/>
  <c r="F34" i="9"/>
  <c r="F30" i="9"/>
  <c r="F26" i="9"/>
  <c r="F22" i="9"/>
  <c r="F18" i="9"/>
  <c r="F14" i="9"/>
  <c r="F257" i="9"/>
  <c r="F249" i="9"/>
  <c r="F241" i="9"/>
  <c r="F233" i="9"/>
  <c r="F225" i="9"/>
  <c r="F217" i="9"/>
  <c r="F209" i="9"/>
  <c r="F201" i="9"/>
  <c r="F193" i="9"/>
  <c r="F181" i="9"/>
  <c r="F173" i="9"/>
  <c r="F165" i="9"/>
  <c r="F141" i="9"/>
  <c r="F261" i="9"/>
  <c r="F253" i="9"/>
  <c r="F245" i="9"/>
  <c r="F237" i="9"/>
  <c r="F229" i="9"/>
  <c r="F221" i="9"/>
  <c r="F213" i="9"/>
  <c r="F205" i="9"/>
  <c r="F197" i="9"/>
  <c r="F189" i="9"/>
  <c r="F185" i="9"/>
  <c r="F177" i="9"/>
  <c r="F169" i="9"/>
  <c r="F161" i="9"/>
  <c r="F157" i="9"/>
  <c r="F153" i="9"/>
  <c r="F149" i="9"/>
  <c r="F145" i="9"/>
  <c r="F137" i="9"/>
  <c r="F133" i="9"/>
  <c r="F129" i="9"/>
  <c r="F125" i="9"/>
  <c r="F121" i="9"/>
  <c r="F117" i="9"/>
  <c r="F113" i="9"/>
  <c r="F109" i="9"/>
  <c r="F105" i="9"/>
  <c r="F101" i="9"/>
  <c r="F97" i="9"/>
  <c r="F93" i="9"/>
  <c r="F89" i="9"/>
  <c r="F85" i="9"/>
  <c r="F81" i="9"/>
  <c r="F77" i="9"/>
  <c r="F73" i="9"/>
  <c r="F69" i="9"/>
  <c r="F65" i="9"/>
  <c r="F61" i="9"/>
  <c r="F57" i="9"/>
  <c r="F53" i="9"/>
  <c r="F49" i="9"/>
  <c r="F45" i="9"/>
  <c r="F41" i="9"/>
  <c r="F37" i="9"/>
  <c r="F33" i="9"/>
  <c r="F29" i="9"/>
  <c r="F25" i="9"/>
  <c r="F21" i="9"/>
  <c r="F17" i="9"/>
  <c r="F13" i="9"/>
  <c r="F308" i="9"/>
  <c r="F300" i="9"/>
  <c r="F292" i="9"/>
  <c r="F280" i="9"/>
  <c r="F272" i="9"/>
  <c r="F264" i="9"/>
  <c r="F256" i="9"/>
  <c r="F248" i="9"/>
  <c r="F240" i="9"/>
  <c r="F232" i="9"/>
  <c r="F224" i="9"/>
  <c r="F216" i="9"/>
  <c r="F208" i="9"/>
  <c r="F200" i="9"/>
  <c r="F192" i="9"/>
  <c r="F184" i="9"/>
  <c r="F176" i="9"/>
  <c r="F168" i="9"/>
  <c r="F160" i="9"/>
  <c r="F156" i="9"/>
  <c r="F148" i="9"/>
  <c r="F140" i="9"/>
  <c r="F132" i="9"/>
  <c r="F124" i="9"/>
  <c r="F116" i="9"/>
  <c r="F104" i="9"/>
  <c r="F96" i="9"/>
  <c r="F88" i="9"/>
  <c r="F80" i="9"/>
  <c r="F72" i="9"/>
  <c r="F64" i="9"/>
  <c r="F56" i="9"/>
  <c r="F48" i="9"/>
  <c r="F44" i="9"/>
  <c r="F36" i="9"/>
  <c r="F32" i="9"/>
  <c r="F28" i="9"/>
  <c r="F24" i="9"/>
  <c r="F20" i="9"/>
  <c r="F16" i="9"/>
  <c r="E312" i="9"/>
  <c r="F312" i="9" s="1"/>
  <c r="C6" i="9" s="1"/>
  <c r="A11" i="40"/>
  <c r="D155" i="13" l="1"/>
  <c r="D275"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6" i="13"/>
  <c r="AJ306" i="42" l="1"/>
  <c r="A7" i="54" l="1"/>
  <c r="B7" i="54"/>
  <c r="A8" i="54"/>
  <c r="B8" i="54"/>
  <c r="A9" i="54"/>
  <c r="B9" i="54"/>
  <c r="A10" i="54"/>
  <c r="B10" i="54"/>
  <c r="A11" i="54"/>
  <c r="B11" i="54"/>
  <c r="A12" i="54"/>
  <c r="B12" i="54"/>
  <c r="A13" i="54"/>
  <c r="B13" i="54"/>
  <c r="A14" i="54"/>
  <c r="B14" i="54"/>
  <c r="A15" i="54"/>
  <c r="B15" i="54"/>
  <c r="A16" i="54"/>
  <c r="B16" i="54"/>
  <c r="A17" i="54"/>
  <c r="B17" i="54"/>
  <c r="A18" i="54"/>
  <c r="B18" i="54"/>
  <c r="A19" i="54"/>
  <c r="B19" i="54"/>
  <c r="A20" i="54"/>
  <c r="B20" i="54"/>
  <c r="A21" i="54"/>
  <c r="B21" i="54"/>
  <c r="A22" i="54"/>
  <c r="B22" i="54"/>
  <c r="A23" i="54"/>
  <c r="B23" i="54"/>
  <c r="A24" i="54"/>
  <c r="B24" i="54"/>
  <c r="A25" i="54"/>
  <c r="B25" i="54"/>
  <c r="A26" i="54"/>
  <c r="B26" i="54"/>
  <c r="A27" i="54"/>
  <c r="B27" i="54"/>
  <c r="A28" i="54"/>
  <c r="B28" i="54"/>
  <c r="A29" i="54"/>
  <c r="B29" i="54"/>
  <c r="A30" i="54"/>
  <c r="B30" i="54"/>
  <c r="A31" i="54"/>
  <c r="B31" i="54"/>
  <c r="A32" i="54"/>
  <c r="B32" i="54"/>
  <c r="A33" i="54"/>
  <c r="B33" i="54"/>
  <c r="A34" i="54"/>
  <c r="B34" i="54"/>
  <c r="A35" i="54"/>
  <c r="B35" i="54"/>
  <c r="A36" i="54"/>
  <c r="B36" i="54"/>
  <c r="A37" i="54"/>
  <c r="B37" i="54"/>
  <c r="A38" i="54"/>
  <c r="B38" i="54"/>
  <c r="A39" i="54"/>
  <c r="B39" i="54"/>
  <c r="A40" i="54"/>
  <c r="B40" i="54"/>
  <c r="A41" i="54"/>
  <c r="B41" i="54"/>
  <c r="A42" i="54"/>
  <c r="B42" i="54"/>
  <c r="A43" i="54"/>
  <c r="B43" i="54"/>
  <c r="A44" i="54"/>
  <c r="B44" i="54"/>
  <c r="A45" i="54"/>
  <c r="B45" i="54"/>
  <c r="A46" i="54"/>
  <c r="B46" i="54"/>
  <c r="A47" i="54"/>
  <c r="B47" i="54"/>
  <c r="A48" i="54"/>
  <c r="B48" i="54"/>
  <c r="A49" i="54"/>
  <c r="B49" i="54"/>
  <c r="A50" i="54"/>
  <c r="B50" i="54"/>
  <c r="A51" i="54"/>
  <c r="B51" i="54"/>
  <c r="A52" i="54"/>
  <c r="B52" i="54"/>
  <c r="A53" i="54"/>
  <c r="B53" i="54"/>
  <c r="A54" i="54"/>
  <c r="B54" i="54"/>
  <c r="A55" i="54"/>
  <c r="B55" i="54"/>
  <c r="A56" i="54"/>
  <c r="B56" i="54"/>
  <c r="A57" i="54"/>
  <c r="B57" i="54"/>
  <c r="A58" i="54"/>
  <c r="B58" i="54"/>
  <c r="A59" i="54"/>
  <c r="B59" i="54"/>
  <c r="A60" i="54"/>
  <c r="B60" i="54"/>
  <c r="A61" i="54"/>
  <c r="B61" i="54"/>
  <c r="A62" i="54"/>
  <c r="B62" i="54"/>
  <c r="A63" i="54"/>
  <c r="B63" i="54"/>
  <c r="A64" i="54"/>
  <c r="B64" i="54"/>
  <c r="A65" i="54"/>
  <c r="B65" i="54"/>
  <c r="A66" i="54"/>
  <c r="B66" i="54"/>
  <c r="A67" i="54"/>
  <c r="B67" i="54"/>
  <c r="A68" i="54"/>
  <c r="B68" i="54"/>
  <c r="A69" i="54"/>
  <c r="B69" i="54"/>
  <c r="A70" i="54"/>
  <c r="B70" i="54"/>
  <c r="A71" i="54"/>
  <c r="B71" i="54"/>
  <c r="A72" i="54"/>
  <c r="B72" i="54"/>
  <c r="A73" i="54"/>
  <c r="B73" i="54"/>
  <c r="A74" i="54"/>
  <c r="B74" i="54"/>
  <c r="A75" i="54"/>
  <c r="B75" i="54"/>
  <c r="A76" i="54"/>
  <c r="B76" i="54"/>
  <c r="A77" i="54"/>
  <c r="B77" i="54"/>
  <c r="A78" i="54"/>
  <c r="B78" i="54"/>
  <c r="A79" i="54"/>
  <c r="B79" i="54"/>
  <c r="A80" i="54"/>
  <c r="B80" i="54"/>
  <c r="A81" i="54"/>
  <c r="B81" i="54"/>
  <c r="A82" i="54"/>
  <c r="B82" i="54"/>
  <c r="A83" i="54"/>
  <c r="B83" i="54"/>
  <c r="A84" i="54"/>
  <c r="B84" i="54"/>
  <c r="A85" i="54"/>
  <c r="B85" i="54"/>
  <c r="A86" i="54"/>
  <c r="B86" i="54"/>
  <c r="A87" i="54"/>
  <c r="B87" i="54"/>
  <c r="A88" i="54"/>
  <c r="B88" i="54"/>
  <c r="A89" i="54"/>
  <c r="B89" i="54"/>
  <c r="A90" i="54"/>
  <c r="B90" i="54"/>
  <c r="A91" i="54"/>
  <c r="B91" i="54"/>
  <c r="A92" i="54"/>
  <c r="B92" i="54"/>
  <c r="A93" i="54"/>
  <c r="B93" i="54"/>
  <c r="A94" i="54"/>
  <c r="B94" i="54"/>
  <c r="A95" i="54"/>
  <c r="B95" i="54"/>
  <c r="A96" i="54"/>
  <c r="B96" i="54"/>
  <c r="A97" i="54"/>
  <c r="B97" i="54"/>
  <c r="A98" i="54"/>
  <c r="B98" i="54"/>
  <c r="A99" i="54"/>
  <c r="B99" i="54"/>
  <c r="A100" i="54"/>
  <c r="B100" i="54"/>
  <c r="A101" i="54"/>
  <c r="B101" i="54"/>
  <c r="A102" i="54"/>
  <c r="B102" i="54"/>
  <c r="A103" i="54"/>
  <c r="B103" i="54"/>
  <c r="A104" i="54"/>
  <c r="B104" i="54"/>
  <c r="A105" i="54"/>
  <c r="B105" i="54"/>
  <c r="A106" i="54"/>
  <c r="B106" i="54"/>
  <c r="A107" i="54"/>
  <c r="B107" i="54"/>
  <c r="A108" i="54"/>
  <c r="B108" i="54"/>
  <c r="A109" i="54"/>
  <c r="B109" i="54"/>
  <c r="A110" i="54"/>
  <c r="B110" i="54"/>
  <c r="A111" i="54"/>
  <c r="B111" i="54"/>
  <c r="A112" i="54"/>
  <c r="B112" i="54"/>
  <c r="A113" i="54"/>
  <c r="B113" i="54"/>
  <c r="A114" i="54"/>
  <c r="B114" i="54"/>
  <c r="A115" i="54"/>
  <c r="B115" i="54"/>
  <c r="A116" i="54"/>
  <c r="B116" i="54"/>
  <c r="A117" i="54"/>
  <c r="B117" i="54"/>
  <c r="A118" i="54"/>
  <c r="B118" i="54"/>
  <c r="A119" i="54"/>
  <c r="B119" i="54"/>
  <c r="A120" i="54"/>
  <c r="B120" i="54"/>
  <c r="A121" i="54"/>
  <c r="B121" i="54"/>
  <c r="A122" i="54"/>
  <c r="B122" i="54"/>
  <c r="A123" i="54"/>
  <c r="B123" i="54"/>
  <c r="A124" i="54"/>
  <c r="B124" i="54"/>
  <c r="A125" i="54"/>
  <c r="B125" i="54"/>
  <c r="A126" i="54"/>
  <c r="B126" i="54"/>
  <c r="A127" i="54"/>
  <c r="B127" i="54"/>
  <c r="A128" i="54"/>
  <c r="B128" i="54"/>
  <c r="A129" i="54"/>
  <c r="B129" i="54"/>
  <c r="A130" i="54"/>
  <c r="B130" i="54"/>
  <c r="A131" i="54"/>
  <c r="B131" i="54"/>
  <c r="A132" i="54"/>
  <c r="B132" i="54"/>
  <c r="A133" i="54"/>
  <c r="B133" i="54"/>
  <c r="A134" i="54"/>
  <c r="B134" i="54"/>
  <c r="A135" i="54"/>
  <c r="B135" i="54"/>
  <c r="A136" i="54"/>
  <c r="B136" i="54"/>
  <c r="A137" i="54"/>
  <c r="B137" i="54"/>
  <c r="A138" i="54"/>
  <c r="B138" i="54"/>
  <c r="A139" i="54"/>
  <c r="B139" i="54"/>
  <c r="A140" i="54"/>
  <c r="B140" i="54"/>
  <c r="A141" i="54"/>
  <c r="B141" i="54"/>
  <c r="A142" i="54"/>
  <c r="B142" i="54"/>
  <c r="A143" i="54"/>
  <c r="B143" i="54"/>
  <c r="A144" i="54"/>
  <c r="B144" i="54"/>
  <c r="A145" i="54"/>
  <c r="B145" i="54"/>
  <c r="A146" i="54"/>
  <c r="B146" i="54"/>
  <c r="A147" i="54"/>
  <c r="B147" i="54"/>
  <c r="A148" i="54"/>
  <c r="B148" i="54"/>
  <c r="A149" i="54"/>
  <c r="B149" i="54"/>
  <c r="A150" i="54"/>
  <c r="B150" i="54"/>
  <c r="A151" i="54"/>
  <c r="B151" i="54"/>
  <c r="A152" i="54"/>
  <c r="B152" i="54"/>
  <c r="A153" i="54"/>
  <c r="B153" i="54"/>
  <c r="A154" i="54"/>
  <c r="B154" i="54"/>
  <c r="A155" i="54"/>
  <c r="B155" i="54"/>
  <c r="A156" i="54"/>
  <c r="B156" i="54"/>
  <c r="A157" i="54"/>
  <c r="B157" i="54"/>
  <c r="A158" i="54"/>
  <c r="B158" i="54"/>
  <c r="A159" i="54"/>
  <c r="B159" i="54"/>
  <c r="A160" i="54"/>
  <c r="B160" i="54"/>
  <c r="A161" i="54"/>
  <c r="B161" i="54"/>
  <c r="A162" i="54"/>
  <c r="B162" i="54"/>
  <c r="A163" i="54"/>
  <c r="B163" i="54"/>
  <c r="A164" i="54"/>
  <c r="B164" i="54"/>
  <c r="A165" i="54"/>
  <c r="B165" i="54"/>
  <c r="A166" i="54"/>
  <c r="B166" i="54"/>
  <c r="A167" i="54"/>
  <c r="B167" i="54"/>
  <c r="A168" i="54"/>
  <c r="B168" i="54"/>
  <c r="A169" i="54"/>
  <c r="B169" i="54"/>
  <c r="A170" i="54"/>
  <c r="B170" i="54"/>
  <c r="A171" i="54"/>
  <c r="B171" i="54"/>
  <c r="A172" i="54"/>
  <c r="B172" i="54"/>
  <c r="A173" i="54"/>
  <c r="B173" i="54"/>
  <c r="A174" i="54"/>
  <c r="B174" i="54"/>
  <c r="A175" i="54"/>
  <c r="B175" i="54"/>
  <c r="A176" i="54"/>
  <c r="B176" i="54"/>
  <c r="A177" i="54"/>
  <c r="B177" i="54"/>
  <c r="A178" i="54"/>
  <c r="B178" i="54"/>
  <c r="A179" i="54"/>
  <c r="B179" i="54"/>
  <c r="A180" i="54"/>
  <c r="B180" i="54"/>
  <c r="A181" i="54"/>
  <c r="B181" i="54"/>
  <c r="A182" i="54"/>
  <c r="B182" i="54"/>
  <c r="A183" i="54"/>
  <c r="B183" i="54"/>
  <c r="A184" i="54"/>
  <c r="B184" i="54"/>
  <c r="A185" i="54"/>
  <c r="B185" i="54"/>
  <c r="A186" i="54"/>
  <c r="B186" i="54"/>
  <c r="A187" i="54"/>
  <c r="B187" i="54"/>
  <c r="A188" i="54"/>
  <c r="B188" i="54"/>
  <c r="A189" i="54"/>
  <c r="B189" i="54"/>
  <c r="A190" i="54"/>
  <c r="B190" i="54"/>
  <c r="A191" i="54"/>
  <c r="B191" i="54"/>
  <c r="A192" i="54"/>
  <c r="B192" i="54"/>
  <c r="A193" i="54"/>
  <c r="B193" i="54"/>
  <c r="A194" i="54"/>
  <c r="B194" i="54"/>
  <c r="A195" i="54"/>
  <c r="B195" i="54"/>
  <c r="A196" i="54"/>
  <c r="B196" i="54"/>
  <c r="A197" i="54"/>
  <c r="B197" i="54"/>
  <c r="A198" i="54"/>
  <c r="B198" i="54"/>
  <c r="A199" i="54"/>
  <c r="B199" i="54"/>
  <c r="A200" i="54"/>
  <c r="B200" i="54"/>
  <c r="A201" i="54"/>
  <c r="B201" i="54"/>
  <c r="A202" i="54"/>
  <c r="B202" i="54"/>
  <c r="A203" i="54"/>
  <c r="B203" i="54"/>
  <c r="A204" i="54"/>
  <c r="B204" i="54"/>
  <c r="A205" i="54"/>
  <c r="B205" i="54"/>
  <c r="A206" i="54"/>
  <c r="B206" i="54"/>
  <c r="A207" i="54"/>
  <c r="B207" i="54"/>
  <c r="A208" i="54"/>
  <c r="B208" i="54"/>
  <c r="A209" i="54"/>
  <c r="B209" i="54"/>
  <c r="A210" i="54"/>
  <c r="B210" i="54"/>
  <c r="A211" i="54"/>
  <c r="B211" i="54"/>
  <c r="A212" i="54"/>
  <c r="B212" i="54"/>
  <c r="A213" i="54"/>
  <c r="B213" i="54"/>
  <c r="A214" i="54"/>
  <c r="B214" i="54"/>
  <c r="A215" i="54"/>
  <c r="B215" i="54"/>
  <c r="A216" i="54"/>
  <c r="B216" i="54"/>
  <c r="A217" i="54"/>
  <c r="B217" i="54"/>
  <c r="A218" i="54"/>
  <c r="B218" i="54"/>
  <c r="A219" i="54"/>
  <c r="B219" i="54"/>
  <c r="A220" i="54"/>
  <c r="B220" i="54"/>
  <c r="A221" i="54"/>
  <c r="B221" i="54"/>
  <c r="A222" i="54"/>
  <c r="B222" i="54"/>
  <c r="A223" i="54"/>
  <c r="B223" i="54"/>
  <c r="A224" i="54"/>
  <c r="B224" i="54"/>
  <c r="A225" i="54"/>
  <c r="B225" i="54"/>
  <c r="A226" i="54"/>
  <c r="B226" i="54"/>
  <c r="A227" i="54"/>
  <c r="B227" i="54"/>
  <c r="A228" i="54"/>
  <c r="B228" i="54"/>
  <c r="A229" i="54"/>
  <c r="B229" i="54"/>
  <c r="A230" i="54"/>
  <c r="B230" i="54"/>
  <c r="A231" i="54"/>
  <c r="B231" i="54"/>
  <c r="A232" i="54"/>
  <c r="B232" i="54"/>
  <c r="A233" i="54"/>
  <c r="B233" i="54"/>
  <c r="A234" i="54"/>
  <c r="B234" i="54"/>
  <c r="A235" i="54"/>
  <c r="B235" i="54"/>
  <c r="A236" i="54"/>
  <c r="B236" i="54"/>
  <c r="A237" i="54"/>
  <c r="B237" i="54"/>
  <c r="A238" i="54"/>
  <c r="B238" i="54"/>
  <c r="A239" i="54"/>
  <c r="B239" i="54"/>
  <c r="D60" i="48" s="1"/>
  <c r="A240" i="54"/>
  <c r="B240" i="54"/>
  <c r="A241" i="54"/>
  <c r="B241" i="54"/>
  <c r="A242" i="54"/>
  <c r="B242" i="54"/>
  <c r="A243" i="54"/>
  <c r="B243" i="54"/>
  <c r="A244" i="54"/>
  <c r="B244" i="54"/>
  <c r="A245" i="54"/>
  <c r="B245" i="54"/>
  <c r="A246" i="54"/>
  <c r="B246" i="54"/>
  <c r="A247" i="54"/>
  <c r="B247" i="54"/>
  <c r="A248" i="54"/>
  <c r="B248" i="54"/>
  <c r="A249" i="54"/>
  <c r="B249" i="54"/>
  <c r="A250" i="54"/>
  <c r="B250" i="54"/>
  <c r="A251" i="54"/>
  <c r="B251" i="54"/>
  <c r="A252" i="54"/>
  <c r="B252" i="54"/>
  <c r="A253" i="54"/>
  <c r="B253" i="54"/>
  <c r="A254" i="54"/>
  <c r="B254" i="54"/>
  <c r="A255" i="54"/>
  <c r="B255" i="54"/>
  <c r="A256" i="54"/>
  <c r="B256" i="54"/>
  <c r="A257" i="54"/>
  <c r="B257" i="54"/>
  <c r="A258" i="54"/>
  <c r="B258" i="54"/>
  <c r="A259" i="54"/>
  <c r="B259" i="54"/>
  <c r="A260" i="54"/>
  <c r="B260" i="54"/>
  <c r="A261" i="54"/>
  <c r="B261" i="54"/>
  <c r="A262" i="54"/>
  <c r="B262" i="54"/>
  <c r="A263" i="54"/>
  <c r="B263" i="54"/>
  <c r="A264" i="54"/>
  <c r="B264" i="54"/>
  <c r="A265" i="54"/>
  <c r="B265" i="54"/>
  <c r="A266" i="54"/>
  <c r="B266" i="54"/>
  <c r="A267" i="54"/>
  <c r="B267" i="54"/>
  <c r="A268" i="54"/>
  <c r="B268" i="54"/>
  <c r="A269" i="54"/>
  <c r="B269" i="54"/>
  <c r="A270" i="54"/>
  <c r="B270" i="54"/>
  <c r="A271" i="54"/>
  <c r="B271" i="54"/>
  <c r="A272" i="54"/>
  <c r="B272" i="54"/>
  <c r="A273" i="54"/>
  <c r="B273" i="54"/>
  <c r="A274" i="54"/>
  <c r="B274" i="54"/>
  <c r="A275" i="54"/>
  <c r="B275" i="54"/>
  <c r="A276" i="54"/>
  <c r="B276" i="54"/>
  <c r="A277" i="54"/>
  <c r="B277" i="54"/>
  <c r="A278" i="54"/>
  <c r="B278" i="54"/>
  <c r="A279" i="54"/>
  <c r="B279" i="54"/>
  <c r="A280" i="54"/>
  <c r="B280" i="54"/>
  <c r="A281" i="54"/>
  <c r="B281" i="54"/>
  <c r="A282" i="54"/>
  <c r="B282" i="54"/>
  <c r="A283" i="54"/>
  <c r="B283" i="54"/>
  <c r="A284" i="54"/>
  <c r="B284" i="54"/>
  <c r="A285" i="54"/>
  <c r="B285" i="54"/>
  <c r="A286" i="54"/>
  <c r="B286" i="54"/>
  <c r="A287" i="54"/>
  <c r="B287" i="54"/>
  <c r="A288" i="54"/>
  <c r="B288" i="54"/>
  <c r="A289" i="54"/>
  <c r="B289" i="54"/>
  <c r="A290" i="54"/>
  <c r="B290" i="54"/>
  <c r="A291" i="54"/>
  <c r="B291" i="54"/>
  <c r="A292" i="54"/>
  <c r="B292" i="54"/>
  <c r="A293" i="54"/>
  <c r="B293" i="54"/>
  <c r="A294" i="54"/>
  <c r="B294" i="54"/>
  <c r="A295" i="54"/>
  <c r="B295" i="54"/>
  <c r="A296" i="54"/>
  <c r="B296" i="54"/>
  <c r="A297" i="54"/>
  <c r="B297" i="54"/>
  <c r="A298" i="54"/>
  <c r="B298" i="54"/>
  <c r="A299" i="54"/>
  <c r="B299" i="54"/>
  <c r="A300" i="54"/>
  <c r="B300" i="54"/>
  <c r="A301" i="54"/>
  <c r="B301" i="54"/>
  <c r="A302" i="54"/>
  <c r="B302" i="54"/>
  <c r="A303" i="54"/>
  <c r="B303" i="54"/>
  <c r="A304" i="54"/>
  <c r="B304" i="54"/>
  <c r="A305" i="54"/>
  <c r="B305" i="54"/>
  <c r="B6" i="54"/>
  <c r="A6" i="54"/>
  <c r="E60" i="48" l="1"/>
  <c r="B6" i="11"/>
  <c r="B6" i="48" l="1"/>
  <c r="B14" i="40"/>
  <c r="B15" i="40" s="1"/>
  <c r="C7" i="34"/>
  <c r="C6" i="34"/>
  <c r="H5" i="39" l="1"/>
  <c r="A7" i="25" l="1"/>
  <c r="B7" i="25"/>
  <c r="D7" i="25"/>
  <c r="A8" i="25"/>
  <c r="B8" i="25"/>
  <c r="D8" i="25"/>
  <c r="A9" i="25"/>
  <c r="B9" i="25"/>
  <c r="D9" i="25"/>
  <c r="A10" i="25"/>
  <c r="B10" i="25"/>
  <c r="D10" i="25"/>
  <c r="A11" i="25"/>
  <c r="B11" i="25"/>
  <c r="D11" i="25"/>
  <c r="A12" i="25"/>
  <c r="B12" i="25"/>
  <c r="D12" i="25"/>
  <c r="A13" i="25"/>
  <c r="B13" i="25"/>
  <c r="D13" i="25"/>
  <c r="A14" i="25"/>
  <c r="B14" i="25"/>
  <c r="D14" i="25"/>
  <c r="A15" i="25"/>
  <c r="B15" i="25"/>
  <c r="D15" i="25"/>
  <c r="A16" i="25"/>
  <c r="B16" i="25"/>
  <c r="D16" i="25"/>
  <c r="A17" i="25"/>
  <c r="B17" i="25"/>
  <c r="D17" i="25"/>
  <c r="A18" i="25"/>
  <c r="B18" i="25"/>
  <c r="D18" i="25"/>
  <c r="A19" i="25"/>
  <c r="B19" i="25"/>
  <c r="D19" i="25"/>
  <c r="A20" i="25"/>
  <c r="B20" i="25"/>
  <c r="D20" i="25"/>
  <c r="A21" i="25"/>
  <c r="B21" i="25"/>
  <c r="D21" i="25"/>
  <c r="A22" i="25"/>
  <c r="B22" i="25"/>
  <c r="D22" i="25"/>
  <c r="A23" i="25"/>
  <c r="B23" i="25"/>
  <c r="D23" i="25"/>
  <c r="A24" i="25"/>
  <c r="B24" i="25"/>
  <c r="D24" i="25"/>
  <c r="A25" i="25"/>
  <c r="B25" i="25"/>
  <c r="D25" i="25"/>
  <c r="A26" i="25"/>
  <c r="B26" i="25"/>
  <c r="D26" i="25"/>
  <c r="A27" i="25"/>
  <c r="B27" i="25"/>
  <c r="D27" i="25"/>
  <c r="A28" i="25"/>
  <c r="B28" i="25"/>
  <c r="D28" i="25"/>
  <c r="A29" i="25"/>
  <c r="B29" i="25"/>
  <c r="D29" i="25"/>
  <c r="A30" i="25"/>
  <c r="B30" i="25"/>
  <c r="D30" i="25"/>
  <c r="A31" i="25"/>
  <c r="B31" i="25"/>
  <c r="D31" i="25"/>
  <c r="A32" i="25"/>
  <c r="B32" i="25"/>
  <c r="D32" i="25"/>
  <c r="A33" i="25"/>
  <c r="B33" i="25"/>
  <c r="D33" i="25"/>
  <c r="A34" i="25"/>
  <c r="B34" i="25"/>
  <c r="D34" i="25"/>
  <c r="A35" i="25"/>
  <c r="B35" i="25"/>
  <c r="D35" i="25"/>
  <c r="A36" i="25"/>
  <c r="B36" i="25"/>
  <c r="D36" i="25"/>
  <c r="A37" i="25"/>
  <c r="B37" i="25"/>
  <c r="D37" i="25"/>
  <c r="A38" i="25"/>
  <c r="B38" i="25"/>
  <c r="D38" i="25"/>
  <c r="A39" i="25"/>
  <c r="B39" i="25"/>
  <c r="D39" i="25"/>
  <c r="A40" i="25"/>
  <c r="B40" i="25"/>
  <c r="D40" i="25"/>
  <c r="A41" i="25"/>
  <c r="B41" i="25"/>
  <c r="D41" i="25"/>
  <c r="A42" i="25"/>
  <c r="B42" i="25"/>
  <c r="D42" i="25"/>
  <c r="A43" i="25"/>
  <c r="B43" i="25"/>
  <c r="D43" i="25"/>
  <c r="A44" i="25"/>
  <c r="B44" i="25"/>
  <c r="D44" i="25"/>
  <c r="A45" i="25"/>
  <c r="B45" i="25"/>
  <c r="D45" i="25"/>
  <c r="A46" i="25"/>
  <c r="B46" i="25"/>
  <c r="D46" i="25"/>
  <c r="A47" i="25"/>
  <c r="B47" i="25"/>
  <c r="D47" i="25"/>
  <c r="A48" i="25"/>
  <c r="B48" i="25"/>
  <c r="D48" i="25"/>
  <c r="A49" i="25"/>
  <c r="B49" i="25"/>
  <c r="D49" i="25"/>
  <c r="A50" i="25"/>
  <c r="B50" i="25"/>
  <c r="D50" i="25"/>
  <c r="A51" i="25"/>
  <c r="B51" i="25"/>
  <c r="D51" i="25"/>
  <c r="A52" i="25"/>
  <c r="B52" i="25"/>
  <c r="D52" i="25"/>
  <c r="A53" i="25"/>
  <c r="B53" i="25"/>
  <c r="D53" i="25"/>
  <c r="A54" i="25"/>
  <c r="B54" i="25"/>
  <c r="D54" i="25"/>
  <c r="A55" i="25"/>
  <c r="B55" i="25"/>
  <c r="D55" i="25"/>
  <c r="A56" i="25"/>
  <c r="B56" i="25"/>
  <c r="D56" i="25"/>
  <c r="A57" i="25"/>
  <c r="B57" i="25"/>
  <c r="D57" i="25"/>
  <c r="A58" i="25"/>
  <c r="B58" i="25"/>
  <c r="D58" i="25"/>
  <c r="A59" i="25"/>
  <c r="B59" i="25"/>
  <c r="D59" i="25"/>
  <c r="A60" i="25"/>
  <c r="B60" i="25"/>
  <c r="D60" i="25"/>
  <c r="A61" i="25"/>
  <c r="B61" i="25"/>
  <c r="D61" i="25"/>
  <c r="A62" i="25"/>
  <c r="B62" i="25"/>
  <c r="D62" i="25"/>
  <c r="A63" i="25"/>
  <c r="B63" i="25"/>
  <c r="D63" i="25"/>
  <c r="A64" i="25"/>
  <c r="B64" i="25"/>
  <c r="D64" i="25"/>
  <c r="A65" i="25"/>
  <c r="B65" i="25"/>
  <c r="D65" i="25"/>
  <c r="A66" i="25"/>
  <c r="B66" i="25"/>
  <c r="D66" i="25"/>
  <c r="A67" i="25"/>
  <c r="B67" i="25"/>
  <c r="D67" i="25"/>
  <c r="A68" i="25"/>
  <c r="B68" i="25"/>
  <c r="D68" i="25"/>
  <c r="A69" i="25"/>
  <c r="B69" i="25"/>
  <c r="D69" i="25"/>
  <c r="A70" i="25"/>
  <c r="B70" i="25"/>
  <c r="D70" i="25"/>
  <c r="A71" i="25"/>
  <c r="B71" i="25"/>
  <c r="D71" i="25"/>
  <c r="A72" i="25"/>
  <c r="B72" i="25"/>
  <c r="D72" i="25"/>
  <c r="A73" i="25"/>
  <c r="B73" i="25"/>
  <c r="D73" i="25"/>
  <c r="A74" i="25"/>
  <c r="B74" i="25"/>
  <c r="D74" i="25"/>
  <c r="A75" i="25"/>
  <c r="B75" i="25"/>
  <c r="D75" i="25"/>
  <c r="A76" i="25"/>
  <c r="B76" i="25"/>
  <c r="D76" i="25"/>
  <c r="A77" i="25"/>
  <c r="B77" i="25"/>
  <c r="D77" i="25"/>
  <c r="A78" i="25"/>
  <c r="B78" i="25"/>
  <c r="D78" i="25"/>
  <c r="A79" i="25"/>
  <c r="B79" i="25"/>
  <c r="D79" i="25"/>
  <c r="A80" i="25"/>
  <c r="B80" i="25"/>
  <c r="D80" i="25"/>
  <c r="A81" i="25"/>
  <c r="B81" i="25"/>
  <c r="D81" i="25"/>
  <c r="A82" i="25"/>
  <c r="B82" i="25"/>
  <c r="D82" i="25"/>
  <c r="A83" i="25"/>
  <c r="B83" i="25"/>
  <c r="D83" i="25"/>
  <c r="A84" i="25"/>
  <c r="B84" i="25"/>
  <c r="D84" i="25"/>
  <c r="A85" i="25"/>
  <c r="B85" i="25"/>
  <c r="D85" i="25"/>
  <c r="A86" i="25"/>
  <c r="B86" i="25"/>
  <c r="D86" i="25"/>
  <c r="A87" i="25"/>
  <c r="B87" i="25"/>
  <c r="D87" i="25"/>
  <c r="A88" i="25"/>
  <c r="B88" i="25"/>
  <c r="D88" i="25"/>
  <c r="A89" i="25"/>
  <c r="B89" i="25"/>
  <c r="D89" i="25"/>
  <c r="A90" i="25"/>
  <c r="B90" i="25"/>
  <c r="D90" i="25"/>
  <c r="A91" i="25"/>
  <c r="B91" i="25"/>
  <c r="D91" i="25"/>
  <c r="A92" i="25"/>
  <c r="B92" i="25"/>
  <c r="D92" i="25"/>
  <c r="A93" i="25"/>
  <c r="B93" i="25"/>
  <c r="D93" i="25"/>
  <c r="A94" i="25"/>
  <c r="B94" i="25"/>
  <c r="D94" i="25"/>
  <c r="A95" i="25"/>
  <c r="B95" i="25"/>
  <c r="D95" i="25"/>
  <c r="A96" i="25"/>
  <c r="B96" i="25"/>
  <c r="D96" i="25"/>
  <c r="A97" i="25"/>
  <c r="B97" i="25"/>
  <c r="D97" i="25"/>
  <c r="A98" i="25"/>
  <c r="B98" i="25"/>
  <c r="D98" i="25"/>
  <c r="A99" i="25"/>
  <c r="B99" i="25"/>
  <c r="D99" i="25"/>
  <c r="A100" i="25"/>
  <c r="B100" i="25"/>
  <c r="D100" i="25"/>
  <c r="A101" i="25"/>
  <c r="B101" i="25"/>
  <c r="D101" i="25"/>
  <c r="A102" i="25"/>
  <c r="B102" i="25"/>
  <c r="D102" i="25"/>
  <c r="A103" i="25"/>
  <c r="B103" i="25"/>
  <c r="D103" i="25"/>
  <c r="A104" i="25"/>
  <c r="B104" i="25"/>
  <c r="D104" i="25"/>
  <c r="A105" i="25"/>
  <c r="B105" i="25"/>
  <c r="D105" i="25"/>
  <c r="A106" i="25"/>
  <c r="B106" i="25"/>
  <c r="D106" i="25"/>
  <c r="A107" i="25"/>
  <c r="B107" i="25"/>
  <c r="D107" i="25"/>
  <c r="A108" i="25"/>
  <c r="B108" i="25"/>
  <c r="D108" i="25"/>
  <c r="A109" i="25"/>
  <c r="B109" i="25"/>
  <c r="D109" i="25"/>
  <c r="A110" i="25"/>
  <c r="B110" i="25"/>
  <c r="D110" i="25"/>
  <c r="A111" i="25"/>
  <c r="B111" i="25"/>
  <c r="D111" i="25"/>
  <c r="A112" i="25"/>
  <c r="B112" i="25"/>
  <c r="D112" i="25"/>
  <c r="A113" i="25"/>
  <c r="B113" i="25"/>
  <c r="D113" i="25"/>
  <c r="A114" i="25"/>
  <c r="B114" i="25"/>
  <c r="D114" i="25"/>
  <c r="A115" i="25"/>
  <c r="B115" i="25"/>
  <c r="D115" i="25"/>
  <c r="A116" i="25"/>
  <c r="B116" i="25"/>
  <c r="D116" i="25"/>
  <c r="A117" i="25"/>
  <c r="B117" i="25"/>
  <c r="D117" i="25"/>
  <c r="A118" i="25"/>
  <c r="B118" i="25"/>
  <c r="D118" i="25"/>
  <c r="A119" i="25"/>
  <c r="B119" i="25"/>
  <c r="D119" i="25"/>
  <c r="A120" i="25"/>
  <c r="B120" i="25"/>
  <c r="D120" i="25"/>
  <c r="A121" i="25"/>
  <c r="B121" i="25"/>
  <c r="D121" i="25"/>
  <c r="A122" i="25"/>
  <c r="B122" i="25"/>
  <c r="D122" i="25"/>
  <c r="A123" i="25"/>
  <c r="B123" i="25"/>
  <c r="D123" i="25"/>
  <c r="A124" i="25"/>
  <c r="B124" i="25"/>
  <c r="D124" i="25"/>
  <c r="A125" i="25"/>
  <c r="B125" i="25"/>
  <c r="D125" i="25"/>
  <c r="A126" i="25"/>
  <c r="B126" i="25"/>
  <c r="D126" i="25"/>
  <c r="A127" i="25"/>
  <c r="B127" i="25"/>
  <c r="D127" i="25"/>
  <c r="A128" i="25"/>
  <c r="B128" i="25"/>
  <c r="D128" i="25"/>
  <c r="A129" i="25"/>
  <c r="B129" i="25"/>
  <c r="D129" i="25"/>
  <c r="A130" i="25"/>
  <c r="B130" i="25"/>
  <c r="D130" i="25"/>
  <c r="A131" i="25"/>
  <c r="B131" i="25"/>
  <c r="D131" i="25"/>
  <c r="A132" i="25"/>
  <c r="B132" i="25"/>
  <c r="D132" i="25"/>
  <c r="A133" i="25"/>
  <c r="B133" i="25"/>
  <c r="D133" i="25"/>
  <c r="A134" i="25"/>
  <c r="B134" i="25"/>
  <c r="D134" i="25"/>
  <c r="A135" i="25"/>
  <c r="B135" i="25"/>
  <c r="D135" i="25"/>
  <c r="A136" i="25"/>
  <c r="B136" i="25"/>
  <c r="D136" i="25"/>
  <c r="A137" i="25"/>
  <c r="B137" i="25"/>
  <c r="D137" i="25"/>
  <c r="A138" i="25"/>
  <c r="B138" i="25"/>
  <c r="D138" i="25"/>
  <c r="A139" i="25"/>
  <c r="B139" i="25"/>
  <c r="D139" i="25"/>
  <c r="A140" i="25"/>
  <c r="B140" i="25"/>
  <c r="D140" i="25"/>
  <c r="A141" i="25"/>
  <c r="B141" i="25"/>
  <c r="D141" i="25"/>
  <c r="A142" i="25"/>
  <c r="B142" i="25"/>
  <c r="D142" i="25"/>
  <c r="A143" i="25"/>
  <c r="B143" i="25"/>
  <c r="D143" i="25"/>
  <c r="A144" i="25"/>
  <c r="B144" i="25"/>
  <c r="D144" i="25"/>
  <c r="A145" i="25"/>
  <c r="B145" i="25"/>
  <c r="D145" i="25"/>
  <c r="A146" i="25"/>
  <c r="B146" i="25"/>
  <c r="D146" i="25"/>
  <c r="A147" i="25"/>
  <c r="B147" i="25"/>
  <c r="D147" i="25"/>
  <c r="A148" i="25"/>
  <c r="B148" i="25"/>
  <c r="D148" i="25"/>
  <c r="A149" i="25"/>
  <c r="B149" i="25"/>
  <c r="D149" i="25"/>
  <c r="A150" i="25"/>
  <c r="B150" i="25"/>
  <c r="D150" i="25"/>
  <c r="A151" i="25"/>
  <c r="B151" i="25"/>
  <c r="D151" i="25"/>
  <c r="A152" i="25"/>
  <c r="B152" i="25"/>
  <c r="D152" i="25"/>
  <c r="A153" i="25"/>
  <c r="B153" i="25"/>
  <c r="D153" i="25"/>
  <c r="A154" i="25"/>
  <c r="B154" i="25"/>
  <c r="D154" i="25"/>
  <c r="A155" i="25"/>
  <c r="B155" i="25"/>
  <c r="D155" i="25"/>
  <c r="A156" i="25"/>
  <c r="B156" i="25"/>
  <c r="D156" i="25"/>
  <c r="A157" i="25"/>
  <c r="B157" i="25"/>
  <c r="D157" i="25"/>
  <c r="A158" i="25"/>
  <c r="B158" i="25"/>
  <c r="D158" i="25"/>
  <c r="A159" i="25"/>
  <c r="B159" i="25"/>
  <c r="D159" i="25"/>
  <c r="A160" i="25"/>
  <c r="B160" i="25"/>
  <c r="D160" i="25"/>
  <c r="A161" i="25"/>
  <c r="B161" i="25"/>
  <c r="D161" i="25"/>
  <c r="A162" i="25"/>
  <c r="B162" i="25"/>
  <c r="D162" i="25"/>
  <c r="A163" i="25"/>
  <c r="B163" i="25"/>
  <c r="D163" i="25"/>
  <c r="A164" i="25"/>
  <c r="B164" i="25"/>
  <c r="D164" i="25"/>
  <c r="A165" i="25"/>
  <c r="B165" i="25"/>
  <c r="D165" i="25"/>
  <c r="A166" i="25"/>
  <c r="B166" i="25"/>
  <c r="D166" i="25"/>
  <c r="A167" i="25"/>
  <c r="B167" i="25"/>
  <c r="D167" i="25"/>
  <c r="A168" i="25"/>
  <c r="B168" i="25"/>
  <c r="D168" i="25"/>
  <c r="A169" i="25"/>
  <c r="B169" i="25"/>
  <c r="D169" i="25"/>
  <c r="A170" i="25"/>
  <c r="B170" i="25"/>
  <c r="D170" i="25"/>
  <c r="A171" i="25"/>
  <c r="B171" i="25"/>
  <c r="D171" i="25"/>
  <c r="A172" i="25"/>
  <c r="B172" i="25"/>
  <c r="D172" i="25"/>
  <c r="A173" i="25"/>
  <c r="B173" i="25"/>
  <c r="D173" i="25"/>
  <c r="A174" i="25"/>
  <c r="B174" i="25"/>
  <c r="D174" i="25"/>
  <c r="A175" i="25"/>
  <c r="B175" i="25"/>
  <c r="D175" i="25"/>
  <c r="A176" i="25"/>
  <c r="B176" i="25"/>
  <c r="D176" i="25"/>
  <c r="A177" i="25"/>
  <c r="B177" i="25"/>
  <c r="D177" i="25"/>
  <c r="A178" i="25"/>
  <c r="B178" i="25"/>
  <c r="D178" i="25"/>
  <c r="A179" i="25"/>
  <c r="B179" i="25"/>
  <c r="D179" i="25"/>
  <c r="A180" i="25"/>
  <c r="B180" i="25"/>
  <c r="D180" i="25"/>
  <c r="A181" i="25"/>
  <c r="B181" i="25"/>
  <c r="D181" i="25"/>
  <c r="A182" i="25"/>
  <c r="B182" i="25"/>
  <c r="D182" i="25"/>
  <c r="A183" i="25"/>
  <c r="B183" i="25"/>
  <c r="D183" i="25"/>
  <c r="A184" i="25"/>
  <c r="B184" i="25"/>
  <c r="D184" i="25"/>
  <c r="A185" i="25"/>
  <c r="B185" i="25"/>
  <c r="D185" i="25"/>
  <c r="A186" i="25"/>
  <c r="B186" i="25"/>
  <c r="D186" i="25"/>
  <c r="A187" i="25"/>
  <c r="B187" i="25"/>
  <c r="D187" i="25"/>
  <c r="A188" i="25"/>
  <c r="B188" i="25"/>
  <c r="D188" i="25"/>
  <c r="A189" i="25"/>
  <c r="B189" i="25"/>
  <c r="D189" i="25"/>
  <c r="A190" i="25"/>
  <c r="B190" i="25"/>
  <c r="D190" i="25"/>
  <c r="A191" i="25"/>
  <c r="B191" i="25"/>
  <c r="D191" i="25"/>
  <c r="A192" i="25"/>
  <c r="B192" i="25"/>
  <c r="D192" i="25"/>
  <c r="A193" i="25"/>
  <c r="B193" i="25"/>
  <c r="D193" i="25"/>
  <c r="A194" i="25"/>
  <c r="B194" i="25"/>
  <c r="D194" i="25"/>
  <c r="A195" i="25"/>
  <c r="B195" i="25"/>
  <c r="D195" i="25"/>
  <c r="A196" i="25"/>
  <c r="B196" i="25"/>
  <c r="D196" i="25"/>
  <c r="A197" i="25"/>
  <c r="B197" i="25"/>
  <c r="D197" i="25"/>
  <c r="A198" i="25"/>
  <c r="B198" i="25"/>
  <c r="D198" i="25"/>
  <c r="A199" i="25"/>
  <c r="B199" i="25"/>
  <c r="D199" i="25"/>
  <c r="A200" i="25"/>
  <c r="B200" i="25"/>
  <c r="D200" i="25"/>
  <c r="A201" i="25"/>
  <c r="B201" i="25"/>
  <c r="D201" i="25"/>
  <c r="A202" i="25"/>
  <c r="B202" i="25"/>
  <c r="D202" i="25"/>
  <c r="A203" i="25"/>
  <c r="B203" i="25"/>
  <c r="D203" i="25"/>
  <c r="A204" i="25"/>
  <c r="B204" i="25"/>
  <c r="D204" i="25"/>
  <c r="A205" i="25"/>
  <c r="B205" i="25"/>
  <c r="D205" i="25"/>
  <c r="A206" i="25"/>
  <c r="B206" i="25"/>
  <c r="D206" i="25"/>
  <c r="A207" i="25"/>
  <c r="B207" i="25"/>
  <c r="D207" i="25"/>
  <c r="A208" i="25"/>
  <c r="B208" i="25"/>
  <c r="D208" i="25"/>
  <c r="A209" i="25"/>
  <c r="B209" i="25"/>
  <c r="D209" i="25"/>
  <c r="A210" i="25"/>
  <c r="B210" i="25"/>
  <c r="D210" i="25"/>
  <c r="A211" i="25"/>
  <c r="B211" i="25"/>
  <c r="D211" i="25"/>
  <c r="A212" i="25"/>
  <c r="B212" i="25"/>
  <c r="D212" i="25"/>
  <c r="A213" i="25"/>
  <c r="B213" i="25"/>
  <c r="D213" i="25"/>
  <c r="A214" i="25"/>
  <c r="B214" i="25"/>
  <c r="D214" i="25"/>
  <c r="A215" i="25"/>
  <c r="B215" i="25"/>
  <c r="D215" i="25"/>
  <c r="A216" i="25"/>
  <c r="B216" i="25"/>
  <c r="D216" i="25"/>
  <c r="A217" i="25"/>
  <c r="B217" i="25"/>
  <c r="D217" i="25"/>
  <c r="A218" i="25"/>
  <c r="B218" i="25"/>
  <c r="D218" i="25"/>
  <c r="A219" i="25"/>
  <c r="B219" i="25"/>
  <c r="D219" i="25"/>
  <c r="A220" i="25"/>
  <c r="B220" i="25"/>
  <c r="D220" i="25"/>
  <c r="A221" i="25"/>
  <c r="B221" i="25"/>
  <c r="D221" i="25"/>
  <c r="A222" i="25"/>
  <c r="B222" i="25"/>
  <c r="D222" i="25"/>
  <c r="A223" i="25"/>
  <c r="B223" i="25"/>
  <c r="D223" i="25"/>
  <c r="A224" i="25"/>
  <c r="B224" i="25"/>
  <c r="D224" i="25"/>
  <c r="A225" i="25"/>
  <c r="B225" i="25"/>
  <c r="D225" i="25"/>
  <c r="A226" i="25"/>
  <c r="B226" i="25"/>
  <c r="D226" i="25"/>
  <c r="A227" i="25"/>
  <c r="B227" i="25"/>
  <c r="D227" i="25"/>
  <c r="A228" i="25"/>
  <c r="B228" i="25"/>
  <c r="D228" i="25"/>
  <c r="A229" i="25"/>
  <c r="B229" i="25"/>
  <c r="D229" i="25"/>
  <c r="A230" i="25"/>
  <c r="B230" i="25"/>
  <c r="D230" i="25"/>
  <c r="A231" i="25"/>
  <c r="B231" i="25"/>
  <c r="D231" i="25"/>
  <c r="A232" i="25"/>
  <c r="B232" i="25"/>
  <c r="D232" i="25"/>
  <c r="A233" i="25"/>
  <c r="B233" i="25"/>
  <c r="D233" i="25"/>
  <c r="A234" i="25"/>
  <c r="B234" i="25"/>
  <c r="D234" i="25"/>
  <c r="A235" i="25"/>
  <c r="B235" i="25"/>
  <c r="D235" i="25"/>
  <c r="A236" i="25"/>
  <c r="B236" i="25"/>
  <c r="D236" i="25"/>
  <c r="A237" i="25"/>
  <c r="B237" i="25"/>
  <c r="D237" i="25"/>
  <c r="A238" i="25"/>
  <c r="B238" i="25"/>
  <c r="D238" i="25"/>
  <c r="A239" i="25"/>
  <c r="B239" i="25"/>
  <c r="D239" i="25"/>
  <c r="A240" i="25"/>
  <c r="B240" i="25"/>
  <c r="D240" i="25"/>
  <c r="A241" i="25"/>
  <c r="B241" i="25"/>
  <c r="D241" i="25"/>
  <c r="A242" i="25"/>
  <c r="B242" i="25"/>
  <c r="D242" i="25"/>
  <c r="A243" i="25"/>
  <c r="B243" i="25"/>
  <c r="D243" i="25"/>
  <c r="A244" i="25"/>
  <c r="B244" i="25"/>
  <c r="D244" i="25"/>
  <c r="A245" i="25"/>
  <c r="B245" i="25"/>
  <c r="D245" i="25"/>
  <c r="A246" i="25"/>
  <c r="B246" i="25"/>
  <c r="D246" i="25"/>
  <c r="A247" i="25"/>
  <c r="B247" i="25"/>
  <c r="D247" i="25"/>
  <c r="A248" i="25"/>
  <c r="B248" i="25"/>
  <c r="D248" i="25"/>
  <c r="A249" i="25"/>
  <c r="B249" i="25"/>
  <c r="D249" i="25"/>
  <c r="A250" i="25"/>
  <c r="B250" i="25"/>
  <c r="D250" i="25"/>
  <c r="A251" i="25"/>
  <c r="B251" i="25"/>
  <c r="D251" i="25"/>
  <c r="A252" i="25"/>
  <c r="B252" i="25"/>
  <c r="D252" i="25"/>
  <c r="A253" i="25"/>
  <c r="B253" i="25"/>
  <c r="D253" i="25"/>
  <c r="A254" i="25"/>
  <c r="B254" i="25"/>
  <c r="D254" i="25"/>
  <c r="A255" i="25"/>
  <c r="B255" i="25"/>
  <c r="D255" i="25"/>
  <c r="A256" i="25"/>
  <c r="B256" i="25"/>
  <c r="D256" i="25"/>
  <c r="A257" i="25"/>
  <c r="B257" i="25"/>
  <c r="D257" i="25"/>
  <c r="A258" i="25"/>
  <c r="B258" i="25"/>
  <c r="D258" i="25"/>
  <c r="A259" i="25"/>
  <c r="B259" i="25"/>
  <c r="D259" i="25"/>
  <c r="A260" i="25"/>
  <c r="B260" i="25"/>
  <c r="D260" i="25"/>
  <c r="A261" i="25"/>
  <c r="B261" i="25"/>
  <c r="D261" i="25"/>
  <c r="A262" i="25"/>
  <c r="B262" i="25"/>
  <c r="D262" i="25"/>
  <c r="A263" i="25"/>
  <c r="B263" i="25"/>
  <c r="D263" i="25"/>
  <c r="A264" i="25"/>
  <c r="B264" i="25"/>
  <c r="D264" i="25"/>
  <c r="A265" i="25"/>
  <c r="B265" i="25"/>
  <c r="D265" i="25"/>
  <c r="A266" i="25"/>
  <c r="B266" i="25"/>
  <c r="D266" i="25"/>
  <c r="A267" i="25"/>
  <c r="B267" i="25"/>
  <c r="D267" i="25"/>
  <c r="A268" i="25"/>
  <c r="B268" i="25"/>
  <c r="D268" i="25"/>
  <c r="A269" i="25"/>
  <c r="B269" i="25"/>
  <c r="D269" i="25"/>
  <c r="A270" i="25"/>
  <c r="B270" i="25"/>
  <c r="D270" i="25"/>
  <c r="A271" i="25"/>
  <c r="B271" i="25"/>
  <c r="D271" i="25"/>
  <c r="A272" i="25"/>
  <c r="B272" i="25"/>
  <c r="D272" i="25"/>
  <c r="A273" i="25"/>
  <c r="B273" i="25"/>
  <c r="D273" i="25"/>
  <c r="A274" i="25"/>
  <c r="B274" i="25"/>
  <c r="D274" i="25"/>
  <c r="A275" i="25"/>
  <c r="B275" i="25"/>
  <c r="D275" i="25"/>
  <c r="A276" i="25"/>
  <c r="B276" i="25"/>
  <c r="D276" i="25"/>
  <c r="A277" i="25"/>
  <c r="B277" i="25"/>
  <c r="D277" i="25"/>
  <c r="A278" i="25"/>
  <c r="B278" i="25"/>
  <c r="D278" i="25"/>
  <c r="A279" i="25"/>
  <c r="B279" i="25"/>
  <c r="D279" i="25"/>
  <c r="A280" i="25"/>
  <c r="B280" i="25"/>
  <c r="D280" i="25"/>
  <c r="A281" i="25"/>
  <c r="B281" i="25"/>
  <c r="D281" i="25"/>
  <c r="A282" i="25"/>
  <c r="B282" i="25"/>
  <c r="D282" i="25"/>
  <c r="A283" i="25"/>
  <c r="B283" i="25"/>
  <c r="D283" i="25"/>
  <c r="A284" i="25"/>
  <c r="B284" i="25"/>
  <c r="D284" i="25"/>
  <c r="A285" i="25"/>
  <c r="B285" i="25"/>
  <c r="D285" i="25"/>
  <c r="A286" i="25"/>
  <c r="B286" i="25"/>
  <c r="D286" i="25"/>
  <c r="A287" i="25"/>
  <c r="B287" i="25"/>
  <c r="D287" i="25"/>
  <c r="A288" i="25"/>
  <c r="B288" i="25"/>
  <c r="D288" i="25"/>
  <c r="A289" i="25"/>
  <c r="B289" i="25"/>
  <c r="D289" i="25"/>
  <c r="A290" i="25"/>
  <c r="B290" i="25"/>
  <c r="D290" i="25"/>
  <c r="A291" i="25"/>
  <c r="B291" i="25"/>
  <c r="D291" i="25"/>
  <c r="A292" i="25"/>
  <c r="B292" i="25"/>
  <c r="D292" i="25"/>
  <c r="A293" i="25"/>
  <c r="B293" i="25"/>
  <c r="D293" i="25"/>
  <c r="A294" i="25"/>
  <c r="B294" i="25"/>
  <c r="D294" i="25"/>
  <c r="A295" i="25"/>
  <c r="B295" i="25"/>
  <c r="D295" i="25"/>
  <c r="A296" i="25"/>
  <c r="B296" i="25"/>
  <c r="D296" i="25"/>
  <c r="A297" i="25"/>
  <c r="B297" i="25"/>
  <c r="D297" i="25"/>
  <c r="A298" i="25"/>
  <c r="B298" i="25"/>
  <c r="D298" i="25"/>
  <c r="A299" i="25"/>
  <c r="B299" i="25"/>
  <c r="D299" i="25"/>
  <c r="A300" i="25"/>
  <c r="B300" i="25"/>
  <c r="D300" i="25"/>
  <c r="A301" i="25"/>
  <c r="B301" i="25"/>
  <c r="D301" i="25"/>
  <c r="A302" i="25"/>
  <c r="B302" i="25"/>
  <c r="D302" i="25"/>
  <c r="A303" i="25"/>
  <c r="B303" i="25"/>
  <c r="D303" i="25"/>
  <c r="A304" i="25"/>
  <c r="B304" i="25"/>
  <c r="D304" i="25"/>
  <c r="A305" i="25"/>
  <c r="B305" i="25"/>
  <c r="D305" i="25"/>
  <c r="D6" i="25"/>
  <c r="B6" i="25"/>
  <c r="A6" i="25"/>
  <c r="C14" i="40"/>
  <c r="K44" i="40"/>
  <c r="G161" i="34" l="1"/>
  <c r="A2" i="25" l="1"/>
  <c r="A2" i="49"/>
  <c r="A2" i="13"/>
  <c r="A2" i="39"/>
  <c r="A2" i="12"/>
  <c r="A2" i="34"/>
  <c r="A2" i="11"/>
  <c r="A2" i="37"/>
  <c r="A2" i="36"/>
  <c r="A2" i="9"/>
  <c r="A2" i="33"/>
  <c r="A2" i="19"/>
  <c r="A2" i="42"/>
  <c r="E45" i="40"/>
  <c r="A31" i="40" l="1"/>
  <c r="I44" i="40"/>
  <c r="A55" i="40"/>
  <c r="C5" i="9" l="1"/>
  <c r="D5" i="49"/>
  <c r="Q5" i="19"/>
  <c r="X5" i="42"/>
  <c r="E7" i="49" l="1"/>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111" i="49"/>
  <c r="C112" i="49"/>
  <c r="C113" i="49"/>
  <c r="C114" i="49"/>
  <c r="C115" i="49"/>
  <c r="C116" i="49"/>
  <c r="C117" i="49"/>
  <c r="C118" i="49"/>
  <c r="C119" i="49"/>
  <c r="C120" i="49"/>
  <c r="C121" i="49"/>
  <c r="C122" i="49"/>
  <c r="C123" i="49"/>
  <c r="C124" i="49"/>
  <c r="C125" i="49"/>
  <c r="C126" i="49"/>
  <c r="C127" i="49"/>
  <c r="C128" i="49"/>
  <c r="C129" i="49"/>
  <c r="C130" i="49"/>
  <c r="C131" i="49"/>
  <c r="C132" i="49"/>
  <c r="C133" i="49"/>
  <c r="C134" i="49"/>
  <c r="C135" i="49"/>
  <c r="C136" i="49"/>
  <c r="C137" i="49"/>
  <c r="C138" i="49"/>
  <c r="C139" i="49"/>
  <c r="C140" i="49"/>
  <c r="C141" i="49"/>
  <c r="C142" i="49"/>
  <c r="C143" i="49"/>
  <c r="C144" i="49"/>
  <c r="C145" i="49"/>
  <c r="C146" i="49"/>
  <c r="C147" i="49"/>
  <c r="C148" i="49"/>
  <c r="C149" i="49"/>
  <c r="C150" i="49"/>
  <c r="C151" i="49"/>
  <c r="C152" i="49"/>
  <c r="C153" i="49"/>
  <c r="C154" i="49"/>
  <c r="C155" i="49"/>
  <c r="C156" i="49"/>
  <c r="C157" i="49"/>
  <c r="C158" i="49"/>
  <c r="C159" i="49"/>
  <c r="C160" i="49"/>
  <c r="C161" i="49"/>
  <c r="C162" i="49"/>
  <c r="C163" i="49"/>
  <c r="C164" i="49"/>
  <c r="C165" i="49"/>
  <c r="C166" i="49"/>
  <c r="C167" i="49"/>
  <c r="C168" i="49"/>
  <c r="C169" i="49"/>
  <c r="C170" i="49"/>
  <c r="C171" i="49"/>
  <c r="C172" i="49"/>
  <c r="C173" i="49"/>
  <c r="C174" i="49"/>
  <c r="C175" i="49"/>
  <c r="C176" i="49"/>
  <c r="C177" i="49"/>
  <c r="C178" i="49"/>
  <c r="C179" i="49"/>
  <c r="C180" i="49"/>
  <c r="C181" i="49"/>
  <c r="C182" i="49"/>
  <c r="C183" i="49"/>
  <c r="C184" i="49"/>
  <c r="C185" i="49"/>
  <c r="C186" i="49"/>
  <c r="C187" i="49"/>
  <c r="C188" i="49"/>
  <c r="C189" i="49"/>
  <c r="C190" i="49"/>
  <c r="C191" i="49"/>
  <c r="C192" i="49"/>
  <c r="C193" i="49"/>
  <c r="C194" i="49"/>
  <c r="C195" i="49"/>
  <c r="C196" i="49"/>
  <c r="C197" i="49"/>
  <c r="C198" i="49"/>
  <c r="C199" i="49"/>
  <c r="C200" i="49"/>
  <c r="C201" i="49"/>
  <c r="C202" i="49"/>
  <c r="C203" i="49"/>
  <c r="C204" i="49"/>
  <c r="C205" i="49"/>
  <c r="C206" i="49"/>
  <c r="C207" i="49"/>
  <c r="C208" i="49"/>
  <c r="C209" i="49"/>
  <c r="C210" i="49"/>
  <c r="C211" i="49"/>
  <c r="C212" i="49"/>
  <c r="C213" i="49"/>
  <c r="C214" i="49"/>
  <c r="C215" i="49"/>
  <c r="C216" i="49"/>
  <c r="C217" i="49"/>
  <c r="C218" i="49"/>
  <c r="C219" i="49"/>
  <c r="C220" i="49"/>
  <c r="C221" i="49"/>
  <c r="C222" i="49"/>
  <c r="C223" i="49"/>
  <c r="C224" i="49"/>
  <c r="C225" i="49"/>
  <c r="C226" i="49"/>
  <c r="C227" i="49"/>
  <c r="C228" i="49"/>
  <c r="C229" i="49"/>
  <c r="C230" i="49"/>
  <c r="C231" i="49"/>
  <c r="C232" i="49"/>
  <c r="C233" i="49"/>
  <c r="C234" i="49"/>
  <c r="C235" i="49"/>
  <c r="C236" i="49"/>
  <c r="C237" i="49"/>
  <c r="C238" i="49"/>
  <c r="C239" i="49"/>
  <c r="C240" i="49"/>
  <c r="C241" i="49"/>
  <c r="C242" i="49"/>
  <c r="C243" i="49"/>
  <c r="C244" i="49"/>
  <c r="C245" i="49"/>
  <c r="C246" i="49"/>
  <c r="C247" i="49"/>
  <c r="C248" i="49"/>
  <c r="C249" i="49"/>
  <c r="C250" i="49"/>
  <c r="C251" i="49"/>
  <c r="C252" i="49"/>
  <c r="C253" i="49"/>
  <c r="C254" i="49"/>
  <c r="C255" i="49"/>
  <c r="C256" i="49"/>
  <c r="C257" i="49"/>
  <c r="C258" i="49"/>
  <c r="C259" i="49"/>
  <c r="C260" i="49"/>
  <c r="C261" i="49"/>
  <c r="C262" i="49"/>
  <c r="C263" i="49"/>
  <c r="C264" i="49"/>
  <c r="C265" i="49"/>
  <c r="C266" i="49"/>
  <c r="C267" i="49"/>
  <c r="C268" i="49"/>
  <c r="C269" i="49"/>
  <c r="C270" i="49"/>
  <c r="C271" i="49"/>
  <c r="C272" i="49"/>
  <c r="C273" i="49"/>
  <c r="C274" i="49"/>
  <c r="C275" i="49"/>
  <c r="C276" i="49"/>
  <c r="C277" i="49"/>
  <c r="C278" i="49"/>
  <c r="C279" i="49"/>
  <c r="C280" i="49"/>
  <c r="C281" i="49"/>
  <c r="C282" i="49"/>
  <c r="C283" i="49"/>
  <c r="C284" i="49"/>
  <c r="C285" i="49"/>
  <c r="C286" i="49"/>
  <c r="C287" i="49"/>
  <c r="C288" i="49"/>
  <c r="C289" i="49"/>
  <c r="C290" i="49"/>
  <c r="C291" i="49"/>
  <c r="C292" i="49"/>
  <c r="C293" i="49"/>
  <c r="C294" i="49"/>
  <c r="C295" i="49"/>
  <c r="C296" i="49"/>
  <c r="C297" i="49"/>
  <c r="C298" i="49"/>
  <c r="C299" i="49"/>
  <c r="C300" i="49"/>
  <c r="C301" i="49"/>
  <c r="C302" i="49"/>
  <c r="C303" i="49"/>
  <c r="C304" i="49"/>
  <c r="C305" i="49"/>
  <c r="C6" i="49"/>
  <c r="I6" i="49" s="1"/>
  <c r="AR306" i="42"/>
  <c r="J7" i="11" l="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6" i="11"/>
  <c r="AL305" i="42"/>
  <c r="AL304" i="42"/>
  <c r="AL303" i="42"/>
  <c r="AL302" i="42"/>
  <c r="AL301" i="42"/>
  <c r="AL300" i="42"/>
  <c r="AL299" i="42"/>
  <c r="AL298" i="42"/>
  <c r="AL297" i="42"/>
  <c r="AL296" i="42"/>
  <c r="AL295" i="42"/>
  <c r="AL294" i="42"/>
  <c r="AL293" i="42"/>
  <c r="AL292" i="42"/>
  <c r="AL291" i="42"/>
  <c r="AL290" i="42"/>
  <c r="AL289" i="42"/>
  <c r="AL288" i="42"/>
  <c r="AL287" i="42"/>
  <c r="AL286" i="42"/>
  <c r="AL285" i="42"/>
  <c r="AL284" i="42"/>
  <c r="AL283" i="42"/>
  <c r="AL282" i="42"/>
  <c r="AL281" i="42"/>
  <c r="AL280" i="42"/>
  <c r="AL279" i="42"/>
  <c r="AL278" i="42"/>
  <c r="AL277" i="42"/>
  <c r="AL276" i="42"/>
  <c r="AL275" i="42"/>
  <c r="AL274" i="42"/>
  <c r="AL273" i="42"/>
  <c r="AL272" i="42"/>
  <c r="AL271" i="42"/>
  <c r="AL270" i="42"/>
  <c r="AL269" i="42"/>
  <c r="AL268" i="42"/>
  <c r="AL267" i="42"/>
  <c r="AL266" i="42"/>
  <c r="AL265" i="42"/>
  <c r="AL264" i="42"/>
  <c r="AL263" i="42"/>
  <c r="AL262" i="42"/>
  <c r="AL261" i="42"/>
  <c r="AL260" i="42"/>
  <c r="AL259" i="42"/>
  <c r="AL258" i="42"/>
  <c r="AL257" i="42"/>
  <c r="AL256" i="42"/>
  <c r="AL255" i="42"/>
  <c r="AL254" i="42"/>
  <c r="AL253" i="42"/>
  <c r="AL252" i="42"/>
  <c r="AL251" i="42"/>
  <c r="AL250" i="42"/>
  <c r="AL249" i="42"/>
  <c r="AL248" i="42"/>
  <c r="AL247" i="42"/>
  <c r="AL246" i="42"/>
  <c r="AL245" i="42"/>
  <c r="AL244" i="42"/>
  <c r="AL243" i="42"/>
  <c r="AL242" i="42"/>
  <c r="AL241" i="42"/>
  <c r="AL240" i="42"/>
  <c r="AL239" i="42"/>
  <c r="AL238" i="42"/>
  <c r="AL237" i="42"/>
  <c r="AL236" i="42"/>
  <c r="AL235" i="42"/>
  <c r="AL234" i="42"/>
  <c r="AL233" i="42"/>
  <c r="AL232" i="42"/>
  <c r="AL231" i="42"/>
  <c r="AL230" i="42"/>
  <c r="AL229" i="42"/>
  <c r="AN306" i="42"/>
  <c r="AL227" i="42"/>
  <c r="AL226" i="42"/>
  <c r="AL225" i="42"/>
  <c r="AL224" i="42"/>
  <c r="AL223" i="42"/>
  <c r="AL222" i="42"/>
  <c r="AL221" i="42"/>
  <c r="AL220" i="42"/>
  <c r="AL219" i="42"/>
  <c r="AL218" i="42"/>
  <c r="AL217" i="42"/>
  <c r="AL216" i="42"/>
  <c r="AL215" i="42"/>
  <c r="AL214" i="42"/>
  <c r="AL213" i="42"/>
  <c r="AL212" i="42"/>
  <c r="AL211" i="42"/>
  <c r="AL210" i="42"/>
  <c r="AL209" i="42"/>
  <c r="AL208" i="42"/>
  <c r="AL207" i="42"/>
  <c r="AL206" i="42"/>
  <c r="AL205" i="42"/>
  <c r="AL204" i="42"/>
  <c r="AL203" i="42"/>
  <c r="AL202" i="42"/>
  <c r="AL201" i="42"/>
  <c r="AL200" i="42"/>
  <c r="AL199" i="42"/>
  <c r="AL198" i="42"/>
  <c r="AL197" i="42"/>
  <c r="AL196" i="42"/>
  <c r="AL195" i="42"/>
  <c r="AL194" i="42"/>
  <c r="AL193" i="42"/>
  <c r="AL192" i="42"/>
  <c r="AL191" i="42"/>
  <c r="AL190" i="42"/>
  <c r="AL189" i="42"/>
  <c r="AL188" i="42"/>
  <c r="AL187" i="42"/>
  <c r="AL186" i="42"/>
  <c r="AL185" i="42"/>
  <c r="AL184" i="42"/>
  <c r="AL183" i="42"/>
  <c r="AL182" i="42"/>
  <c r="AL181" i="42"/>
  <c r="AL180" i="42"/>
  <c r="AL179" i="42"/>
  <c r="AL178" i="42"/>
  <c r="AL177" i="42"/>
  <c r="AL176" i="42"/>
  <c r="AL175" i="42"/>
  <c r="AL174" i="42"/>
  <c r="AL173" i="42"/>
  <c r="AL172" i="42"/>
  <c r="AL171" i="42"/>
  <c r="AL170" i="42"/>
  <c r="AL169" i="42"/>
  <c r="AL168" i="42"/>
  <c r="AL167" i="42"/>
  <c r="AL166" i="42"/>
  <c r="AL165" i="42"/>
  <c r="AL164" i="42"/>
  <c r="AL163" i="42"/>
  <c r="AL162" i="42"/>
  <c r="AL161" i="42"/>
  <c r="AL160" i="42"/>
  <c r="AL159" i="42"/>
  <c r="AL158" i="42"/>
  <c r="AL157" i="42"/>
  <c r="AL156" i="42"/>
  <c r="AL155" i="42"/>
  <c r="AL154" i="42"/>
  <c r="AL153" i="42"/>
  <c r="AL152" i="42"/>
  <c r="AL151" i="42"/>
  <c r="AL150" i="42"/>
  <c r="AL149" i="42"/>
  <c r="AL148" i="42"/>
  <c r="AL147" i="42"/>
  <c r="AL146" i="42"/>
  <c r="AL145" i="42"/>
  <c r="AL144" i="42"/>
  <c r="AL143" i="42"/>
  <c r="AL142" i="42"/>
  <c r="AL141" i="42"/>
  <c r="AL140" i="42"/>
  <c r="AL139" i="42"/>
  <c r="AL138" i="42"/>
  <c r="AL137" i="42"/>
  <c r="AL136" i="42"/>
  <c r="AL135" i="42"/>
  <c r="AL134" i="42"/>
  <c r="AL133" i="42"/>
  <c r="AL132" i="42"/>
  <c r="AL131" i="42"/>
  <c r="AL130" i="42"/>
  <c r="AL129" i="42"/>
  <c r="AL128" i="42"/>
  <c r="AL127" i="42"/>
  <c r="AL126" i="42"/>
  <c r="AL125" i="42"/>
  <c r="AL124" i="42"/>
  <c r="AL123" i="42"/>
  <c r="AL122" i="42"/>
  <c r="AL121" i="42"/>
  <c r="AL120" i="42"/>
  <c r="AL119" i="42"/>
  <c r="AL118" i="42"/>
  <c r="AL117" i="42"/>
  <c r="AL116" i="42"/>
  <c r="AL115" i="42"/>
  <c r="AL114" i="42"/>
  <c r="AL113" i="42"/>
  <c r="AL112" i="42"/>
  <c r="AL111" i="42"/>
  <c r="AL110" i="42"/>
  <c r="AL109" i="42"/>
  <c r="AL108" i="42"/>
  <c r="AL107" i="42"/>
  <c r="AL106" i="42"/>
  <c r="AL105" i="42"/>
  <c r="AL104" i="42"/>
  <c r="AL103" i="42"/>
  <c r="AL102" i="42"/>
  <c r="AL101" i="42"/>
  <c r="AL100" i="42"/>
  <c r="AL99" i="42"/>
  <c r="AL98" i="42"/>
  <c r="AL97" i="42"/>
  <c r="AL96" i="42"/>
  <c r="AL95" i="42"/>
  <c r="AL94" i="42"/>
  <c r="AL93" i="42"/>
  <c r="AL92" i="42"/>
  <c r="AL91" i="42"/>
  <c r="AL90" i="42"/>
  <c r="AL89" i="42"/>
  <c r="AL88" i="42"/>
  <c r="AL87" i="42"/>
  <c r="AL86" i="42"/>
  <c r="AL85" i="42"/>
  <c r="AL84" i="42"/>
  <c r="AL83" i="42"/>
  <c r="AL82" i="42"/>
  <c r="AL81" i="42"/>
  <c r="AL80" i="42"/>
  <c r="AL79" i="42"/>
  <c r="AL78" i="42"/>
  <c r="AL77" i="42"/>
  <c r="AL76" i="42"/>
  <c r="AL75" i="42"/>
  <c r="AL74" i="42"/>
  <c r="AL73" i="42"/>
  <c r="AL72" i="42"/>
  <c r="AL71" i="42"/>
  <c r="AL70" i="42"/>
  <c r="AL69" i="42"/>
  <c r="AL68" i="42"/>
  <c r="AL67" i="42"/>
  <c r="AL66" i="42"/>
  <c r="AL65" i="42"/>
  <c r="AL64" i="42"/>
  <c r="AL63" i="42"/>
  <c r="AL62" i="42"/>
  <c r="AL61" i="42"/>
  <c r="AL60" i="42"/>
  <c r="AL59" i="42"/>
  <c r="AL58" i="42"/>
  <c r="AL57" i="42"/>
  <c r="AL56" i="42"/>
  <c r="AL55" i="42"/>
  <c r="AL54" i="42"/>
  <c r="AL53" i="42"/>
  <c r="AL52" i="42"/>
  <c r="AL51" i="42"/>
  <c r="AL50" i="42"/>
  <c r="AL49" i="42"/>
  <c r="AL48" i="42"/>
  <c r="AL47" i="42"/>
  <c r="AL46" i="42"/>
  <c r="AL45" i="42"/>
  <c r="AL44" i="42"/>
  <c r="AL43" i="42"/>
  <c r="AL42" i="42"/>
  <c r="AL41" i="42"/>
  <c r="AL40" i="42"/>
  <c r="AL39" i="42"/>
  <c r="AL38" i="42"/>
  <c r="AL37" i="42"/>
  <c r="AL36" i="42"/>
  <c r="AL35" i="42"/>
  <c r="AL34" i="42"/>
  <c r="AL33" i="42"/>
  <c r="AL32" i="42"/>
  <c r="AL31" i="42"/>
  <c r="AL30" i="42"/>
  <c r="AL29" i="42"/>
  <c r="AL28" i="42"/>
  <c r="AL27" i="42"/>
  <c r="AL26" i="42"/>
  <c r="AL25" i="42"/>
  <c r="AL24" i="42"/>
  <c r="AL23" i="42"/>
  <c r="AL22" i="42"/>
  <c r="AL21" i="42"/>
  <c r="AL20" i="42"/>
  <c r="AL19" i="42"/>
  <c r="AL18" i="42"/>
  <c r="AL17" i="42"/>
  <c r="AL16" i="42"/>
  <c r="AL15" i="42"/>
  <c r="AL14" i="42"/>
  <c r="AL13" i="42"/>
  <c r="AL12" i="42"/>
  <c r="AL11" i="42"/>
  <c r="AL10" i="42"/>
  <c r="AL9" i="42"/>
  <c r="AL8" i="42"/>
  <c r="AL7" i="42"/>
  <c r="AL6" i="42"/>
  <c r="AH306" i="42"/>
  <c r="AG306" i="42"/>
  <c r="AB306" i="42"/>
  <c r="AD305" i="42"/>
  <c r="AD304" i="42"/>
  <c r="AD303" i="42"/>
  <c r="AD302" i="42"/>
  <c r="AD301" i="42"/>
  <c r="AD300" i="42"/>
  <c r="AD299" i="42"/>
  <c r="AD298" i="42"/>
  <c r="AD297" i="42"/>
  <c r="AD296" i="42"/>
  <c r="AD295" i="42"/>
  <c r="AD294" i="42"/>
  <c r="AD293" i="42"/>
  <c r="AD292" i="42"/>
  <c r="AD291" i="42"/>
  <c r="AD290" i="42"/>
  <c r="AD289" i="42"/>
  <c r="AD288" i="42"/>
  <c r="AD287" i="42"/>
  <c r="AD286" i="42"/>
  <c r="AD285" i="42"/>
  <c r="AD284" i="42"/>
  <c r="AD283" i="42"/>
  <c r="AD282" i="42"/>
  <c r="AD281" i="42"/>
  <c r="AD280" i="42"/>
  <c r="AD279" i="42"/>
  <c r="AD278" i="42"/>
  <c r="AD277" i="42"/>
  <c r="AD276" i="42"/>
  <c r="AD275" i="42"/>
  <c r="AD274" i="42"/>
  <c r="AD273" i="42"/>
  <c r="AD272" i="42"/>
  <c r="AD271" i="42"/>
  <c r="AD270" i="42"/>
  <c r="AD269" i="42"/>
  <c r="AD268" i="42"/>
  <c r="AD267" i="42"/>
  <c r="AD266" i="42"/>
  <c r="AD265" i="42"/>
  <c r="AD264" i="42"/>
  <c r="AD263" i="42"/>
  <c r="AD262" i="42"/>
  <c r="AD261" i="42"/>
  <c r="AD260" i="42"/>
  <c r="AD259" i="42"/>
  <c r="AD258" i="42"/>
  <c r="AD257" i="42"/>
  <c r="AD256" i="42"/>
  <c r="AD255" i="42"/>
  <c r="AD254" i="42"/>
  <c r="AD253" i="42"/>
  <c r="AD252" i="42"/>
  <c r="AD251" i="42"/>
  <c r="AD250" i="42"/>
  <c r="AD249" i="42"/>
  <c r="AD248" i="42"/>
  <c r="AD247" i="42"/>
  <c r="AD246" i="42"/>
  <c r="AD245" i="42"/>
  <c r="AD244" i="42"/>
  <c r="AD243" i="42"/>
  <c r="AD242" i="42"/>
  <c r="AD241" i="42"/>
  <c r="AD240" i="42"/>
  <c r="AD239" i="42"/>
  <c r="AD238" i="42"/>
  <c r="AD237" i="42"/>
  <c r="AD236" i="42"/>
  <c r="AD235" i="42"/>
  <c r="AD234" i="42"/>
  <c r="AD233" i="42"/>
  <c r="AD232" i="42"/>
  <c r="AD231" i="42"/>
  <c r="AD230" i="42"/>
  <c r="AD229" i="42"/>
  <c r="AD228" i="42"/>
  <c r="AD227" i="42"/>
  <c r="AD226" i="42"/>
  <c r="AD225" i="42"/>
  <c r="AD224" i="42"/>
  <c r="AD223" i="42"/>
  <c r="AD222" i="42"/>
  <c r="AD221" i="42"/>
  <c r="AD220" i="42"/>
  <c r="AD219" i="42"/>
  <c r="AD218" i="42"/>
  <c r="AD217" i="42"/>
  <c r="AD216" i="42"/>
  <c r="AD215" i="42"/>
  <c r="AD214" i="42"/>
  <c r="AD213" i="42"/>
  <c r="AD212" i="42"/>
  <c r="AD211" i="42"/>
  <c r="AD210" i="42"/>
  <c r="AD209" i="42"/>
  <c r="AD208" i="42"/>
  <c r="AD207" i="42"/>
  <c r="AD206" i="42"/>
  <c r="AD205" i="42"/>
  <c r="AD204" i="42"/>
  <c r="AD203" i="42"/>
  <c r="AD202" i="42"/>
  <c r="AD201" i="42"/>
  <c r="AD200" i="42"/>
  <c r="AD199" i="42"/>
  <c r="AD198" i="42"/>
  <c r="AD197" i="42"/>
  <c r="AD196" i="42"/>
  <c r="AD195" i="42"/>
  <c r="AD194" i="42"/>
  <c r="AD193" i="42"/>
  <c r="AD192" i="42"/>
  <c r="AD191" i="42"/>
  <c r="AD190" i="42"/>
  <c r="AD189" i="42"/>
  <c r="AD188" i="42"/>
  <c r="AD187" i="42"/>
  <c r="AD186" i="42"/>
  <c r="AD185" i="42"/>
  <c r="AD184" i="42"/>
  <c r="AD183" i="42"/>
  <c r="AD182" i="42"/>
  <c r="AD181" i="42"/>
  <c r="AD180" i="42"/>
  <c r="AD179" i="42"/>
  <c r="AD178" i="42"/>
  <c r="AD177" i="42"/>
  <c r="AD176" i="42"/>
  <c r="AD175" i="42"/>
  <c r="AD174" i="42"/>
  <c r="AD173" i="42"/>
  <c r="AD172" i="42"/>
  <c r="AD171" i="42"/>
  <c r="AD170" i="42"/>
  <c r="AD169" i="42"/>
  <c r="AD168" i="42"/>
  <c r="AD167" i="42"/>
  <c r="AD166" i="42"/>
  <c r="AD165" i="42"/>
  <c r="AD164" i="42"/>
  <c r="AD163" i="42"/>
  <c r="AD162" i="42"/>
  <c r="AD161" i="42"/>
  <c r="AD160" i="42"/>
  <c r="AD159" i="42"/>
  <c r="AD158" i="42"/>
  <c r="AD157" i="42"/>
  <c r="AD156" i="42"/>
  <c r="AD155" i="42"/>
  <c r="AD154" i="42"/>
  <c r="AD153" i="42"/>
  <c r="AD152" i="42"/>
  <c r="AD151" i="42"/>
  <c r="AD150" i="42"/>
  <c r="AD149" i="42"/>
  <c r="AD148" i="42"/>
  <c r="AD147" i="42"/>
  <c r="AD146" i="42"/>
  <c r="AD145" i="42"/>
  <c r="AD144" i="42"/>
  <c r="AD143" i="42"/>
  <c r="AD142" i="42"/>
  <c r="AD141" i="42"/>
  <c r="AD140" i="42"/>
  <c r="AD139" i="42"/>
  <c r="AD138" i="42"/>
  <c r="AD137" i="42"/>
  <c r="AD136" i="42"/>
  <c r="AD135" i="42"/>
  <c r="AD134" i="42"/>
  <c r="AD133" i="42"/>
  <c r="AD132" i="42"/>
  <c r="AD131" i="42"/>
  <c r="AD130" i="42"/>
  <c r="AD129" i="42"/>
  <c r="AD128" i="42"/>
  <c r="AD127" i="42"/>
  <c r="AD126" i="42"/>
  <c r="AD125" i="42"/>
  <c r="AD124" i="42"/>
  <c r="AD123" i="42"/>
  <c r="AD122" i="42"/>
  <c r="AD121" i="42"/>
  <c r="AD120" i="42"/>
  <c r="AD119" i="42"/>
  <c r="AD118" i="42"/>
  <c r="AD117" i="42"/>
  <c r="AD116" i="42"/>
  <c r="AD115" i="42"/>
  <c r="AD114" i="42"/>
  <c r="AD113" i="42"/>
  <c r="AD112" i="42"/>
  <c r="AF306" i="42"/>
  <c r="AD110" i="42"/>
  <c r="AD109" i="42"/>
  <c r="AD108" i="42"/>
  <c r="AD107" i="42"/>
  <c r="AD106" i="42"/>
  <c r="AD105" i="42"/>
  <c r="AD104" i="42"/>
  <c r="AD103" i="42"/>
  <c r="AD102" i="42"/>
  <c r="AD101" i="42"/>
  <c r="AD100" i="42"/>
  <c r="AD99" i="42"/>
  <c r="AD98" i="42"/>
  <c r="AD97" i="42"/>
  <c r="AD96" i="42"/>
  <c r="AD95" i="42"/>
  <c r="AD94" i="42"/>
  <c r="AD93" i="42"/>
  <c r="AD92" i="42"/>
  <c r="AD91" i="42"/>
  <c r="AD90" i="42"/>
  <c r="AD89" i="42"/>
  <c r="AD88" i="42"/>
  <c r="AD87" i="42"/>
  <c r="AD86" i="42"/>
  <c r="AD85" i="42"/>
  <c r="AD84" i="42"/>
  <c r="AD83" i="42"/>
  <c r="AD82" i="42"/>
  <c r="AD81" i="42"/>
  <c r="AD80" i="42"/>
  <c r="AD79" i="42"/>
  <c r="AD78" i="42"/>
  <c r="AD77" i="42"/>
  <c r="AD76" i="42"/>
  <c r="AD75" i="42"/>
  <c r="AD74" i="42"/>
  <c r="AD73" i="42"/>
  <c r="AD72" i="42"/>
  <c r="AD71" i="42"/>
  <c r="AD70" i="42"/>
  <c r="AD69" i="42"/>
  <c r="AD68" i="42"/>
  <c r="AD67" i="42"/>
  <c r="AD66" i="42"/>
  <c r="AD65" i="42"/>
  <c r="AD64" i="42"/>
  <c r="AD63" i="42"/>
  <c r="AD62" i="42"/>
  <c r="AD61" i="42"/>
  <c r="AD60" i="42"/>
  <c r="AD59" i="42"/>
  <c r="AD58" i="42"/>
  <c r="AD57" i="42"/>
  <c r="AD56" i="42"/>
  <c r="AD55" i="42"/>
  <c r="AD54" i="42"/>
  <c r="AD53" i="42"/>
  <c r="AD52" i="42"/>
  <c r="AD51" i="42"/>
  <c r="AD50" i="42"/>
  <c r="AD49" i="42"/>
  <c r="AD48" i="42"/>
  <c r="AD47" i="42"/>
  <c r="AD46" i="42"/>
  <c r="AD45" i="42"/>
  <c r="AD44" i="42"/>
  <c r="AD43" i="42"/>
  <c r="AD42" i="42"/>
  <c r="AD41" i="42"/>
  <c r="AD40" i="42"/>
  <c r="AD39" i="42"/>
  <c r="AD38" i="42"/>
  <c r="AD37" i="42"/>
  <c r="AD36" i="42"/>
  <c r="AD35" i="42"/>
  <c r="AD34" i="42"/>
  <c r="AD33" i="42"/>
  <c r="AD32" i="42"/>
  <c r="AD31" i="42"/>
  <c r="AD30" i="42"/>
  <c r="AD29" i="42"/>
  <c r="AD28" i="42"/>
  <c r="AD27" i="42"/>
  <c r="AD26" i="42"/>
  <c r="AD25" i="42"/>
  <c r="AD24" i="42"/>
  <c r="AD23" i="42"/>
  <c r="AD22" i="42"/>
  <c r="AD21" i="42"/>
  <c r="AD20" i="42"/>
  <c r="AD19" i="42"/>
  <c r="AD18" i="42"/>
  <c r="AD17" i="42"/>
  <c r="AD16" i="42"/>
  <c r="AD15" i="42"/>
  <c r="AD14" i="42"/>
  <c r="AD13" i="42"/>
  <c r="AD12" i="42"/>
  <c r="AD11" i="42"/>
  <c r="AD10" i="42"/>
  <c r="AD9" i="42"/>
  <c r="AD8" i="42"/>
  <c r="AD7" i="42"/>
  <c r="AD6" i="42"/>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300" i="33"/>
  <c r="D301" i="33"/>
  <c r="D302" i="33"/>
  <c r="D303" i="33"/>
  <c r="D304" i="33"/>
  <c r="D305" i="33"/>
  <c r="D6" i="33"/>
  <c r="J228" i="11" l="1"/>
  <c r="E111" i="11"/>
  <c r="AL228" i="42"/>
  <c r="AL306" i="42" s="1"/>
  <c r="AD111" i="42"/>
  <c r="D306" i="33"/>
  <c r="R5"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6" i="19"/>
  <c r="AD306" i="42" l="1"/>
  <c r="I7" i="49" l="1"/>
  <c r="I14" i="49"/>
  <c r="I106" i="49"/>
  <c r="I108" i="49"/>
  <c r="I111" i="49"/>
  <c r="I113" i="49"/>
  <c r="I114" i="49"/>
  <c r="I115" i="49"/>
  <c r="I116" i="49"/>
  <c r="I118" i="49"/>
  <c r="I120" i="49"/>
  <c r="I121" i="49"/>
  <c r="I122" i="49"/>
  <c r="I123" i="49"/>
  <c r="I124" i="49"/>
  <c r="I125" i="49"/>
  <c r="I128" i="49"/>
  <c r="I129" i="49"/>
  <c r="I130" i="49"/>
  <c r="I137" i="49"/>
  <c r="I142" i="49"/>
  <c r="I143" i="49"/>
  <c r="I144" i="49"/>
  <c r="I146" i="49"/>
  <c r="I147" i="49"/>
  <c r="I148" i="49"/>
  <c r="I150" i="49"/>
  <c r="I184" i="49"/>
  <c r="I195" i="49"/>
  <c r="I196" i="49"/>
  <c r="I217" i="49"/>
  <c r="I218" i="49"/>
  <c r="I267" i="49"/>
  <c r="I268" i="49"/>
  <c r="I269" i="49"/>
  <c r="I270" i="49"/>
  <c r="I271" i="49"/>
  <c r="I272" i="49"/>
  <c r="I273" i="49"/>
  <c r="I274" i="49"/>
  <c r="I275" i="49"/>
  <c r="I278" i="49"/>
  <c r="I282" i="49"/>
  <c r="I287" i="49"/>
  <c r="I288" i="49"/>
  <c r="I294" i="49"/>
  <c r="I296" i="49"/>
  <c r="I297" i="49"/>
  <c r="I298" i="49"/>
  <c r="I304" i="49"/>
  <c r="A7" i="13" l="1"/>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13" i="34" l="1"/>
  <c r="B13" i="34"/>
  <c r="D13" i="34"/>
  <c r="A14" i="34"/>
  <c r="B14" i="34"/>
  <c r="D14" i="34"/>
  <c r="A15" i="34"/>
  <c r="B15" i="34"/>
  <c r="D15" i="34"/>
  <c r="A16" i="34"/>
  <c r="B16" i="34"/>
  <c r="D16" i="34"/>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7" i="37"/>
  <c r="B7" i="37"/>
  <c r="C7" i="37"/>
  <c r="F7" i="37"/>
  <c r="A8" i="37"/>
  <c r="B8" i="37"/>
  <c r="C8" i="37"/>
  <c r="F8" i="37"/>
  <c r="A9" i="37"/>
  <c r="B9" i="37"/>
  <c r="C9" i="37"/>
  <c r="F9" i="37"/>
  <c r="A10" i="37"/>
  <c r="B10" i="37"/>
  <c r="C10" i="37"/>
  <c r="F10" i="37"/>
  <c r="A11" i="37"/>
  <c r="B11" i="37"/>
  <c r="C11" i="37"/>
  <c r="F11" i="37"/>
  <c r="A12" i="37"/>
  <c r="B12" i="37"/>
  <c r="C12" i="37"/>
  <c r="F12" i="37"/>
  <c r="A13" i="37"/>
  <c r="B13" i="37"/>
  <c r="C13" i="37"/>
  <c r="F13" i="37"/>
  <c r="A14" i="37"/>
  <c r="B14" i="37"/>
  <c r="C14" i="37"/>
  <c r="F14" i="37"/>
  <c r="A15" i="37"/>
  <c r="B15" i="37"/>
  <c r="C15" i="37"/>
  <c r="F15" i="37"/>
  <c r="A16" i="37"/>
  <c r="B16" i="37"/>
  <c r="C16" i="37"/>
  <c r="F16" i="37"/>
  <c r="A17" i="37"/>
  <c r="B17" i="37"/>
  <c r="C17" i="37"/>
  <c r="F17" i="37"/>
  <c r="A18" i="37"/>
  <c r="B18" i="37"/>
  <c r="C18" i="37"/>
  <c r="F18" i="37"/>
  <c r="A19" i="37"/>
  <c r="B19" i="37"/>
  <c r="C19" i="37"/>
  <c r="F19" i="37"/>
  <c r="A20" i="37"/>
  <c r="B20" i="37"/>
  <c r="C20" i="37"/>
  <c r="F20" i="37"/>
  <c r="A21" i="37"/>
  <c r="B21" i="37"/>
  <c r="C21" i="37"/>
  <c r="F21" i="37"/>
  <c r="A22" i="37"/>
  <c r="B22" i="37"/>
  <c r="C22" i="37"/>
  <c r="F22" i="37"/>
  <c r="A23" i="37"/>
  <c r="B23" i="37"/>
  <c r="C23" i="37"/>
  <c r="F23" i="37"/>
  <c r="A24" i="37"/>
  <c r="B24" i="37"/>
  <c r="C24" i="37"/>
  <c r="F24" i="37"/>
  <c r="A25" i="37"/>
  <c r="B25" i="37"/>
  <c r="C25" i="37"/>
  <c r="F25" i="37"/>
  <c r="A26" i="37"/>
  <c r="B26" i="37"/>
  <c r="C26" i="37"/>
  <c r="F26" i="37"/>
  <c r="A27" i="37"/>
  <c r="B27" i="37"/>
  <c r="C27" i="37"/>
  <c r="F27" i="37"/>
  <c r="A28" i="37"/>
  <c r="B28" i="37"/>
  <c r="C28" i="37"/>
  <c r="F28" i="37"/>
  <c r="A29" i="37"/>
  <c r="B29" i="37"/>
  <c r="C29" i="37"/>
  <c r="F29" i="37"/>
  <c r="A30" i="37"/>
  <c r="B30" i="37"/>
  <c r="C30" i="37"/>
  <c r="F30" i="37"/>
  <c r="A31" i="37"/>
  <c r="B31" i="37"/>
  <c r="C31" i="37"/>
  <c r="F31" i="37"/>
  <c r="A32" i="37"/>
  <c r="B32" i="37"/>
  <c r="C32" i="37"/>
  <c r="F32" i="37"/>
  <c r="A33" i="37"/>
  <c r="B33" i="37"/>
  <c r="C33" i="37"/>
  <c r="F33" i="37"/>
  <c r="A34" i="37"/>
  <c r="B34" i="37"/>
  <c r="C34" i="37"/>
  <c r="F34" i="37"/>
  <c r="A35" i="37"/>
  <c r="B35" i="37"/>
  <c r="C35" i="37"/>
  <c r="F35" i="37"/>
  <c r="A36" i="37"/>
  <c r="B36" i="37"/>
  <c r="C36" i="37"/>
  <c r="F36" i="37"/>
  <c r="A37" i="37"/>
  <c r="B37" i="37"/>
  <c r="C37" i="37"/>
  <c r="F37" i="37"/>
  <c r="A38" i="37"/>
  <c r="B38" i="37"/>
  <c r="C38" i="37"/>
  <c r="F38" i="37"/>
  <c r="A39" i="37"/>
  <c r="B39" i="37"/>
  <c r="C39" i="37"/>
  <c r="F39" i="37"/>
  <c r="A40" i="37"/>
  <c r="B40" i="37"/>
  <c r="C40" i="37"/>
  <c r="F40" i="37"/>
  <c r="A41" i="37"/>
  <c r="B41" i="37"/>
  <c r="C41" i="37"/>
  <c r="F41" i="37"/>
  <c r="A42" i="37"/>
  <c r="B42" i="37"/>
  <c r="C42" i="37"/>
  <c r="F42" i="37"/>
  <c r="A43" i="37"/>
  <c r="B43" i="37"/>
  <c r="C43" i="37"/>
  <c r="F43" i="37"/>
  <c r="A44" i="37"/>
  <c r="B44" i="37"/>
  <c r="C44" i="37"/>
  <c r="F44" i="37"/>
  <c r="A45" i="37"/>
  <c r="B45" i="37"/>
  <c r="C45" i="37"/>
  <c r="F45" i="37"/>
  <c r="A46" i="37"/>
  <c r="B46" i="37"/>
  <c r="C46" i="37"/>
  <c r="F46" i="37"/>
  <c r="A47" i="37"/>
  <c r="B47" i="37"/>
  <c r="C47" i="37"/>
  <c r="F47" i="37"/>
  <c r="A48" i="37"/>
  <c r="B48" i="37"/>
  <c r="C48" i="37"/>
  <c r="F48" i="37"/>
  <c r="A49" i="37"/>
  <c r="B49" i="37"/>
  <c r="C49" i="37"/>
  <c r="F49" i="37"/>
  <c r="A50" i="37"/>
  <c r="B50" i="37"/>
  <c r="C50" i="37"/>
  <c r="F50" i="37"/>
  <c r="A51" i="37"/>
  <c r="B51" i="37"/>
  <c r="C51" i="37"/>
  <c r="F51" i="37"/>
  <c r="A52" i="37"/>
  <c r="B52" i="37"/>
  <c r="C52" i="37"/>
  <c r="F52" i="37"/>
  <c r="A53" i="37"/>
  <c r="B53" i="37"/>
  <c r="C53" i="37"/>
  <c r="F53" i="37"/>
  <c r="A54" i="37"/>
  <c r="B54" i="37"/>
  <c r="C54" i="37"/>
  <c r="F54" i="37"/>
  <c r="A55" i="37"/>
  <c r="B55" i="37"/>
  <c r="C55" i="37"/>
  <c r="F55" i="37"/>
  <c r="A56" i="37"/>
  <c r="B56" i="37"/>
  <c r="C56" i="37"/>
  <c r="F56" i="37"/>
  <c r="A57" i="37"/>
  <c r="B57" i="37"/>
  <c r="C57" i="37"/>
  <c r="F57" i="37"/>
  <c r="A58" i="37"/>
  <c r="B58" i="37"/>
  <c r="C58" i="37"/>
  <c r="F58" i="37"/>
  <c r="A59" i="37"/>
  <c r="B59" i="37"/>
  <c r="C59" i="37"/>
  <c r="F59" i="37"/>
  <c r="A60" i="37"/>
  <c r="B60" i="37"/>
  <c r="C60" i="37"/>
  <c r="F60" i="37"/>
  <c r="A61" i="37"/>
  <c r="B61" i="37"/>
  <c r="C61" i="37"/>
  <c r="F61" i="37"/>
  <c r="A62" i="37"/>
  <c r="B62" i="37"/>
  <c r="C62" i="37"/>
  <c r="F62" i="37"/>
  <c r="A63" i="37"/>
  <c r="B63" i="37"/>
  <c r="C63" i="37"/>
  <c r="F63" i="37"/>
  <c r="A64" i="37"/>
  <c r="B64" i="37"/>
  <c r="C64" i="37"/>
  <c r="F64" i="37"/>
  <c r="A65" i="37"/>
  <c r="B65" i="37"/>
  <c r="C65" i="37"/>
  <c r="F65" i="37"/>
  <c r="A66" i="37"/>
  <c r="B66" i="37"/>
  <c r="C66" i="37"/>
  <c r="F66" i="37"/>
  <c r="A67" i="37"/>
  <c r="B67" i="37"/>
  <c r="C67" i="37"/>
  <c r="F67" i="37"/>
  <c r="A68" i="37"/>
  <c r="B68" i="37"/>
  <c r="C68" i="37"/>
  <c r="F68" i="37"/>
  <c r="A69" i="37"/>
  <c r="B69" i="37"/>
  <c r="C69" i="37"/>
  <c r="F69" i="37"/>
  <c r="A70" i="37"/>
  <c r="B70" i="37"/>
  <c r="C70" i="37"/>
  <c r="F70" i="37"/>
  <c r="A71" i="37"/>
  <c r="B71" i="37"/>
  <c r="C71" i="37"/>
  <c r="F71" i="37"/>
  <c r="A72" i="37"/>
  <c r="B72" i="37"/>
  <c r="C72" i="37"/>
  <c r="F72" i="37"/>
  <c r="A73" i="37"/>
  <c r="B73" i="37"/>
  <c r="C73" i="37"/>
  <c r="F73" i="37"/>
  <c r="A74" i="37"/>
  <c r="B74" i="37"/>
  <c r="C74" i="37"/>
  <c r="F74" i="37"/>
  <c r="A75" i="37"/>
  <c r="B75" i="37"/>
  <c r="C75" i="37"/>
  <c r="F75" i="37"/>
  <c r="A76" i="37"/>
  <c r="B76" i="37"/>
  <c r="C76" i="37"/>
  <c r="F76" i="37"/>
  <c r="A77" i="37"/>
  <c r="B77" i="37"/>
  <c r="C77" i="37"/>
  <c r="F77" i="37"/>
  <c r="A78" i="37"/>
  <c r="B78" i="37"/>
  <c r="C78" i="37"/>
  <c r="F78" i="37"/>
  <c r="A79" i="37"/>
  <c r="B79" i="37"/>
  <c r="C79" i="37"/>
  <c r="F79" i="37"/>
  <c r="A80" i="37"/>
  <c r="B80" i="37"/>
  <c r="C80" i="37"/>
  <c r="F80" i="37"/>
  <c r="A81" i="37"/>
  <c r="B81" i="37"/>
  <c r="C81" i="37"/>
  <c r="F81" i="37"/>
  <c r="A82" i="37"/>
  <c r="B82" i="37"/>
  <c r="C82" i="37"/>
  <c r="F82" i="37"/>
  <c r="A83" i="37"/>
  <c r="B83" i="37"/>
  <c r="C83" i="37"/>
  <c r="F83" i="37"/>
  <c r="A84" i="37"/>
  <c r="B84" i="37"/>
  <c r="C84" i="37"/>
  <c r="F84" i="37"/>
  <c r="A85" i="37"/>
  <c r="B85" i="37"/>
  <c r="C85" i="37"/>
  <c r="F85" i="37"/>
  <c r="A86" i="37"/>
  <c r="B86" i="37"/>
  <c r="C86" i="37"/>
  <c r="F86" i="37"/>
  <c r="A87" i="37"/>
  <c r="B87" i="37"/>
  <c r="C87" i="37"/>
  <c r="F87" i="37"/>
  <c r="A88" i="37"/>
  <c r="B88" i="37"/>
  <c r="C88" i="37"/>
  <c r="F88" i="37"/>
  <c r="A89" i="37"/>
  <c r="B89" i="37"/>
  <c r="C89" i="37"/>
  <c r="F89" i="37"/>
  <c r="A90" i="37"/>
  <c r="B90" i="37"/>
  <c r="C90" i="37"/>
  <c r="F90" i="37"/>
  <c r="A91" i="37"/>
  <c r="B91" i="37"/>
  <c r="C91" i="37"/>
  <c r="F91" i="37"/>
  <c r="A92" i="37"/>
  <c r="B92" i="37"/>
  <c r="C92" i="37"/>
  <c r="F92" i="37"/>
  <c r="A93" i="37"/>
  <c r="B93" i="37"/>
  <c r="C93" i="37"/>
  <c r="F93" i="37"/>
  <c r="A94" i="37"/>
  <c r="B94" i="37"/>
  <c r="C94" i="37"/>
  <c r="F94" i="37"/>
  <c r="A95" i="37"/>
  <c r="B95" i="37"/>
  <c r="C95" i="37"/>
  <c r="F95" i="37"/>
  <c r="A96" i="37"/>
  <c r="B96" i="37"/>
  <c r="C96" i="37"/>
  <c r="F96" i="37"/>
  <c r="A97" i="37"/>
  <c r="B97" i="37"/>
  <c r="C97" i="37"/>
  <c r="F97" i="37"/>
  <c r="A98" i="37"/>
  <c r="B98" i="37"/>
  <c r="C98" i="37"/>
  <c r="F98" i="37"/>
  <c r="A99" i="37"/>
  <c r="B99" i="37"/>
  <c r="C99" i="37"/>
  <c r="F99" i="37"/>
  <c r="A100" i="37"/>
  <c r="B100" i="37"/>
  <c r="C100" i="37"/>
  <c r="F100" i="37"/>
  <c r="A101" i="37"/>
  <c r="B101" i="37"/>
  <c r="C101" i="37"/>
  <c r="F101" i="37"/>
  <c r="A102" i="37"/>
  <c r="B102" i="37"/>
  <c r="C102" i="37"/>
  <c r="F102" i="37"/>
  <c r="A103" i="37"/>
  <c r="B103" i="37"/>
  <c r="C103" i="37"/>
  <c r="F103" i="37"/>
  <c r="A104" i="37"/>
  <c r="B104" i="37"/>
  <c r="C104" i="37"/>
  <c r="F104" i="37"/>
  <c r="A105" i="37"/>
  <c r="B105" i="37"/>
  <c r="C105" i="37"/>
  <c r="F105" i="37"/>
  <c r="A106" i="37"/>
  <c r="B106" i="37"/>
  <c r="C106" i="37"/>
  <c r="F106" i="37"/>
  <c r="A107" i="37"/>
  <c r="B107" i="37"/>
  <c r="C107" i="37"/>
  <c r="F107" i="37"/>
  <c r="A108" i="37"/>
  <c r="B108" i="37"/>
  <c r="C108" i="37"/>
  <c r="F108" i="37"/>
  <c r="A109" i="37"/>
  <c r="B109" i="37"/>
  <c r="C109" i="37"/>
  <c r="F109" i="37"/>
  <c r="A110" i="37"/>
  <c r="B110" i="37"/>
  <c r="C110" i="37"/>
  <c r="F110" i="37"/>
  <c r="A111" i="37"/>
  <c r="B111" i="37"/>
  <c r="C111" i="37"/>
  <c r="F111" i="37"/>
  <c r="A112" i="37"/>
  <c r="B112" i="37"/>
  <c r="C112" i="37"/>
  <c r="F112" i="37"/>
  <c r="A113" i="37"/>
  <c r="B113" i="37"/>
  <c r="C113" i="37"/>
  <c r="F113" i="37"/>
  <c r="A114" i="37"/>
  <c r="B114" i="37"/>
  <c r="C114" i="37"/>
  <c r="F114" i="37"/>
  <c r="A115" i="37"/>
  <c r="B115" i="37"/>
  <c r="C115" i="37"/>
  <c r="F115" i="37"/>
  <c r="A116" i="37"/>
  <c r="B116" i="37"/>
  <c r="C116" i="37"/>
  <c r="F116" i="37"/>
  <c r="A117" i="37"/>
  <c r="B117" i="37"/>
  <c r="C117" i="37"/>
  <c r="F117" i="37"/>
  <c r="A118" i="37"/>
  <c r="B118" i="37"/>
  <c r="C118" i="37"/>
  <c r="F118" i="37"/>
  <c r="A119" i="37"/>
  <c r="B119" i="37"/>
  <c r="C119" i="37"/>
  <c r="F119" i="37"/>
  <c r="A120" i="37"/>
  <c r="B120" i="37"/>
  <c r="C120" i="37"/>
  <c r="F120" i="37"/>
  <c r="A121" i="37"/>
  <c r="B121" i="37"/>
  <c r="C121" i="37"/>
  <c r="F121" i="37"/>
  <c r="A122" i="37"/>
  <c r="B122" i="37"/>
  <c r="C122" i="37"/>
  <c r="F122" i="37"/>
  <c r="A123" i="37"/>
  <c r="B123" i="37"/>
  <c r="C123" i="37"/>
  <c r="F123" i="37"/>
  <c r="A124" i="37"/>
  <c r="B124" i="37"/>
  <c r="C124" i="37"/>
  <c r="F124" i="37"/>
  <c r="A125" i="37"/>
  <c r="B125" i="37"/>
  <c r="C125" i="37"/>
  <c r="F125" i="37"/>
  <c r="A126" i="37"/>
  <c r="B126" i="37"/>
  <c r="C126" i="37"/>
  <c r="F126" i="37"/>
  <c r="A127" i="37"/>
  <c r="B127" i="37"/>
  <c r="C127" i="37"/>
  <c r="F127" i="37"/>
  <c r="A128" i="37"/>
  <c r="B128" i="37"/>
  <c r="C128" i="37"/>
  <c r="F128" i="37"/>
  <c r="A129" i="37"/>
  <c r="B129" i="37"/>
  <c r="C129" i="37"/>
  <c r="F129" i="37"/>
  <c r="A130" i="37"/>
  <c r="B130" i="37"/>
  <c r="C130" i="37"/>
  <c r="F130" i="37"/>
  <c r="A131" i="37"/>
  <c r="B131" i="37"/>
  <c r="C131" i="37"/>
  <c r="F131" i="37"/>
  <c r="A132" i="37"/>
  <c r="B132" i="37"/>
  <c r="C132" i="37"/>
  <c r="F132" i="37"/>
  <c r="A133" i="37"/>
  <c r="B133" i="37"/>
  <c r="C133" i="37"/>
  <c r="F133" i="37"/>
  <c r="A134" i="37"/>
  <c r="B134" i="37"/>
  <c r="C134" i="37"/>
  <c r="F134" i="37"/>
  <c r="A135" i="37"/>
  <c r="B135" i="37"/>
  <c r="C135" i="37"/>
  <c r="F135" i="37"/>
  <c r="A136" i="37"/>
  <c r="B136" i="37"/>
  <c r="C136" i="37"/>
  <c r="F136" i="37"/>
  <c r="A137" i="37"/>
  <c r="B137" i="37"/>
  <c r="C137" i="37"/>
  <c r="F137" i="37"/>
  <c r="A138" i="37"/>
  <c r="B138" i="37"/>
  <c r="C138" i="37"/>
  <c r="F138" i="37"/>
  <c r="A139" i="37"/>
  <c r="B139" i="37"/>
  <c r="C139" i="37"/>
  <c r="F139" i="37"/>
  <c r="A140" i="37"/>
  <c r="B140" i="37"/>
  <c r="C140" i="37"/>
  <c r="F140" i="37"/>
  <c r="A141" i="37"/>
  <c r="B141" i="37"/>
  <c r="C141" i="37"/>
  <c r="F141" i="37"/>
  <c r="A142" i="37"/>
  <c r="B142" i="37"/>
  <c r="C142" i="37"/>
  <c r="F142" i="37"/>
  <c r="A143" i="37"/>
  <c r="B143" i="37"/>
  <c r="C143" i="37"/>
  <c r="F143" i="37"/>
  <c r="A144" i="37"/>
  <c r="B144" i="37"/>
  <c r="C144" i="37"/>
  <c r="F144" i="37"/>
  <c r="A145" i="37"/>
  <c r="B145" i="37"/>
  <c r="C145" i="37"/>
  <c r="F145" i="37"/>
  <c r="A146" i="37"/>
  <c r="B146" i="37"/>
  <c r="C146" i="37"/>
  <c r="F146" i="37"/>
  <c r="A147" i="37"/>
  <c r="B147" i="37"/>
  <c r="C147" i="37"/>
  <c r="F147" i="37"/>
  <c r="A148" i="37"/>
  <c r="B148" i="37"/>
  <c r="C148" i="37"/>
  <c r="F148" i="37"/>
  <c r="A149" i="37"/>
  <c r="B149" i="37"/>
  <c r="C149" i="37"/>
  <c r="F149" i="37"/>
  <c r="A150" i="37"/>
  <c r="B150" i="37"/>
  <c r="C150" i="37"/>
  <c r="F150" i="37"/>
  <c r="A151" i="37"/>
  <c r="B151" i="37"/>
  <c r="C151" i="37"/>
  <c r="F151" i="37"/>
  <c r="A152" i="37"/>
  <c r="B152" i="37"/>
  <c r="C152" i="37"/>
  <c r="F152" i="37"/>
  <c r="A153" i="37"/>
  <c r="B153" i="37"/>
  <c r="C153" i="37"/>
  <c r="F153" i="37"/>
  <c r="A154" i="37"/>
  <c r="B154" i="37"/>
  <c r="C154" i="37"/>
  <c r="F154" i="37"/>
  <c r="A155" i="37"/>
  <c r="B155" i="37"/>
  <c r="C155" i="37"/>
  <c r="F155" i="37"/>
  <c r="A156" i="37"/>
  <c r="B156" i="37"/>
  <c r="C156" i="37"/>
  <c r="F156" i="37"/>
  <c r="A157" i="37"/>
  <c r="B157" i="37"/>
  <c r="C157" i="37"/>
  <c r="F157" i="37"/>
  <c r="A158" i="37"/>
  <c r="B158" i="37"/>
  <c r="C158" i="37"/>
  <c r="F158" i="37"/>
  <c r="A159" i="37"/>
  <c r="B159" i="37"/>
  <c r="C159" i="37"/>
  <c r="F159" i="37"/>
  <c r="A160" i="37"/>
  <c r="B160" i="37"/>
  <c r="C160" i="37"/>
  <c r="F160" i="37"/>
  <c r="A161" i="37"/>
  <c r="B161" i="37"/>
  <c r="C161" i="37"/>
  <c r="F161" i="37"/>
  <c r="A162" i="37"/>
  <c r="B162" i="37"/>
  <c r="C162" i="37"/>
  <c r="F162" i="37"/>
  <c r="A163" i="37"/>
  <c r="B163" i="37"/>
  <c r="C163" i="37"/>
  <c r="F163" i="37"/>
  <c r="A164" i="37"/>
  <c r="B164" i="37"/>
  <c r="C164" i="37"/>
  <c r="F164" i="37"/>
  <c r="A165" i="37"/>
  <c r="B165" i="37"/>
  <c r="C165" i="37"/>
  <c r="F165" i="37"/>
  <c r="A166" i="37"/>
  <c r="B166" i="37"/>
  <c r="C166" i="37"/>
  <c r="F166" i="37"/>
  <c r="A167" i="37"/>
  <c r="B167" i="37"/>
  <c r="C167" i="37"/>
  <c r="F167" i="37"/>
  <c r="A168" i="37"/>
  <c r="B168" i="37"/>
  <c r="C168" i="37"/>
  <c r="F168" i="37"/>
  <c r="A169" i="37"/>
  <c r="B169" i="37"/>
  <c r="C169" i="37"/>
  <c r="F169" i="37"/>
  <c r="A170" i="37"/>
  <c r="B170" i="37"/>
  <c r="C170" i="37"/>
  <c r="F170" i="37"/>
  <c r="A171" i="37"/>
  <c r="B171" i="37"/>
  <c r="C171" i="37"/>
  <c r="F171" i="37"/>
  <c r="A172" i="37"/>
  <c r="B172" i="37"/>
  <c r="C172" i="37"/>
  <c r="F172" i="37"/>
  <c r="A173" i="37"/>
  <c r="B173" i="37"/>
  <c r="C173" i="37"/>
  <c r="F173" i="37"/>
  <c r="A174" i="37"/>
  <c r="B174" i="37"/>
  <c r="C174" i="37"/>
  <c r="F174" i="37"/>
  <c r="A175" i="37"/>
  <c r="B175" i="37"/>
  <c r="C175" i="37"/>
  <c r="F175" i="37"/>
  <c r="A176" i="37"/>
  <c r="B176" i="37"/>
  <c r="C176" i="37"/>
  <c r="F176" i="37"/>
  <c r="A177" i="37"/>
  <c r="B177" i="37"/>
  <c r="C177" i="37"/>
  <c r="F177" i="37"/>
  <c r="A178" i="37"/>
  <c r="B178" i="37"/>
  <c r="C178" i="37"/>
  <c r="F178" i="37"/>
  <c r="A179" i="37"/>
  <c r="B179" i="37"/>
  <c r="C179" i="37"/>
  <c r="F179" i="37"/>
  <c r="A180" i="37"/>
  <c r="B180" i="37"/>
  <c r="C180" i="37"/>
  <c r="F180" i="37"/>
  <c r="A181" i="37"/>
  <c r="B181" i="37"/>
  <c r="C181" i="37"/>
  <c r="F181" i="37"/>
  <c r="A182" i="37"/>
  <c r="B182" i="37"/>
  <c r="C182" i="37"/>
  <c r="F182" i="37"/>
  <c r="A183" i="37"/>
  <c r="B183" i="37"/>
  <c r="C183" i="37"/>
  <c r="F183" i="37"/>
  <c r="A184" i="37"/>
  <c r="B184" i="37"/>
  <c r="C184" i="37"/>
  <c r="F184" i="37"/>
  <c r="A185" i="37"/>
  <c r="B185" i="37"/>
  <c r="C185" i="37"/>
  <c r="F185" i="37"/>
  <c r="A186" i="37"/>
  <c r="B186" i="37"/>
  <c r="C186" i="37"/>
  <c r="F186" i="37"/>
  <c r="A187" i="37"/>
  <c r="B187" i="37"/>
  <c r="C187" i="37"/>
  <c r="F187" i="37"/>
  <c r="A188" i="37"/>
  <c r="B188" i="37"/>
  <c r="C188" i="37"/>
  <c r="F188" i="37"/>
  <c r="A189" i="37"/>
  <c r="B189" i="37"/>
  <c r="C189" i="37"/>
  <c r="F189" i="37"/>
  <c r="A190" i="37"/>
  <c r="B190" i="37"/>
  <c r="C190" i="37"/>
  <c r="F190" i="37"/>
  <c r="A191" i="37"/>
  <c r="B191" i="37"/>
  <c r="C191" i="37"/>
  <c r="F191" i="37"/>
  <c r="A192" i="37"/>
  <c r="B192" i="37"/>
  <c r="C192" i="37"/>
  <c r="F192" i="37"/>
  <c r="A193" i="37"/>
  <c r="B193" i="37"/>
  <c r="C193" i="37"/>
  <c r="F193" i="37"/>
  <c r="A194" i="37"/>
  <c r="B194" i="37"/>
  <c r="C194" i="37"/>
  <c r="F194" i="37"/>
  <c r="A195" i="37"/>
  <c r="B195" i="37"/>
  <c r="C195" i="37"/>
  <c r="F195" i="37"/>
  <c r="A196" i="37"/>
  <c r="B196" i="37"/>
  <c r="C196" i="37"/>
  <c r="F196" i="37"/>
  <c r="A197" i="37"/>
  <c r="B197" i="37"/>
  <c r="C197" i="37"/>
  <c r="F197" i="37"/>
  <c r="A198" i="37"/>
  <c r="B198" i="37"/>
  <c r="C198" i="37"/>
  <c r="F198" i="37"/>
  <c r="A199" i="37"/>
  <c r="B199" i="37"/>
  <c r="C199" i="37"/>
  <c r="F199" i="37"/>
  <c r="A200" i="37"/>
  <c r="B200" i="37"/>
  <c r="C200" i="37"/>
  <c r="F200" i="37"/>
  <c r="A201" i="37"/>
  <c r="B201" i="37"/>
  <c r="C201" i="37"/>
  <c r="F201" i="37"/>
  <c r="A202" i="37"/>
  <c r="B202" i="37"/>
  <c r="C202" i="37"/>
  <c r="F202" i="37"/>
  <c r="A203" i="37"/>
  <c r="B203" i="37"/>
  <c r="C203" i="37"/>
  <c r="F203" i="37"/>
  <c r="A204" i="37"/>
  <c r="B204" i="37"/>
  <c r="C204" i="37"/>
  <c r="F204" i="37"/>
  <c r="A205" i="37"/>
  <c r="B205" i="37"/>
  <c r="C205" i="37"/>
  <c r="F205" i="37"/>
  <c r="A206" i="37"/>
  <c r="B206" i="37"/>
  <c r="C206" i="37"/>
  <c r="F206" i="37"/>
  <c r="A207" i="37"/>
  <c r="B207" i="37"/>
  <c r="C207" i="37"/>
  <c r="F207" i="37"/>
  <c r="A208" i="37"/>
  <c r="B208" i="37"/>
  <c r="C208" i="37"/>
  <c r="F208" i="37"/>
  <c r="A209" i="37"/>
  <c r="B209" i="37"/>
  <c r="C209" i="37"/>
  <c r="F209" i="37"/>
  <c r="A210" i="37"/>
  <c r="B210" i="37"/>
  <c r="C210" i="37"/>
  <c r="F210" i="37"/>
  <c r="A211" i="37"/>
  <c r="B211" i="37"/>
  <c r="C211" i="37"/>
  <c r="F211" i="37"/>
  <c r="A212" i="37"/>
  <c r="B212" i="37"/>
  <c r="C212" i="37"/>
  <c r="F212" i="37"/>
  <c r="A213" i="37"/>
  <c r="B213" i="37"/>
  <c r="C213" i="37"/>
  <c r="F213" i="37"/>
  <c r="A214" i="37"/>
  <c r="B214" i="37"/>
  <c r="C214" i="37"/>
  <c r="F214" i="37"/>
  <c r="A215" i="37"/>
  <c r="B215" i="37"/>
  <c r="C215" i="37"/>
  <c r="F215" i="37"/>
  <c r="A216" i="37"/>
  <c r="B216" i="37"/>
  <c r="C216" i="37"/>
  <c r="F216" i="37"/>
  <c r="A217" i="37"/>
  <c r="B217" i="37"/>
  <c r="C217" i="37"/>
  <c r="F217" i="37"/>
  <c r="A218" i="37"/>
  <c r="B218" i="37"/>
  <c r="C218" i="37"/>
  <c r="F218" i="37"/>
  <c r="A219" i="37"/>
  <c r="B219" i="37"/>
  <c r="C219" i="37"/>
  <c r="F219" i="37"/>
  <c r="A220" i="37"/>
  <c r="B220" i="37"/>
  <c r="C220" i="37"/>
  <c r="F220" i="37"/>
  <c r="A221" i="37"/>
  <c r="B221" i="37"/>
  <c r="C221" i="37"/>
  <c r="F221" i="37"/>
  <c r="A222" i="37"/>
  <c r="B222" i="37"/>
  <c r="C222" i="37"/>
  <c r="F222" i="37"/>
  <c r="A223" i="37"/>
  <c r="B223" i="37"/>
  <c r="C223" i="37"/>
  <c r="F223" i="37"/>
  <c r="A224" i="37"/>
  <c r="B224" i="37"/>
  <c r="C224" i="37"/>
  <c r="F224" i="37"/>
  <c r="A225" i="37"/>
  <c r="B225" i="37"/>
  <c r="C225" i="37"/>
  <c r="F225" i="37"/>
  <c r="A226" i="37"/>
  <c r="B226" i="37"/>
  <c r="C226" i="37"/>
  <c r="F226" i="37"/>
  <c r="A227" i="37"/>
  <c r="B227" i="37"/>
  <c r="C227" i="37"/>
  <c r="F227" i="37"/>
  <c r="A228" i="37"/>
  <c r="B228" i="37"/>
  <c r="C228" i="37"/>
  <c r="F228" i="37"/>
  <c r="A229" i="37"/>
  <c r="B229" i="37"/>
  <c r="C229" i="37"/>
  <c r="F229" i="37"/>
  <c r="A230" i="37"/>
  <c r="B230" i="37"/>
  <c r="C230" i="37"/>
  <c r="F230" i="37"/>
  <c r="A231" i="37"/>
  <c r="B231" i="37"/>
  <c r="C231" i="37"/>
  <c r="F231" i="37"/>
  <c r="A232" i="37"/>
  <c r="B232" i="37"/>
  <c r="C232" i="37"/>
  <c r="F232" i="37"/>
  <c r="A233" i="37"/>
  <c r="B233" i="37"/>
  <c r="C233" i="37"/>
  <c r="F233" i="37"/>
  <c r="A234" i="37"/>
  <c r="B234" i="37"/>
  <c r="C234" i="37"/>
  <c r="F234" i="37"/>
  <c r="A235" i="37"/>
  <c r="B235" i="37"/>
  <c r="C235" i="37"/>
  <c r="F235" i="37"/>
  <c r="A236" i="37"/>
  <c r="B236" i="37"/>
  <c r="C236" i="37"/>
  <c r="F236" i="37"/>
  <c r="A237" i="37"/>
  <c r="B237" i="37"/>
  <c r="C237" i="37"/>
  <c r="F237" i="37"/>
  <c r="A238" i="37"/>
  <c r="B238" i="37"/>
  <c r="C238" i="37"/>
  <c r="F238" i="37"/>
  <c r="A239" i="37"/>
  <c r="B239" i="37"/>
  <c r="C239" i="37"/>
  <c r="F239" i="37"/>
  <c r="A240" i="37"/>
  <c r="B240" i="37"/>
  <c r="C240" i="37"/>
  <c r="F240" i="37"/>
  <c r="A241" i="37"/>
  <c r="B241" i="37"/>
  <c r="C241" i="37"/>
  <c r="F241" i="37"/>
  <c r="A242" i="37"/>
  <c r="B242" i="37"/>
  <c r="C242" i="37"/>
  <c r="F242" i="37"/>
  <c r="A243" i="37"/>
  <c r="B243" i="37"/>
  <c r="C243" i="37"/>
  <c r="F243" i="37"/>
  <c r="A244" i="37"/>
  <c r="B244" i="37"/>
  <c r="C244" i="37"/>
  <c r="F244" i="37"/>
  <c r="A245" i="37"/>
  <c r="B245" i="37"/>
  <c r="C245" i="37"/>
  <c r="F245" i="37"/>
  <c r="A246" i="37"/>
  <c r="B246" i="37"/>
  <c r="C246" i="37"/>
  <c r="F246" i="37"/>
  <c r="A247" i="37"/>
  <c r="B247" i="37"/>
  <c r="C247" i="37"/>
  <c r="F247" i="37"/>
  <c r="A248" i="37"/>
  <c r="B248" i="37"/>
  <c r="C248" i="37"/>
  <c r="F248" i="37"/>
  <c r="A249" i="37"/>
  <c r="B249" i="37"/>
  <c r="C249" i="37"/>
  <c r="F249" i="37"/>
  <c r="A250" i="37"/>
  <c r="B250" i="37"/>
  <c r="C250" i="37"/>
  <c r="F250" i="37"/>
  <c r="A251" i="37"/>
  <c r="B251" i="37"/>
  <c r="C251" i="37"/>
  <c r="F251" i="37"/>
  <c r="A252" i="37"/>
  <c r="B252" i="37"/>
  <c r="C252" i="37"/>
  <c r="F252" i="37"/>
  <c r="A253" i="37"/>
  <c r="B253" i="37"/>
  <c r="C253" i="37"/>
  <c r="F253" i="37"/>
  <c r="A254" i="37"/>
  <c r="B254" i="37"/>
  <c r="C254" i="37"/>
  <c r="F254" i="37"/>
  <c r="A255" i="37"/>
  <c r="B255" i="37"/>
  <c r="C255" i="37"/>
  <c r="F255" i="37"/>
  <c r="A256" i="37"/>
  <c r="B256" i="37"/>
  <c r="C256" i="37"/>
  <c r="F256" i="37"/>
  <c r="A257" i="37"/>
  <c r="B257" i="37"/>
  <c r="C257" i="37"/>
  <c r="F257" i="37"/>
  <c r="A258" i="37"/>
  <c r="B258" i="37"/>
  <c r="C258" i="37"/>
  <c r="F258" i="37"/>
  <c r="A259" i="37"/>
  <c r="B259" i="37"/>
  <c r="C259" i="37"/>
  <c r="F259" i="37"/>
  <c r="A260" i="37"/>
  <c r="B260" i="37"/>
  <c r="C260" i="37"/>
  <c r="F260" i="37"/>
  <c r="A261" i="37"/>
  <c r="B261" i="37"/>
  <c r="C261" i="37"/>
  <c r="F261" i="37"/>
  <c r="A262" i="37"/>
  <c r="B262" i="37"/>
  <c r="C262" i="37"/>
  <c r="F262" i="37"/>
  <c r="A263" i="37"/>
  <c r="B263" i="37"/>
  <c r="C263" i="37"/>
  <c r="F263" i="37"/>
  <c r="A264" i="37"/>
  <c r="B264" i="37"/>
  <c r="C264" i="37"/>
  <c r="F264" i="37"/>
  <c r="A265" i="37"/>
  <c r="B265" i="37"/>
  <c r="C265" i="37"/>
  <c r="F265" i="37"/>
  <c r="A266" i="37"/>
  <c r="B266" i="37"/>
  <c r="C266" i="37"/>
  <c r="F266" i="37"/>
  <c r="A267" i="37"/>
  <c r="B267" i="37"/>
  <c r="C267" i="37"/>
  <c r="F267" i="37"/>
  <c r="A268" i="37"/>
  <c r="B268" i="37"/>
  <c r="C268" i="37"/>
  <c r="F268" i="37"/>
  <c r="A269" i="37"/>
  <c r="B269" i="37"/>
  <c r="C269" i="37"/>
  <c r="F269" i="37"/>
  <c r="A270" i="37"/>
  <c r="B270" i="37"/>
  <c r="C270" i="37"/>
  <c r="F270" i="37"/>
  <c r="A271" i="37"/>
  <c r="B271" i="37"/>
  <c r="C271" i="37"/>
  <c r="F271" i="37"/>
  <c r="A272" i="37"/>
  <c r="B272" i="37"/>
  <c r="C272" i="37"/>
  <c r="F272" i="37"/>
  <c r="A273" i="37"/>
  <c r="B273" i="37"/>
  <c r="C273" i="37"/>
  <c r="F273" i="37"/>
  <c r="A274" i="37"/>
  <c r="B274" i="37"/>
  <c r="C274" i="37"/>
  <c r="F274" i="37"/>
  <c r="A275" i="37"/>
  <c r="B275" i="37"/>
  <c r="C275" i="37"/>
  <c r="F275" i="37"/>
  <c r="A276" i="37"/>
  <c r="B276" i="37"/>
  <c r="C276" i="37"/>
  <c r="F276" i="37"/>
  <c r="A277" i="37"/>
  <c r="B277" i="37"/>
  <c r="C277" i="37"/>
  <c r="F277" i="37"/>
  <c r="A278" i="37"/>
  <c r="B278" i="37"/>
  <c r="C278" i="37"/>
  <c r="F278" i="37"/>
  <c r="A279" i="37"/>
  <c r="B279" i="37"/>
  <c r="C279" i="37"/>
  <c r="F279" i="37"/>
  <c r="A280" i="37"/>
  <c r="B280" i="37"/>
  <c r="C280" i="37"/>
  <c r="F280" i="37"/>
  <c r="A281" i="37"/>
  <c r="B281" i="37"/>
  <c r="C281" i="37"/>
  <c r="F281" i="37"/>
  <c r="A282" i="37"/>
  <c r="B282" i="37"/>
  <c r="C282" i="37"/>
  <c r="F282" i="37"/>
  <c r="A283" i="37"/>
  <c r="B283" i="37"/>
  <c r="C283" i="37"/>
  <c r="F283" i="37"/>
  <c r="A284" i="37"/>
  <c r="B284" i="37"/>
  <c r="C284" i="37"/>
  <c r="F284" i="37"/>
  <c r="A285" i="37"/>
  <c r="B285" i="37"/>
  <c r="C285" i="37"/>
  <c r="F285" i="37"/>
  <c r="A286" i="37"/>
  <c r="B286" i="37"/>
  <c r="C286" i="37"/>
  <c r="F286" i="37"/>
  <c r="A287" i="37"/>
  <c r="B287" i="37"/>
  <c r="C287" i="37"/>
  <c r="F287" i="37"/>
  <c r="A288" i="37"/>
  <c r="B288" i="37"/>
  <c r="C288" i="37"/>
  <c r="F288" i="37"/>
  <c r="A289" i="37"/>
  <c r="B289" i="37"/>
  <c r="C289" i="37"/>
  <c r="F289" i="37"/>
  <c r="A290" i="37"/>
  <c r="B290" i="37"/>
  <c r="C290" i="37"/>
  <c r="F290" i="37"/>
  <c r="A291" i="37"/>
  <c r="B291" i="37"/>
  <c r="C291" i="37"/>
  <c r="F291" i="37"/>
  <c r="A292" i="37"/>
  <c r="B292" i="37"/>
  <c r="C292" i="37"/>
  <c r="F292" i="37"/>
  <c r="A293" i="37"/>
  <c r="B293" i="37"/>
  <c r="C293" i="37"/>
  <c r="F293" i="37"/>
  <c r="A294" i="37"/>
  <c r="B294" i="37"/>
  <c r="C294" i="37"/>
  <c r="F294" i="37"/>
  <c r="A295" i="37"/>
  <c r="B295" i="37"/>
  <c r="C295" i="37"/>
  <c r="F295" i="37"/>
  <c r="A296" i="37"/>
  <c r="B296" i="37"/>
  <c r="C296" i="37"/>
  <c r="F296" i="37"/>
  <c r="A297" i="37"/>
  <c r="B297" i="37"/>
  <c r="C297" i="37"/>
  <c r="F297" i="37"/>
  <c r="A298" i="37"/>
  <c r="B298" i="37"/>
  <c r="C298" i="37"/>
  <c r="F298" i="37"/>
  <c r="A299" i="37"/>
  <c r="B299" i="37"/>
  <c r="C299" i="37"/>
  <c r="F299" i="37"/>
  <c r="A300" i="37"/>
  <c r="B300" i="37"/>
  <c r="C300" i="37"/>
  <c r="F300" i="37"/>
  <c r="A301" i="37"/>
  <c r="B301" i="37"/>
  <c r="C301" i="37"/>
  <c r="F301" i="37"/>
  <c r="A302" i="37"/>
  <c r="B302" i="37"/>
  <c r="C302" i="37"/>
  <c r="F302" i="37"/>
  <c r="A303" i="37"/>
  <c r="B303" i="37"/>
  <c r="C303" i="37"/>
  <c r="F303" i="37"/>
  <c r="A304" i="37"/>
  <c r="B304" i="37"/>
  <c r="C304" i="37"/>
  <c r="F304" i="37"/>
  <c r="A305" i="37"/>
  <c r="B305" i="37"/>
  <c r="C305" i="37"/>
  <c r="F305" i="37"/>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7" i="19"/>
  <c r="B7" i="19"/>
  <c r="C7" i="19"/>
  <c r="H7" i="19"/>
  <c r="I7" i="19"/>
  <c r="J7" i="19"/>
  <c r="E7" i="19"/>
  <c r="M7" i="19"/>
  <c r="D7" i="19"/>
  <c r="F7" i="19"/>
  <c r="G7" i="19"/>
  <c r="N7" i="19"/>
  <c r="K7" i="19"/>
  <c r="Q7" i="19"/>
  <c r="C7" i="25" s="1"/>
  <c r="A8" i="19"/>
  <c r="B8" i="19"/>
  <c r="C8" i="19"/>
  <c r="H8" i="19"/>
  <c r="I8" i="19"/>
  <c r="J8" i="19"/>
  <c r="E8" i="19"/>
  <c r="M8" i="19"/>
  <c r="D8" i="19"/>
  <c r="F8" i="19"/>
  <c r="G8" i="19"/>
  <c r="N8" i="19"/>
  <c r="K8" i="19"/>
  <c r="Q8" i="19"/>
  <c r="C8" i="25" s="1"/>
  <c r="A9" i="19"/>
  <c r="B9" i="19"/>
  <c r="C9" i="19"/>
  <c r="H9" i="19"/>
  <c r="I9" i="19"/>
  <c r="J9" i="19"/>
  <c r="E9" i="19"/>
  <c r="M9" i="19"/>
  <c r="D9" i="19"/>
  <c r="F9" i="19"/>
  <c r="G9" i="19"/>
  <c r="N9" i="19"/>
  <c r="K9" i="19"/>
  <c r="Q9" i="19"/>
  <c r="C9" i="25" s="1"/>
  <c r="A10" i="19"/>
  <c r="B10" i="19"/>
  <c r="C10" i="19"/>
  <c r="H10" i="19"/>
  <c r="I10" i="19"/>
  <c r="J10" i="19"/>
  <c r="E10" i="19"/>
  <c r="M10" i="19"/>
  <c r="D10" i="19"/>
  <c r="F10" i="19"/>
  <c r="G10" i="19"/>
  <c r="N10" i="19"/>
  <c r="K10" i="19"/>
  <c r="Q10" i="19"/>
  <c r="C10" i="25" s="1"/>
  <c r="A11" i="19"/>
  <c r="B11" i="19"/>
  <c r="C11" i="19"/>
  <c r="H11" i="19"/>
  <c r="I11" i="19"/>
  <c r="J11" i="19"/>
  <c r="E11" i="19"/>
  <c r="M11" i="19"/>
  <c r="D11" i="19"/>
  <c r="F11" i="19"/>
  <c r="G11" i="19"/>
  <c r="N11" i="19"/>
  <c r="K11" i="19"/>
  <c r="Q11" i="19"/>
  <c r="C11" i="25" s="1"/>
  <c r="A12" i="19"/>
  <c r="B12" i="19"/>
  <c r="C12" i="19"/>
  <c r="H12" i="19"/>
  <c r="I12" i="19"/>
  <c r="J12" i="19"/>
  <c r="E12" i="19"/>
  <c r="M12" i="19"/>
  <c r="D12" i="19"/>
  <c r="F12" i="19"/>
  <c r="G12" i="19"/>
  <c r="N12" i="19"/>
  <c r="K12" i="19"/>
  <c r="Q12" i="19"/>
  <c r="C12" i="25" s="1"/>
  <c r="A13" i="19"/>
  <c r="B13" i="19"/>
  <c r="C13" i="19"/>
  <c r="H13" i="19"/>
  <c r="I13" i="19"/>
  <c r="J13" i="19"/>
  <c r="E13" i="19"/>
  <c r="M13" i="19"/>
  <c r="D13" i="19"/>
  <c r="F13" i="19"/>
  <c r="G13" i="19"/>
  <c r="N13" i="19"/>
  <c r="K13" i="19"/>
  <c r="Q13" i="19"/>
  <c r="C13" i="25" s="1"/>
  <c r="A14" i="19"/>
  <c r="B14" i="19"/>
  <c r="C14" i="19"/>
  <c r="H14" i="19"/>
  <c r="I14" i="19"/>
  <c r="J14" i="19"/>
  <c r="E14" i="19"/>
  <c r="M14" i="19"/>
  <c r="D14" i="19"/>
  <c r="F14" i="19"/>
  <c r="G14" i="19"/>
  <c r="N14" i="19"/>
  <c r="K14" i="19"/>
  <c r="Q14" i="19"/>
  <c r="C14" i="25" s="1"/>
  <c r="A15" i="19"/>
  <c r="B15" i="19"/>
  <c r="C15" i="19"/>
  <c r="H15" i="19"/>
  <c r="I15" i="19"/>
  <c r="J15" i="19"/>
  <c r="E15" i="19"/>
  <c r="M15" i="19"/>
  <c r="D15" i="19"/>
  <c r="F15" i="19"/>
  <c r="G15" i="19"/>
  <c r="N15" i="19"/>
  <c r="K15" i="19"/>
  <c r="Q15" i="19"/>
  <c r="C15" i="25" s="1"/>
  <c r="A16" i="19"/>
  <c r="B16" i="19"/>
  <c r="C16" i="19"/>
  <c r="H16" i="19"/>
  <c r="I16" i="19"/>
  <c r="J16" i="19"/>
  <c r="E16" i="19"/>
  <c r="M16" i="19"/>
  <c r="D16" i="19"/>
  <c r="F16" i="19"/>
  <c r="G16" i="19"/>
  <c r="N16" i="19"/>
  <c r="K16" i="19"/>
  <c r="Q16" i="19"/>
  <c r="C16" i="25" s="1"/>
  <c r="A17" i="19"/>
  <c r="B17" i="19"/>
  <c r="C17" i="19"/>
  <c r="H17" i="19"/>
  <c r="I17" i="19"/>
  <c r="J17" i="19"/>
  <c r="E17" i="19"/>
  <c r="M17" i="19"/>
  <c r="D17" i="19"/>
  <c r="F17" i="19"/>
  <c r="G17" i="19"/>
  <c r="N17" i="19"/>
  <c r="K17" i="19"/>
  <c r="Q17" i="19"/>
  <c r="C17" i="25" s="1"/>
  <c r="A18" i="19"/>
  <c r="B18" i="19"/>
  <c r="C18" i="19"/>
  <c r="H18" i="19"/>
  <c r="I18" i="19"/>
  <c r="J18" i="19"/>
  <c r="E18" i="19"/>
  <c r="M18" i="19"/>
  <c r="D18" i="19"/>
  <c r="F18" i="19"/>
  <c r="G18" i="19"/>
  <c r="N18" i="19"/>
  <c r="K18" i="19"/>
  <c r="Q18" i="19"/>
  <c r="C18" i="25" s="1"/>
  <c r="A19" i="19"/>
  <c r="B19" i="19"/>
  <c r="C19" i="19"/>
  <c r="H19" i="19"/>
  <c r="I19" i="19"/>
  <c r="J19" i="19"/>
  <c r="E19" i="19"/>
  <c r="M19" i="19"/>
  <c r="D19" i="19"/>
  <c r="F19" i="19"/>
  <c r="G19" i="19"/>
  <c r="N19" i="19"/>
  <c r="K19" i="19"/>
  <c r="Q19" i="19"/>
  <c r="C19" i="25" s="1"/>
  <c r="A20" i="19"/>
  <c r="B20" i="19"/>
  <c r="C20" i="19"/>
  <c r="H20" i="19"/>
  <c r="I20" i="19"/>
  <c r="J20" i="19"/>
  <c r="E20" i="19"/>
  <c r="M20" i="19"/>
  <c r="D20" i="19"/>
  <c r="F20" i="19"/>
  <c r="G20" i="19"/>
  <c r="N20" i="19"/>
  <c r="K20" i="19"/>
  <c r="Q20" i="19"/>
  <c r="C20" i="25" s="1"/>
  <c r="A21" i="19"/>
  <c r="B21" i="19"/>
  <c r="C21" i="19"/>
  <c r="H21" i="19"/>
  <c r="I21" i="19"/>
  <c r="J21" i="19"/>
  <c r="E21" i="19"/>
  <c r="M21" i="19"/>
  <c r="D21" i="19"/>
  <c r="F21" i="19"/>
  <c r="G21" i="19"/>
  <c r="N21" i="19"/>
  <c r="K21" i="19"/>
  <c r="Q21" i="19"/>
  <c r="C21" i="25" s="1"/>
  <c r="A22" i="19"/>
  <c r="B22" i="19"/>
  <c r="C22" i="19"/>
  <c r="H22" i="19"/>
  <c r="I22" i="19"/>
  <c r="J22" i="19"/>
  <c r="E22" i="19"/>
  <c r="M22" i="19"/>
  <c r="D22" i="19"/>
  <c r="F22" i="19"/>
  <c r="G22" i="19"/>
  <c r="N22" i="19"/>
  <c r="K22" i="19"/>
  <c r="Q22" i="19"/>
  <c r="C22" i="25" s="1"/>
  <c r="A23" i="19"/>
  <c r="B23" i="19"/>
  <c r="C23" i="19"/>
  <c r="H23" i="19"/>
  <c r="I23" i="19"/>
  <c r="J23" i="19"/>
  <c r="E23" i="19"/>
  <c r="M23" i="19"/>
  <c r="D23" i="19"/>
  <c r="F23" i="19"/>
  <c r="G23" i="19"/>
  <c r="N23" i="19"/>
  <c r="K23" i="19"/>
  <c r="Q23" i="19"/>
  <c r="C23" i="25" s="1"/>
  <c r="A24" i="19"/>
  <c r="B24" i="19"/>
  <c r="C24" i="19"/>
  <c r="H24" i="19"/>
  <c r="I24" i="19"/>
  <c r="J24" i="19"/>
  <c r="E24" i="19"/>
  <c r="M24" i="19"/>
  <c r="D24" i="19"/>
  <c r="F24" i="19"/>
  <c r="G24" i="19"/>
  <c r="N24" i="19"/>
  <c r="K24" i="19"/>
  <c r="Q24" i="19"/>
  <c r="C24" i="25" s="1"/>
  <c r="A25" i="19"/>
  <c r="B25" i="19"/>
  <c r="C25" i="19"/>
  <c r="H25" i="19"/>
  <c r="I25" i="19"/>
  <c r="J25" i="19"/>
  <c r="E25" i="19"/>
  <c r="M25" i="19"/>
  <c r="D25" i="19"/>
  <c r="F25" i="19"/>
  <c r="G25" i="19"/>
  <c r="N25" i="19"/>
  <c r="K25" i="19"/>
  <c r="Q25" i="19"/>
  <c r="C25" i="25" s="1"/>
  <c r="A26" i="19"/>
  <c r="B26" i="19"/>
  <c r="C26" i="19"/>
  <c r="H26" i="19"/>
  <c r="I26" i="19"/>
  <c r="J26" i="19"/>
  <c r="E26" i="19"/>
  <c r="M26" i="19"/>
  <c r="D26" i="19"/>
  <c r="F26" i="19"/>
  <c r="G26" i="19"/>
  <c r="N26" i="19"/>
  <c r="K26" i="19"/>
  <c r="Q26" i="19"/>
  <c r="C26" i="25" s="1"/>
  <c r="A27" i="19"/>
  <c r="B27" i="19"/>
  <c r="C27" i="19"/>
  <c r="H27" i="19"/>
  <c r="I27" i="19"/>
  <c r="J27" i="19"/>
  <c r="E27" i="19"/>
  <c r="M27" i="19"/>
  <c r="D27" i="19"/>
  <c r="F27" i="19"/>
  <c r="G27" i="19"/>
  <c r="N27" i="19"/>
  <c r="K27" i="19"/>
  <c r="Q27" i="19"/>
  <c r="C27" i="25" s="1"/>
  <c r="A28" i="19"/>
  <c r="B28" i="19"/>
  <c r="C28" i="19"/>
  <c r="H28" i="19"/>
  <c r="I28" i="19"/>
  <c r="J28" i="19"/>
  <c r="E28" i="19"/>
  <c r="M28" i="19"/>
  <c r="D28" i="19"/>
  <c r="F28" i="19"/>
  <c r="G28" i="19"/>
  <c r="N28" i="19"/>
  <c r="K28" i="19"/>
  <c r="Q28" i="19"/>
  <c r="C28" i="25" s="1"/>
  <c r="A29" i="19"/>
  <c r="B29" i="19"/>
  <c r="C29" i="19"/>
  <c r="H29" i="19"/>
  <c r="I29" i="19"/>
  <c r="J29" i="19"/>
  <c r="E29" i="19"/>
  <c r="M29" i="19"/>
  <c r="D29" i="19"/>
  <c r="F29" i="19"/>
  <c r="G29" i="19"/>
  <c r="N29" i="19"/>
  <c r="K29" i="19"/>
  <c r="Q29" i="19"/>
  <c r="C29" i="25" s="1"/>
  <c r="A30" i="19"/>
  <c r="B30" i="19"/>
  <c r="C30" i="19"/>
  <c r="H30" i="19"/>
  <c r="I30" i="19"/>
  <c r="J30" i="19"/>
  <c r="E30" i="19"/>
  <c r="M30" i="19"/>
  <c r="D30" i="19"/>
  <c r="F30" i="19"/>
  <c r="G30" i="19"/>
  <c r="N30" i="19"/>
  <c r="K30" i="19"/>
  <c r="Q30" i="19"/>
  <c r="C30" i="25" s="1"/>
  <c r="A31" i="19"/>
  <c r="B31" i="19"/>
  <c r="C31" i="19"/>
  <c r="H31" i="19"/>
  <c r="I31" i="19"/>
  <c r="J31" i="19"/>
  <c r="E31" i="19"/>
  <c r="M31" i="19"/>
  <c r="D31" i="19"/>
  <c r="F31" i="19"/>
  <c r="G31" i="19"/>
  <c r="N31" i="19"/>
  <c r="K31" i="19"/>
  <c r="Q31" i="19"/>
  <c r="C31" i="25" s="1"/>
  <c r="A32" i="19"/>
  <c r="B32" i="19"/>
  <c r="C32" i="19"/>
  <c r="H32" i="19"/>
  <c r="I32" i="19"/>
  <c r="J32" i="19"/>
  <c r="E32" i="19"/>
  <c r="M32" i="19"/>
  <c r="D32" i="19"/>
  <c r="F32" i="19"/>
  <c r="G32" i="19"/>
  <c r="N32" i="19"/>
  <c r="K32" i="19"/>
  <c r="Q32" i="19"/>
  <c r="C32" i="25" s="1"/>
  <c r="A33" i="19"/>
  <c r="B33" i="19"/>
  <c r="C33" i="19"/>
  <c r="H33" i="19"/>
  <c r="I33" i="19"/>
  <c r="J33" i="19"/>
  <c r="E33" i="19"/>
  <c r="M33" i="19"/>
  <c r="D33" i="19"/>
  <c r="F33" i="19"/>
  <c r="G33" i="19"/>
  <c r="N33" i="19"/>
  <c r="K33" i="19"/>
  <c r="Q33" i="19"/>
  <c r="C33" i="25" s="1"/>
  <c r="A34" i="19"/>
  <c r="B34" i="19"/>
  <c r="C34" i="19"/>
  <c r="H34" i="19"/>
  <c r="I34" i="19"/>
  <c r="J34" i="19"/>
  <c r="E34" i="19"/>
  <c r="M34" i="19"/>
  <c r="D34" i="19"/>
  <c r="F34" i="19"/>
  <c r="G34" i="19"/>
  <c r="N34" i="19"/>
  <c r="K34" i="19"/>
  <c r="Q34" i="19"/>
  <c r="C34" i="25" s="1"/>
  <c r="A35" i="19"/>
  <c r="B35" i="19"/>
  <c r="C35" i="19"/>
  <c r="H35" i="19"/>
  <c r="I35" i="19"/>
  <c r="J35" i="19"/>
  <c r="E35" i="19"/>
  <c r="M35" i="19"/>
  <c r="D35" i="19"/>
  <c r="F35" i="19"/>
  <c r="G35" i="19"/>
  <c r="N35" i="19"/>
  <c r="K35" i="19"/>
  <c r="Q35" i="19"/>
  <c r="C35" i="25" s="1"/>
  <c r="A36" i="19"/>
  <c r="B36" i="19"/>
  <c r="C36" i="19"/>
  <c r="H36" i="19"/>
  <c r="I36" i="19"/>
  <c r="J36" i="19"/>
  <c r="E36" i="19"/>
  <c r="M36" i="19"/>
  <c r="D36" i="19"/>
  <c r="F36" i="19"/>
  <c r="G36" i="19"/>
  <c r="N36" i="19"/>
  <c r="K36" i="19"/>
  <c r="Q36" i="19"/>
  <c r="C36" i="25" s="1"/>
  <c r="A37" i="19"/>
  <c r="B37" i="19"/>
  <c r="C37" i="19"/>
  <c r="H37" i="19"/>
  <c r="I37" i="19"/>
  <c r="J37" i="19"/>
  <c r="E37" i="19"/>
  <c r="M37" i="19"/>
  <c r="D37" i="19"/>
  <c r="F37" i="19"/>
  <c r="G37" i="19"/>
  <c r="N37" i="19"/>
  <c r="K37" i="19"/>
  <c r="Q37" i="19"/>
  <c r="C37" i="25" s="1"/>
  <c r="A38" i="19"/>
  <c r="B38" i="19"/>
  <c r="C38" i="19"/>
  <c r="H38" i="19"/>
  <c r="I38" i="19"/>
  <c r="J38" i="19"/>
  <c r="E38" i="19"/>
  <c r="M38" i="19"/>
  <c r="D38" i="19"/>
  <c r="F38" i="19"/>
  <c r="G38" i="19"/>
  <c r="N38" i="19"/>
  <c r="K38" i="19"/>
  <c r="Q38" i="19"/>
  <c r="C38" i="25" s="1"/>
  <c r="A39" i="19"/>
  <c r="B39" i="19"/>
  <c r="C39" i="19"/>
  <c r="H39" i="19"/>
  <c r="I39" i="19"/>
  <c r="J39" i="19"/>
  <c r="E39" i="19"/>
  <c r="M39" i="19"/>
  <c r="D39" i="19"/>
  <c r="F39" i="19"/>
  <c r="G39" i="19"/>
  <c r="N39" i="19"/>
  <c r="K39" i="19"/>
  <c r="Q39" i="19"/>
  <c r="C39" i="25" s="1"/>
  <c r="A40" i="19"/>
  <c r="B40" i="19"/>
  <c r="C40" i="19"/>
  <c r="H40" i="19"/>
  <c r="I40" i="19"/>
  <c r="J40" i="19"/>
  <c r="E40" i="19"/>
  <c r="M40" i="19"/>
  <c r="D40" i="19"/>
  <c r="F40" i="19"/>
  <c r="G40" i="19"/>
  <c r="N40" i="19"/>
  <c r="K40" i="19"/>
  <c r="Q40" i="19"/>
  <c r="C40" i="25" s="1"/>
  <c r="A41" i="19"/>
  <c r="B41" i="19"/>
  <c r="C41" i="19"/>
  <c r="H41" i="19"/>
  <c r="I41" i="19"/>
  <c r="J41" i="19"/>
  <c r="E41" i="19"/>
  <c r="M41" i="19"/>
  <c r="D41" i="19"/>
  <c r="F41" i="19"/>
  <c r="G41" i="19"/>
  <c r="N41" i="19"/>
  <c r="K41" i="19"/>
  <c r="Q41" i="19"/>
  <c r="C41" i="25" s="1"/>
  <c r="A42" i="19"/>
  <c r="B42" i="19"/>
  <c r="C42" i="19"/>
  <c r="H42" i="19"/>
  <c r="I42" i="19"/>
  <c r="J42" i="19"/>
  <c r="E42" i="19"/>
  <c r="M42" i="19"/>
  <c r="D42" i="19"/>
  <c r="F42" i="19"/>
  <c r="G42" i="19"/>
  <c r="N42" i="19"/>
  <c r="K42" i="19"/>
  <c r="Q42" i="19"/>
  <c r="C42" i="25" s="1"/>
  <c r="A43" i="19"/>
  <c r="B43" i="19"/>
  <c r="C43" i="19"/>
  <c r="H43" i="19"/>
  <c r="I43" i="19"/>
  <c r="J43" i="19"/>
  <c r="E43" i="19"/>
  <c r="M43" i="19"/>
  <c r="D43" i="19"/>
  <c r="F43" i="19"/>
  <c r="G43" i="19"/>
  <c r="N43" i="19"/>
  <c r="K43" i="19"/>
  <c r="Q43" i="19"/>
  <c r="C43" i="25" s="1"/>
  <c r="A44" i="19"/>
  <c r="B44" i="19"/>
  <c r="C44" i="19"/>
  <c r="H44" i="19"/>
  <c r="I44" i="19"/>
  <c r="J44" i="19"/>
  <c r="E44" i="19"/>
  <c r="M44" i="19"/>
  <c r="D44" i="19"/>
  <c r="F44" i="19"/>
  <c r="G44" i="19"/>
  <c r="N44" i="19"/>
  <c r="K44" i="19"/>
  <c r="Q44" i="19"/>
  <c r="C44" i="25" s="1"/>
  <c r="A45" i="19"/>
  <c r="B45" i="19"/>
  <c r="C45" i="19"/>
  <c r="H45" i="19"/>
  <c r="I45" i="19"/>
  <c r="J45" i="19"/>
  <c r="E45" i="19"/>
  <c r="M45" i="19"/>
  <c r="D45" i="19"/>
  <c r="F45" i="19"/>
  <c r="G45" i="19"/>
  <c r="N45" i="19"/>
  <c r="K45" i="19"/>
  <c r="Q45" i="19"/>
  <c r="C45" i="25" s="1"/>
  <c r="A46" i="19"/>
  <c r="B46" i="19"/>
  <c r="C46" i="19"/>
  <c r="H46" i="19"/>
  <c r="I46" i="19"/>
  <c r="J46" i="19"/>
  <c r="E46" i="19"/>
  <c r="M46" i="19"/>
  <c r="D46" i="19"/>
  <c r="F46" i="19"/>
  <c r="G46" i="19"/>
  <c r="N46" i="19"/>
  <c r="K46" i="19"/>
  <c r="Q46" i="19"/>
  <c r="C46" i="25" s="1"/>
  <c r="A47" i="19"/>
  <c r="B47" i="19"/>
  <c r="C47" i="19"/>
  <c r="H47" i="19"/>
  <c r="I47" i="19"/>
  <c r="J47" i="19"/>
  <c r="E47" i="19"/>
  <c r="M47" i="19"/>
  <c r="D47" i="19"/>
  <c r="F47" i="19"/>
  <c r="G47" i="19"/>
  <c r="N47" i="19"/>
  <c r="K47" i="19"/>
  <c r="Q47" i="19"/>
  <c r="C47" i="25" s="1"/>
  <c r="A48" i="19"/>
  <c r="B48" i="19"/>
  <c r="C48" i="19"/>
  <c r="H48" i="19"/>
  <c r="I48" i="19"/>
  <c r="J48" i="19"/>
  <c r="E48" i="19"/>
  <c r="M48" i="19"/>
  <c r="D48" i="19"/>
  <c r="F48" i="19"/>
  <c r="G48" i="19"/>
  <c r="N48" i="19"/>
  <c r="K48" i="19"/>
  <c r="Q48" i="19"/>
  <c r="C48" i="25" s="1"/>
  <c r="A49" i="19"/>
  <c r="B49" i="19"/>
  <c r="C49" i="19"/>
  <c r="H49" i="19"/>
  <c r="I49" i="19"/>
  <c r="J49" i="19"/>
  <c r="E49" i="19"/>
  <c r="M49" i="19"/>
  <c r="D49" i="19"/>
  <c r="F49" i="19"/>
  <c r="G49" i="19"/>
  <c r="N49" i="19"/>
  <c r="K49" i="19"/>
  <c r="Q49" i="19"/>
  <c r="C49" i="25" s="1"/>
  <c r="A50" i="19"/>
  <c r="B50" i="19"/>
  <c r="C50" i="19"/>
  <c r="H50" i="19"/>
  <c r="I50" i="19"/>
  <c r="J50" i="19"/>
  <c r="E50" i="19"/>
  <c r="M50" i="19"/>
  <c r="D50" i="19"/>
  <c r="F50" i="19"/>
  <c r="G50" i="19"/>
  <c r="N50" i="19"/>
  <c r="K50" i="19"/>
  <c r="Q50" i="19"/>
  <c r="C50" i="25" s="1"/>
  <c r="A51" i="19"/>
  <c r="B51" i="19"/>
  <c r="C51" i="19"/>
  <c r="H51" i="19"/>
  <c r="I51" i="19"/>
  <c r="J51" i="19"/>
  <c r="E51" i="19"/>
  <c r="M51" i="19"/>
  <c r="D51" i="19"/>
  <c r="F51" i="19"/>
  <c r="G51" i="19"/>
  <c r="N51" i="19"/>
  <c r="K51" i="19"/>
  <c r="Q51" i="19"/>
  <c r="C51" i="25" s="1"/>
  <c r="A52" i="19"/>
  <c r="B52" i="19"/>
  <c r="C52" i="19"/>
  <c r="H52" i="19"/>
  <c r="I52" i="19"/>
  <c r="J52" i="19"/>
  <c r="E52" i="19"/>
  <c r="M52" i="19"/>
  <c r="D52" i="19"/>
  <c r="F52" i="19"/>
  <c r="G52" i="19"/>
  <c r="N52" i="19"/>
  <c r="K52" i="19"/>
  <c r="Q52" i="19"/>
  <c r="C52" i="25" s="1"/>
  <c r="A53" i="19"/>
  <c r="B53" i="19"/>
  <c r="C53" i="19"/>
  <c r="H53" i="19"/>
  <c r="I53" i="19"/>
  <c r="J53" i="19"/>
  <c r="E53" i="19"/>
  <c r="M53" i="19"/>
  <c r="D53" i="19"/>
  <c r="F53" i="19"/>
  <c r="G53" i="19"/>
  <c r="N53" i="19"/>
  <c r="K53" i="19"/>
  <c r="Q53" i="19"/>
  <c r="C53" i="25" s="1"/>
  <c r="A54" i="19"/>
  <c r="B54" i="19"/>
  <c r="C54" i="19"/>
  <c r="H54" i="19"/>
  <c r="I54" i="19"/>
  <c r="J54" i="19"/>
  <c r="E54" i="19"/>
  <c r="M54" i="19"/>
  <c r="D54" i="19"/>
  <c r="F54" i="19"/>
  <c r="G54" i="19"/>
  <c r="N54" i="19"/>
  <c r="K54" i="19"/>
  <c r="Q54" i="19"/>
  <c r="C54" i="25" s="1"/>
  <c r="A55" i="19"/>
  <c r="B55" i="19"/>
  <c r="C55" i="19"/>
  <c r="H55" i="19"/>
  <c r="I55" i="19"/>
  <c r="J55" i="19"/>
  <c r="E55" i="19"/>
  <c r="M55" i="19"/>
  <c r="D55" i="19"/>
  <c r="F55" i="19"/>
  <c r="G55" i="19"/>
  <c r="N55" i="19"/>
  <c r="K55" i="19"/>
  <c r="Q55" i="19"/>
  <c r="C55" i="25" s="1"/>
  <c r="A56" i="19"/>
  <c r="B56" i="19"/>
  <c r="C56" i="19"/>
  <c r="H56" i="19"/>
  <c r="I56" i="19"/>
  <c r="J56" i="19"/>
  <c r="E56" i="19"/>
  <c r="M56" i="19"/>
  <c r="D56" i="19"/>
  <c r="F56" i="19"/>
  <c r="G56" i="19"/>
  <c r="N56" i="19"/>
  <c r="K56" i="19"/>
  <c r="Q56" i="19"/>
  <c r="C56" i="25" s="1"/>
  <c r="A57" i="19"/>
  <c r="B57" i="19"/>
  <c r="C57" i="19"/>
  <c r="H57" i="19"/>
  <c r="I57" i="19"/>
  <c r="J57" i="19"/>
  <c r="E57" i="19"/>
  <c r="M57" i="19"/>
  <c r="D57" i="19"/>
  <c r="F57" i="19"/>
  <c r="G57" i="19"/>
  <c r="N57" i="19"/>
  <c r="K57" i="19"/>
  <c r="Q57" i="19"/>
  <c r="C57" i="25" s="1"/>
  <c r="A58" i="19"/>
  <c r="B58" i="19"/>
  <c r="C58" i="19"/>
  <c r="H58" i="19"/>
  <c r="I58" i="19"/>
  <c r="J58" i="19"/>
  <c r="E58" i="19"/>
  <c r="M58" i="19"/>
  <c r="D58" i="19"/>
  <c r="F58" i="19"/>
  <c r="G58" i="19"/>
  <c r="N58" i="19"/>
  <c r="K58" i="19"/>
  <c r="Q58" i="19"/>
  <c r="C58" i="25" s="1"/>
  <c r="A59" i="19"/>
  <c r="B59" i="19"/>
  <c r="C59" i="19"/>
  <c r="H59" i="19"/>
  <c r="I59" i="19"/>
  <c r="J59" i="19"/>
  <c r="E59" i="19"/>
  <c r="M59" i="19"/>
  <c r="D59" i="19"/>
  <c r="F59" i="19"/>
  <c r="G59" i="19"/>
  <c r="N59" i="19"/>
  <c r="K59" i="19"/>
  <c r="Q59" i="19"/>
  <c r="C59" i="25" s="1"/>
  <c r="A60" i="19"/>
  <c r="B60" i="19"/>
  <c r="C60" i="19"/>
  <c r="H60" i="19"/>
  <c r="I60" i="19"/>
  <c r="J60" i="19"/>
  <c r="E60" i="19"/>
  <c r="M60" i="19"/>
  <c r="D60" i="19"/>
  <c r="F60" i="19"/>
  <c r="G60" i="19"/>
  <c r="N60" i="19"/>
  <c r="K60" i="19"/>
  <c r="Q60" i="19"/>
  <c r="C60" i="25" s="1"/>
  <c r="A61" i="19"/>
  <c r="B61" i="19"/>
  <c r="C61" i="19"/>
  <c r="H61" i="19"/>
  <c r="I61" i="19"/>
  <c r="J61" i="19"/>
  <c r="E61" i="19"/>
  <c r="M61" i="19"/>
  <c r="D61" i="19"/>
  <c r="F61" i="19"/>
  <c r="G61" i="19"/>
  <c r="N61" i="19"/>
  <c r="K61" i="19"/>
  <c r="Q61" i="19"/>
  <c r="C61" i="25" s="1"/>
  <c r="A62" i="19"/>
  <c r="B62" i="19"/>
  <c r="C62" i="19"/>
  <c r="H62" i="19"/>
  <c r="I62" i="19"/>
  <c r="J62" i="19"/>
  <c r="E62" i="19"/>
  <c r="M62" i="19"/>
  <c r="D62" i="19"/>
  <c r="F62" i="19"/>
  <c r="G62" i="19"/>
  <c r="N62" i="19"/>
  <c r="K62" i="19"/>
  <c r="Q62" i="19"/>
  <c r="C62" i="25" s="1"/>
  <c r="A63" i="19"/>
  <c r="B63" i="19"/>
  <c r="C63" i="19"/>
  <c r="H63" i="19"/>
  <c r="I63" i="19"/>
  <c r="J63" i="19"/>
  <c r="E63" i="19"/>
  <c r="M63" i="19"/>
  <c r="D63" i="19"/>
  <c r="F63" i="19"/>
  <c r="G63" i="19"/>
  <c r="N63" i="19"/>
  <c r="K63" i="19"/>
  <c r="Q63" i="19"/>
  <c r="C63" i="25" s="1"/>
  <c r="A64" i="19"/>
  <c r="B64" i="19"/>
  <c r="C64" i="19"/>
  <c r="H64" i="19"/>
  <c r="I64" i="19"/>
  <c r="J64" i="19"/>
  <c r="E64" i="19"/>
  <c r="M64" i="19"/>
  <c r="D64" i="19"/>
  <c r="F64" i="19"/>
  <c r="G64" i="19"/>
  <c r="N64" i="19"/>
  <c r="K64" i="19"/>
  <c r="Q64" i="19"/>
  <c r="C64" i="25" s="1"/>
  <c r="A65" i="19"/>
  <c r="B65" i="19"/>
  <c r="C65" i="19"/>
  <c r="H65" i="19"/>
  <c r="I65" i="19"/>
  <c r="J65" i="19"/>
  <c r="E65" i="19"/>
  <c r="M65" i="19"/>
  <c r="D65" i="19"/>
  <c r="F65" i="19"/>
  <c r="G65" i="19"/>
  <c r="N65" i="19"/>
  <c r="K65" i="19"/>
  <c r="Q65" i="19"/>
  <c r="C65" i="25" s="1"/>
  <c r="A66" i="19"/>
  <c r="B66" i="19"/>
  <c r="C66" i="19"/>
  <c r="H66" i="19"/>
  <c r="I66" i="19"/>
  <c r="J66" i="19"/>
  <c r="E66" i="19"/>
  <c r="M66" i="19"/>
  <c r="D66" i="19"/>
  <c r="F66" i="19"/>
  <c r="G66" i="19"/>
  <c r="N66" i="19"/>
  <c r="K66" i="19"/>
  <c r="Q66" i="19"/>
  <c r="C66" i="25" s="1"/>
  <c r="A67" i="19"/>
  <c r="B67" i="19"/>
  <c r="C67" i="19"/>
  <c r="H67" i="19"/>
  <c r="I67" i="19"/>
  <c r="J67" i="19"/>
  <c r="E67" i="19"/>
  <c r="M67" i="19"/>
  <c r="D67" i="19"/>
  <c r="F67" i="19"/>
  <c r="G67" i="19"/>
  <c r="N67" i="19"/>
  <c r="K67" i="19"/>
  <c r="Q67" i="19"/>
  <c r="C67" i="25" s="1"/>
  <c r="A68" i="19"/>
  <c r="B68" i="19"/>
  <c r="C68" i="19"/>
  <c r="H68" i="19"/>
  <c r="I68" i="19"/>
  <c r="J68" i="19"/>
  <c r="E68" i="19"/>
  <c r="M68" i="19"/>
  <c r="D68" i="19"/>
  <c r="F68" i="19"/>
  <c r="G68" i="19"/>
  <c r="N68" i="19"/>
  <c r="K68" i="19"/>
  <c r="Q68" i="19"/>
  <c r="C68" i="25" s="1"/>
  <c r="A69" i="19"/>
  <c r="B69" i="19"/>
  <c r="C69" i="19"/>
  <c r="H69" i="19"/>
  <c r="I69" i="19"/>
  <c r="J69" i="19"/>
  <c r="E69" i="19"/>
  <c r="M69" i="19"/>
  <c r="D69" i="19"/>
  <c r="F69" i="19"/>
  <c r="G69" i="19"/>
  <c r="N69" i="19"/>
  <c r="K69" i="19"/>
  <c r="Q69" i="19"/>
  <c r="C69" i="25" s="1"/>
  <c r="A70" i="19"/>
  <c r="B70" i="19"/>
  <c r="C70" i="19"/>
  <c r="H70" i="19"/>
  <c r="I70" i="19"/>
  <c r="J70" i="19"/>
  <c r="E70" i="19"/>
  <c r="M70" i="19"/>
  <c r="D70" i="19"/>
  <c r="F70" i="19"/>
  <c r="G70" i="19"/>
  <c r="N70" i="19"/>
  <c r="K70" i="19"/>
  <c r="Q70" i="19"/>
  <c r="C70" i="25" s="1"/>
  <c r="A71" i="19"/>
  <c r="B71" i="19"/>
  <c r="C71" i="19"/>
  <c r="H71" i="19"/>
  <c r="I71" i="19"/>
  <c r="J71" i="19"/>
  <c r="E71" i="19"/>
  <c r="M71" i="19"/>
  <c r="D71" i="19"/>
  <c r="F71" i="19"/>
  <c r="G71" i="19"/>
  <c r="N71" i="19"/>
  <c r="K71" i="19"/>
  <c r="Q71" i="19"/>
  <c r="C71" i="25" s="1"/>
  <c r="A72" i="19"/>
  <c r="B72" i="19"/>
  <c r="C72" i="19"/>
  <c r="H72" i="19"/>
  <c r="I72" i="19"/>
  <c r="J72" i="19"/>
  <c r="E72" i="19"/>
  <c r="M72" i="19"/>
  <c r="D72" i="19"/>
  <c r="F72" i="19"/>
  <c r="G72" i="19"/>
  <c r="N72" i="19"/>
  <c r="K72" i="19"/>
  <c r="Q72" i="19"/>
  <c r="C72" i="25" s="1"/>
  <c r="A73" i="19"/>
  <c r="B73" i="19"/>
  <c r="C73" i="19"/>
  <c r="H73" i="19"/>
  <c r="I73" i="19"/>
  <c r="J73" i="19"/>
  <c r="E73" i="19"/>
  <c r="M73" i="19"/>
  <c r="D73" i="19"/>
  <c r="F73" i="19"/>
  <c r="G73" i="19"/>
  <c r="N73" i="19"/>
  <c r="K73" i="19"/>
  <c r="Q73" i="19"/>
  <c r="C73" i="25" s="1"/>
  <c r="A74" i="19"/>
  <c r="B74" i="19"/>
  <c r="C74" i="19"/>
  <c r="H74" i="19"/>
  <c r="I74" i="19"/>
  <c r="J74" i="19"/>
  <c r="E74" i="19"/>
  <c r="M74" i="19"/>
  <c r="D74" i="19"/>
  <c r="F74" i="19"/>
  <c r="G74" i="19"/>
  <c r="N74" i="19"/>
  <c r="K74" i="19"/>
  <c r="Q74" i="19"/>
  <c r="C74" i="25" s="1"/>
  <c r="A75" i="19"/>
  <c r="B75" i="19"/>
  <c r="C75" i="19"/>
  <c r="H75" i="19"/>
  <c r="I75" i="19"/>
  <c r="J75" i="19"/>
  <c r="E75" i="19"/>
  <c r="M75" i="19"/>
  <c r="D75" i="19"/>
  <c r="F75" i="19"/>
  <c r="G75" i="19"/>
  <c r="N75" i="19"/>
  <c r="K75" i="19"/>
  <c r="Q75" i="19"/>
  <c r="C75" i="25" s="1"/>
  <c r="A76" i="19"/>
  <c r="B76" i="19"/>
  <c r="C76" i="19"/>
  <c r="H76" i="19"/>
  <c r="I76" i="19"/>
  <c r="J76" i="19"/>
  <c r="E76" i="19"/>
  <c r="M76" i="19"/>
  <c r="D76" i="19"/>
  <c r="F76" i="19"/>
  <c r="G76" i="19"/>
  <c r="N76" i="19"/>
  <c r="K76" i="19"/>
  <c r="Q76" i="19"/>
  <c r="C76" i="25" s="1"/>
  <c r="A77" i="19"/>
  <c r="B77" i="19"/>
  <c r="C77" i="19"/>
  <c r="H77" i="19"/>
  <c r="I77" i="19"/>
  <c r="J77" i="19"/>
  <c r="E77" i="19"/>
  <c r="M77" i="19"/>
  <c r="D77" i="19"/>
  <c r="F77" i="19"/>
  <c r="G77" i="19"/>
  <c r="N77" i="19"/>
  <c r="K77" i="19"/>
  <c r="Q77" i="19"/>
  <c r="C77" i="25" s="1"/>
  <c r="A78" i="19"/>
  <c r="B78" i="19"/>
  <c r="C78" i="19"/>
  <c r="H78" i="19"/>
  <c r="I78" i="19"/>
  <c r="J78" i="19"/>
  <c r="E78" i="19"/>
  <c r="M78" i="19"/>
  <c r="D78" i="19"/>
  <c r="F78" i="19"/>
  <c r="G78" i="19"/>
  <c r="N78" i="19"/>
  <c r="K78" i="19"/>
  <c r="Q78" i="19"/>
  <c r="C78" i="25" s="1"/>
  <c r="A79" i="19"/>
  <c r="B79" i="19"/>
  <c r="C79" i="19"/>
  <c r="H79" i="19"/>
  <c r="I79" i="19"/>
  <c r="J79" i="19"/>
  <c r="E79" i="19"/>
  <c r="M79" i="19"/>
  <c r="D79" i="19"/>
  <c r="F79" i="19"/>
  <c r="G79" i="19"/>
  <c r="N79" i="19"/>
  <c r="K79" i="19"/>
  <c r="Q79" i="19"/>
  <c r="C79" i="25" s="1"/>
  <c r="A80" i="19"/>
  <c r="B80" i="19"/>
  <c r="C80" i="19"/>
  <c r="H80" i="19"/>
  <c r="I80" i="19"/>
  <c r="J80" i="19"/>
  <c r="E80" i="19"/>
  <c r="M80" i="19"/>
  <c r="D80" i="19"/>
  <c r="F80" i="19"/>
  <c r="G80" i="19"/>
  <c r="N80" i="19"/>
  <c r="K80" i="19"/>
  <c r="Q80" i="19"/>
  <c r="C80" i="25" s="1"/>
  <c r="A81" i="19"/>
  <c r="B81" i="19"/>
  <c r="C81" i="19"/>
  <c r="H81" i="19"/>
  <c r="I81" i="19"/>
  <c r="J81" i="19"/>
  <c r="E81" i="19"/>
  <c r="M81" i="19"/>
  <c r="D81" i="19"/>
  <c r="F81" i="19"/>
  <c r="G81" i="19"/>
  <c r="N81" i="19"/>
  <c r="K81" i="19"/>
  <c r="Q81" i="19"/>
  <c r="C81" i="25" s="1"/>
  <c r="A82" i="19"/>
  <c r="B82" i="19"/>
  <c r="C82" i="19"/>
  <c r="H82" i="19"/>
  <c r="I82" i="19"/>
  <c r="J82" i="19"/>
  <c r="E82" i="19"/>
  <c r="M82" i="19"/>
  <c r="D82" i="19"/>
  <c r="F82" i="19"/>
  <c r="G82" i="19"/>
  <c r="N82" i="19"/>
  <c r="K82" i="19"/>
  <c r="Q82" i="19"/>
  <c r="C82" i="25" s="1"/>
  <c r="A83" i="19"/>
  <c r="B83" i="19"/>
  <c r="C83" i="19"/>
  <c r="H83" i="19"/>
  <c r="I83" i="19"/>
  <c r="J83" i="19"/>
  <c r="E83" i="19"/>
  <c r="M83" i="19"/>
  <c r="D83" i="19"/>
  <c r="F83" i="19"/>
  <c r="G83" i="19"/>
  <c r="N83" i="19"/>
  <c r="K83" i="19"/>
  <c r="Q83" i="19"/>
  <c r="C83" i="25" s="1"/>
  <c r="A84" i="19"/>
  <c r="B84" i="19"/>
  <c r="C84" i="19"/>
  <c r="H84" i="19"/>
  <c r="I84" i="19"/>
  <c r="J84" i="19"/>
  <c r="E84" i="19"/>
  <c r="M84" i="19"/>
  <c r="D84" i="19"/>
  <c r="F84" i="19"/>
  <c r="G84" i="19"/>
  <c r="N84" i="19"/>
  <c r="K84" i="19"/>
  <c r="Q84" i="19"/>
  <c r="C84" i="25" s="1"/>
  <c r="A85" i="19"/>
  <c r="B85" i="19"/>
  <c r="C85" i="19"/>
  <c r="H85" i="19"/>
  <c r="I85" i="19"/>
  <c r="J85" i="19"/>
  <c r="E85" i="19"/>
  <c r="M85" i="19"/>
  <c r="D85" i="19"/>
  <c r="F85" i="19"/>
  <c r="G85" i="19"/>
  <c r="N85" i="19"/>
  <c r="K85" i="19"/>
  <c r="Q85" i="19"/>
  <c r="C85" i="25" s="1"/>
  <c r="A86" i="19"/>
  <c r="B86" i="19"/>
  <c r="C86" i="19"/>
  <c r="H86" i="19"/>
  <c r="I86" i="19"/>
  <c r="J86" i="19"/>
  <c r="E86" i="19"/>
  <c r="M86" i="19"/>
  <c r="D86" i="19"/>
  <c r="F86" i="19"/>
  <c r="G86" i="19"/>
  <c r="N86" i="19"/>
  <c r="K86" i="19"/>
  <c r="Q86" i="19"/>
  <c r="C86" i="25" s="1"/>
  <c r="A87" i="19"/>
  <c r="B87" i="19"/>
  <c r="C87" i="19"/>
  <c r="H87" i="19"/>
  <c r="I87" i="19"/>
  <c r="J87" i="19"/>
  <c r="E87" i="19"/>
  <c r="M87" i="19"/>
  <c r="D87" i="19"/>
  <c r="F87" i="19"/>
  <c r="G87" i="19"/>
  <c r="N87" i="19"/>
  <c r="K87" i="19"/>
  <c r="Q87" i="19"/>
  <c r="C87" i="25" s="1"/>
  <c r="A88" i="19"/>
  <c r="B88" i="19"/>
  <c r="C88" i="19"/>
  <c r="H88" i="19"/>
  <c r="I88" i="19"/>
  <c r="J88" i="19"/>
  <c r="E88" i="19"/>
  <c r="M88" i="19"/>
  <c r="D88" i="19"/>
  <c r="F88" i="19"/>
  <c r="G88" i="19"/>
  <c r="N88" i="19"/>
  <c r="K88" i="19"/>
  <c r="Q88" i="19"/>
  <c r="C88" i="25" s="1"/>
  <c r="A89" i="19"/>
  <c r="B89" i="19"/>
  <c r="C89" i="19"/>
  <c r="H89" i="19"/>
  <c r="I89" i="19"/>
  <c r="J89" i="19"/>
  <c r="E89" i="19"/>
  <c r="M89" i="19"/>
  <c r="D89" i="19"/>
  <c r="F89" i="19"/>
  <c r="G89" i="19"/>
  <c r="N89" i="19"/>
  <c r="K89" i="19"/>
  <c r="Q89" i="19"/>
  <c r="C89" i="25" s="1"/>
  <c r="A90" i="19"/>
  <c r="B90" i="19"/>
  <c r="C90" i="19"/>
  <c r="H90" i="19"/>
  <c r="I90" i="19"/>
  <c r="J90" i="19"/>
  <c r="E90" i="19"/>
  <c r="M90" i="19"/>
  <c r="D90" i="19"/>
  <c r="F90" i="19"/>
  <c r="G90" i="19"/>
  <c r="N90" i="19"/>
  <c r="K90" i="19"/>
  <c r="Q90" i="19"/>
  <c r="C90" i="25" s="1"/>
  <c r="A91" i="19"/>
  <c r="B91" i="19"/>
  <c r="C91" i="19"/>
  <c r="H91" i="19"/>
  <c r="I91" i="19"/>
  <c r="J91" i="19"/>
  <c r="E91" i="19"/>
  <c r="M91" i="19"/>
  <c r="D91" i="19"/>
  <c r="F91" i="19"/>
  <c r="G91" i="19"/>
  <c r="N91" i="19"/>
  <c r="K91" i="19"/>
  <c r="Q91" i="19"/>
  <c r="C91" i="25" s="1"/>
  <c r="A92" i="19"/>
  <c r="B92" i="19"/>
  <c r="C92" i="19"/>
  <c r="H92" i="19"/>
  <c r="I92" i="19"/>
  <c r="J92" i="19"/>
  <c r="E92" i="19"/>
  <c r="M92" i="19"/>
  <c r="D92" i="19"/>
  <c r="F92" i="19"/>
  <c r="G92" i="19"/>
  <c r="N92" i="19"/>
  <c r="K92" i="19"/>
  <c r="Q92" i="19"/>
  <c r="C92" i="25" s="1"/>
  <c r="A93" i="19"/>
  <c r="B93" i="19"/>
  <c r="C93" i="19"/>
  <c r="H93" i="19"/>
  <c r="I93" i="19"/>
  <c r="J93" i="19"/>
  <c r="E93" i="19"/>
  <c r="M93" i="19"/>
  <c r="D93" i="19"/>
  <c r="F93" i="19"/>
  <c r="G93" i="19"/>
  <c r="N93" i="19"/>
  <c r="K93" i="19"/>
  <c r="Q93" i="19"/>
  <c r="C93" i="25" s="1"/>
  <c r="A94" i="19"/>
  <c r="B94" i="19"/>
  <c r="C94" i="19"/>
  <c r="H94" i="19"/>
  <c r="I94" i="19"/>
  <c r="J94" i="19"/>
  <c r="E94" i="19"/>
  <c r="M94" i="19"/>
  <c r="D94" i="19"/>
  <c r="F94" i="19"/>
  <c r="G94" i="19"/>
  <c r="N94" i="19"/>
  <c r="K94" i="19"/>
  <c r="Q94" i="19"/>
  <c r="C94" i="25" s="1"/>
  <c r="A95" i="19"/>
  <c r="B95" i="19"/>
  <c r="C95" i="19"/>
  <c r="H95" i="19"/>
  <c r="I95" i="19"/>
  <c r="J95" i="19"/>
  <c r="E95" i="19"/>
  <c r="M95" i="19"/>
  <c r="D95" i="19"/>
  <c r="F95" i="19"/>
  <c r="G95" i="19"/>
  <c r="N95" i="19"/>
  <c r="K95" i="19"/>
  <c r="Q95" i="19"/>
  <c r="C95" i="25" s="1"/>
  <c r="A96" i="19"/>
  <c r="B96" i="19"/>
  <c r="C96" i="19"/>
  <c r="H96" i="19"/>
  <c r="I96" i="19"/>
  <c r="J96" i="19"/>
  <c r="E96" i="19"/>
  <c r="M96" i="19"/>
  <c r="D96" i="19"/>
  <c r="F96" i="19"/>
  <c r="G96" i="19"/>
  <c r="N96" i="19"/>
  <c r="K96" i="19"/>
  <c r="Q96" i="19"/>
  <c r="C96" i="25" s="1"/>
  <c r="A97" i="19"/>
  <c r="B97" i="19"/>
  <c r="C97" i="19"/>
  <c r="H97" i="19"/>
  <c r="I97" i="19"/>
  <c r="J97" i="19"/>
  <c r="E97" i="19"/>
  <c r="M97" i="19"/>
  <c r="D97" i="19"/>
  <c r="F97" i="19"/>
  <c r="G97" i="19"/>
  <c r="N97" i="19"/>
  <c r="K97" i="19"/>
  <c r="Q97" i="19"/>
  <c r="C97" i="25" s="1"/>
  <c r="A98" i="19"/>
  <c r="B98" i="19"/>
  <c r="C98" i="19"/>
  <c r="H98" i="19"/>
  <c r="I98" i="19"/>
  <c r="J98" i="19"/>
  <c r="E98" i="19"/>
  <c r="M98" i="19"/>
  <c r="D98" i="19"/>
  <c r="F98" i="19"/>
  <c r="G98" i="19"/>
  <c r="N98" i="19"/>
  <c r="K98" i="19"/>
  <c r="Q98" i="19"/>
  <c r="C98" i="25" s="1"/>
  <c r="A99" i="19"/>
  <c r="B99" i="19"/>
  <c r="C99" i="19"/>
  <c r="H99" i="19"/>
  <c r="I99" i="19"/>
  <c r="J99" i="19"/>
  <c r="E99" i="19"/>
  <c r="M99" i="19"/>
  <c r="D99" i="19"/>
  <c r="F99" i="19"/>
  <c r="G99" i="19"/>
  <c r="N99" i="19"/>
  <c r="K99" i="19"/>
  <c r="Q99" i="19"/>
  <c r="C99" i="25" s="1"/>
  <c r="A100" i="19"/>
  <c r="B100" i="19"/>
  <c r="C100" i="19"/>
  <c r="H100" i="19"/>
  <c r="I100" i="19"/>
  <c r="J100" i="19"/>
  <c r="E100" i="19"/>
  <c r="M100" i="19"/>
  <c r="D100" i="19"/>
  <c r="F100" i="19"/>
  <c r="G100" i="19"/>
  <c r="N100" i="19"/>
  <c r="K100" i="19"/>
  <c r="Q100" i="19"/>
  <c r="C100" i="25" s="1"/>
  <c r="A101" i="19"/>
  <c r="B101" i="19"/>
  <c r="C101" i="19"/>
  <c r="H101" i="19"/>
  <c r="I101" i="19"/>
  <c r="J101" i="19"/>
  <c r="E101" i="19"/>
  <c r="M101" i="19"/>
  <c r="D101" i="19"/>
  <c r="F101" i="19"/>
  <c r="G101" i="19"/>
  <c r="N101" i="19"/>
  <c r="K101" i="19"/>
  <c r="Q101" i="19"/>
  <c r="C101" i="25" s="1"/>
  <c r="A102" i="19"/>
  <c r="B102" i="19"/>
  <c r="C102" i="19"/>
  <c r="H102" i="19"/>
  <c r="I102" i="19"/>
  <c r="J102" i="19"/>
  <c r="E102" i="19"/>
  <c r="M102" i="19"/>
  <c r="D102" i="19"/>
  <c r="F102" i="19"/>
  <c r="G102" i="19"/>
  <c r="N102" i="19"/>
  <c r="K102" i="19"/>
  <c r="Q102" i="19"/>
  <c r="C102" i="25" s="1"/>
  <c r="A103" i="19"/>
  <c r="B103" i="19"/>
  <c r="C103" i="19"/>
  <c r="H103" i="19"/>
  <c r="I103" i="19"/>
  <c r="J103" i="19"/>
  <c r="E103" i="19"/>
  <c r="M103" i="19"/>
  <c r="D103" i="19"/>
  <c r="F103" i="19"/>
  <c r="G103" i="19"/>
  <c r="N103" i="19"/>
  <c r="K103" i="19"/>
  <c r="Q103" i="19"/>
  <c r="C103" i="25" s="1"/>
  <c r="A104" i="19"/>
  <c r="B104" i="19"/>
  <c r="C104" i="19"/>
  <c r="H104" i="19"/>
  <c r="I104" i="19"/>
  <c r="J104" i="19"/>
  <c r="E104" i="19"/>
  <c r="M104" i="19"/>
  <c r="D104" i="19"/>
  <c r="F104" i="19"/>
  <c r="G104" i="19"/>
  <c r="N104" i="19"/>
  <c r="K104" i="19"/>
  <c r="Q104" i="19"/>
  <c r="C104" i="25" s="1"/>
  <c r="A105" i="19"/>
  <c r="B105" i="19"/>
  <c r="C105" i="19"/>
  <c r="H105" i="19"/>
  <c r="I105" i="19"/>
  <c r="J105" i="19"/>
  <c r="E105" i="19"/>
  <c r="M105" i="19"/>
  <c r="D105" i="19"/>
  <c r="F105" i="19"/>
  <c r="G105" i="19"/>
  <c r="N105" i="19"/>
  <c r="K105" i="19"/>
  <c r="Q105" i="19"/>
  <c r="C105" i="25" s="1"/>
  <c r="A106" i="19"/>
  <c r="B106" i="19"/>
  <c r="C106" i="19"/>
  <c r="H106" i="19"/>
  <c r="I106" i="19"/>
  <c r="J106" i="19"/>
  <c r="E106" i="19"/>
  <c r="M106" i="19"/>
  <c r="D106" i="19"/>
  <c r="F106" i="19"/>
  <c r="G106" i="19"/>
  <c r="N106" i="19"/>
  <c r="K106" i="19"/>
  <c r="Q106" i="19"/>
  <c r="C106" i="25" s="1"/>
  <c r="A107" i="19"/>
  <c r="B107" i="19"/>
  <c r="C107" i="19"/>
  <c r="H107" i="19"/>
  <c r="I107" i="19"/>
  <c r="J107" i="19"/>
  <c r="E107" i="19"/>
  <c r="M107" i="19"/>
  <c r="D107" i="19"/>
  <c r="F107" i="19"/>
  <c r="G107" i="19"/>
  <c r="N107" i="19"/>
  <c r="K107" i="19"/>
  <c r="Q107" i="19"/>
  <c r="C107" i="25" s="1"/>
  <c r="A108" i="19"/>
  <c r="B108" i="19"/>
  <c r="C108" i="19"/>
  <c r="H108" i="19"/>
  <c r="I108" i="19"/>
  <c r="J108" i="19"/>
  <c r="E108" i="19"/>
  <c r="M108" i="19"/>
  <c r="D108" i="19"/>
  <c r="F108" i="19"/>
  <c r="G108" i="19"/>
  <c r="N108" i="19"/>
  <c r="K108" i="19"/>
  <c r="Q108" i="19"/>
  <c r="C108" i="25" s="1"/>
  <c r="A109" i="19"/>
  <c r="B109" i="19"/>
  <c r="C109" i="19"/>
  <c r="H109" i="19"/>
  <c r="I109" i="19"/>
  <c r="J109" i="19"/>
  <c r="E109" i="19"/>
  <c r="M109" i="19"/>
  <c r="D109" i="19"/>
  <c r="F109" i="19"/>
  <c r="G109" i="19"/>
  <c r="N109" i="19"/>
  <c r="K109" i="19"/>
  <c r="Q109" i="19"/>
  <c r="C109" i="25" s="1"/>
  <c r="A110" i="19"/>
  <c r="B110" i="19"/>
  <c r="C110" i="19"/>
  <c r="H110" i="19"/>
  <c r="I110" i="19"/>
  <c r="J110" i="19"/>
  <c r="E110" i="19"/>
  <c r="M110" i="19"/>
  <c r="D110" i="19"/>
  <c r="F110" i="19"/>
  <c r="G110" i="19"/>
  <c r="N110" i="19"/>
  <c r="K110" i="19"/>
  <c r="Q110" i="19"/>
  <c r="C110" i="25" s="1"/>
  <c r="A111" i="19"/>
  <c r="B111" i="19"/>
  <c r="C111" i="19"/>
  <c r="H111" i="19"/>
  <c r="I111" i="19"/>
  <c r="J111" i="19"/>
  <c r="E111" i="19"/>
  <c r="M111" i="19"/>
  <c r="D111" i="19"/>
  <c r="F111" i="19"/>
  <c r="G111" i="19"/>
  <c r="N111" i="19"/>
  <c r="K111" i="19"/>
  <c r="Q111" i="19"/>
  <c r="C111" i="25" s="1"/>
  <c r="A112" i="19"/>
  <c r="B112" i="19"/>
  <c r="C112" i="19"/>
  <c r="H112" i="19"/>
  <c r="I112" i="19"/>
  <c r="J112" i="19"/>
  <c r="E112" i="19"/>
  <c r="M112" i="19"/>
  <c r="D112" i="19"/>
  <c r="F112" i="19"/>
  <c r="G112" i="19"/>
  <c r="N112" i="19"/>
  <c r="K112" i="19"/>
  <c r="Q112" i="19"/>
  <c r="C112" i="25" s="1"/>
  <c r="A113" i="19"/>
  <c r="B113" i="19"/>
  <c r="C113" i="19"/>
  <c r="H113" i="19"/>
  <c r="I113" i="19"/>
  <c r="J113" i="19"/>
  <c r="E113" i="19"/>
  <c r="M113" i="19"/>
  <c r="D113" i="19"/>
  <c r="F113" i="19"/>
  <c r="G113" i="19"/>
  <c r="N113" i="19"/>
  <c r="K113" i="19"/>
  <c r="Q113" i="19"/>
  <c r="C113" i="25" s="1"/>
  <c r="A114" i="19"/>
  <c r="B114" i="19"/>
  <c r="C114" i="19"/>
  <c r="H114" i="19"/>
  <c r="I114" i="19"/>
  <c r="J114" i="19"/>
  <c r="E114" i="19"/>
  <c r="M114" i="19"/>
  <c r="D114" i="19"/>
  <c r="F114" i="19"/>
  <c r="G114" i="19"/>
  <c r="N114" i="19"/>
  <c r="K114" i="19"/>
  <c r="Q114" i="19"/>
  <c r="C114" i="25" s="1"/>
  <c r="A115" i="19"/>
  <c r="B115" i="19"/>
  <c r="C115" i="19"/>
  <c r="H115" i="19"/>
  <c r="I115" i="19"/>
  <c r="J115" i="19"/>
  <c r="E115" i="19"/>
  <c r="M115" i="19"/>
  <c r="D115" i="19"/>
  <c r="F115" i="19"/>
  <c r="G115" i="19"/>
  <c r="N115" i="19"/>
  <c r="K115" i="19"/>
  <c r="Q115" i="19"/>
  <c r="C115" i="25" s="1"/>
  <c r="A116" i="19"/>
  <c r="B116" i="19"/>
  <c r="C116" i="19"/>
  <c r="H116" i="19"/>
  <c r="I116" i="19"/>
  <c r="J116" i="19"/>
  <c r="E116" i="19"/>
  <c r="M116" i="19"/>
  <c r="D116" i="19"/>
  <c r="F116" i="19"/>
  <c r="G116" i="19"/>
  <c r="N116" i="19"/>
  <c r="K116" i="19"/>
  <c r="Q116" i="19"/>
  <c r="C116" i="25" s="1"/>
  <c r="A117" i="19"/>
  <c r="B117" i="19"/>
  <c r="C117" i="19"/>
  <c r="H117" i="19"/>
  <c r="I117" i="19"/>
  <c r="J117" i="19"/>
  <c r="E117" i="19"/>
  <c r="M117" i="19"/>
  <c r="D117" i="19"/>
  <c r="F117" i="19"/>
  <c r="G117" i="19"/>
  <c r="N117" i="19"/>
  <c r="K117" i="19"/>
  <c r="Q117" i="19"/>
  <c r="C117" i="25" s="1"/>
  <c r="A118" i="19"/>
  <c r="B118" i="19"/>
  <c r="C118" i="19"/>
  <c r="H118" i="19"/>
  <c r="I118" i="19"/>
  <c r="J118" i="19"/>
  <c r="E118" i="19"/>
  <c r="M118" i="19"/>
  <c r="D118" i="19"/>
  <c r="F118" i="19"/>
  <c r="G118" i="19"/>
  <c r="N118" i="19"/>
  <c r="K118" i="19"/>
  <c r="Q118" i="19"/>
  <c r="C118" i="25" s="1"/>
  <c r="A119" i="19"/>
  <c r="B119" i="19"/>
  <c r="C119" i="19"/>
  <c r="H119" i="19"/>
  <c r="I119" i="19"/>
  <c r="J119" i="19"/>
  <c r="E119" i="19"/>
  <c r="M119" i="19"/>
  <c r="D119" i="19"/>
  <c r="F119" i="19"/>
  <c r="G119" i="19"/>
  <c r="N119" i="19"/>
  <c r="K119" i="19"/>
  <c r="Q119" i="19"/>
  <c r="C119" i="25" s="1"/>
  <c r="A120" i="19"/>
  <c r="B120" i="19"/>
  <c r="C120" i="19"/>
  <c r="H120" i="19"/>
  <c r="I120" i="19"/>
  <c r="J120" i="19"/>
  <c r="E120" i="19"/>
  <c r="M120" i="19"/>
  <c r="D120" i="19"/>
  <c r="F120" i="19"/>
  <c r="G120" i="19"/>
  <c r="N120" i="19"/>
  <c r="K120" i="19"/>
  <c r="Q120" i="19"/>
  <c r="C120" i="25" s="1"/>
  <c r="A121" i="19"/>
  <c r="B121" i="19"/>
  <c r="C121" i="19"/>
  <c r="H121" i="19"/>
  <c r="I121" i="19"/>
  <c r="J121" i="19"/>
  <c r="E121" i="19"/>
  <c r="M121" i="19"/>
  <c r="D121" i="19"/>
  <c r="F121" i="19"/>
  <c r="G121" i="19"/>
  <c r="N121" i="19"/>
  <c r="K121" i="19"/>
  <c r="Q121" i="19"/>
  <c r="C121" i="25" s="1"/>
  <c r="A122" i="19"/>
  <c r="B122" i="19"/>
  <c r="C122" i="19"/>
  <c r="H122" i="19"/>
  <c r="I122" i="19"/>
  <c r="J122" i="19"/>
  <c r="E122" i="19"/>
  <c r="M122" i="19"/>
  <c r="D122" i="19"/>
  <c r="F122" i="19"/>
  <c r="G122" i="19"/>
  <c r="N122" i="19"/>
  <c r="K122" i="19"/>
  <c r="Q122" i="19"/>
  <c r="C122" i="25" s="1"/>
  <c r="A123" i="19"/>
  <c r="B123" i="19"/>
  <c r="C123" i="19"/>
  <c r="H123" i="19"/>
  <c r="I123" i="19"/>
  <c r="J123" i="19"/>
  <c r="E123" i="19"/>
  <c r="M123" i="19"/>
  <c r="D123" i="19"/>
  <c r="F123" i="19"/>
  <c r="G123" i="19"/>
  <c r="N123" i="19"/>
  <c r="K123" i="19"/>
  <c r="Q123" i="19"/>
  <c r="C123" i="25" s="1"/>
  <c r="A124" i="19"/>
  <c r="B124" i="19"/>
  <c r="C124" i="19"/>
  <c r="H124" i="19"/>
  <c r="I124" i="19"/>
  <c r="J124" i="19"/>
  <c r="E124" i="19"/>
  <c r="M124" i="19"/>
  <c r="D124" i="19"/>
  <c r="F124" i="19"/>
  <c r="G124" i="19"/>
  <c r="N124" i="19"/>
  <c r="K124" i="19"/>
  <c r="Q124" i="19"/>
  <c r="C124" i="25" s="1"/>
  <c r="A125" i="19"/>
  <c r="B125" i="19"/>
  <c r="C125" i="19"/>
  <c r="H125" i="19"/>
  <c r="I125" i="19"/>
  <c r="J125" i="19"/>
  <c r="E125" i="19"/>
  <c r="M125" i="19"/>
  <c r="D125" i="19"/>
  <c r="F125" i="19"/>
  <c r="G125" i="19"/>
  <c r="N125" i="19"/>
  <c r="K125" i="19"/>
  <c r="Q125" i="19"/>
  <c r="C125" i="25" s="1"/>
  <c r="A126" i="19"/>
  <c r="B126" i="19"/>
  <c r="C126" i="19"/>
  <c r="H126" i="19"/>
  <c r="I126" i="19"/>
  <c r="J126" i="19"/>
  <c r="E126" i="19"/>
  <c r="M126" i="19"/>
  <c r="D126" i="19"/>
  <c r="F126" i="19"/>
  <c r="G126" i="19"/>
  <c r="N126" i="19"/>
  <c r="K126" i="19"/>
  <c r="Q126" i="19"/>
  <c r="C126" i="25" s="1"/>
  <c r="A127" i="19"/>
  <c r="B127" i="19"/>
  <c r="C127" i="19"/>
  <c r="H127" i="19"/>
  <c r="I127" i="19"/>
  <c r="J127" i="19"/>
  <c r="E127" i="19"/>
  <c r="M127" i="19"/>
  <c r="D127" i="19"/>
  <c r="F127" i="19"/>
  <c r="G127" i="19"/>
  <c r="N127" i="19"/>
  <c r="K127" i="19"/>
  <c r="Q127" i="19"/>
  <c r="C127" i="25" s="1"/>
  <c r="A128" i="19"/>
  <c r="B128" i="19"/>
  <c r="C128" i="19"/>
  <c r="H128" i="19"/>
  <c r="I128" i="19"/>
  <c r="J128" i="19"/>
  <c r="E128" i="19"/>
  <c r="M128" i="19"/>
  <c r="D128" i="19"/>
  <c r="F128" i="19"/>
  <c r="G128" i="19"/>
  <c r="N128" i="19"/>
  <c r="K128" i="19"/>
  <c r="Q128" i="19"/>
  <c r="C128" i="25" s="1"/>
  <c r="A129" i="19"/>
  <c r="B129" i="19"/>
  <c r="C129" i="19"/>
  <c r="H129" i="19"/>
  <c r="I129" i="19"/>
  <c r="J129" i="19"/>
  <c r="E129" i="19"/>
  <c r="M129" i="19"/>
  <c r="D129" i="19"/>
  <c r="F129" i="19"/>
  <c r="G129" i="19"/>
  <c r="N129" i="19"/>
  <c r="K129" i="19"/>
  <c r="Q129" i="19"/>
  <c r="C129" i="25" s="1"/>
  <c r="A130" i="19"/>
  <c r="B130" i="19"/>
  <c r="C130" i="19"/>
  <c r="H130" i="19"/>
  <c r="I130" i="19"/>
  <c r="J130" i="19"/>
  <c r="E130" i="19"/>
  <c r="M130" i="19"/>
  <c r="D130" i="19"/>
  <c r="F130" i="19"/>
  <c r="G130" i="19"/>
  <c r="N130" i="19"/>
  <c r="K130" i="19"/>
  <c r="Q130" i="19"/>
  <c r="C130" i="25" s="1"/>
  <c r="A131" i="19"/>
  <c r="B131" i="19"/>
  <c r="C131" i="19"/>
  <c r="H131" i="19"/>
  <c r="I131" i="19"/>
  <c r="J131" i="19"/>
  <c r="E131" i="19"/>
  <c r="M131" i="19"/>
  <c r="D131" i="19"/>
  <c r="F131" i="19"/>
  <c r="G131" i="19"/>
  <c r="N131" i="19"/>
  <c r="K131" i="19"/>
  <c r="Q131" i="19"/>
  <c r="C131" i="25" s="1"/>
  <c r="A132" i="19"/>
  <c r="B132" i="19"/>
  <c r="C132" i="19"/>
  <c r="H132" i="19"/>
  <c r="I132" i="19"/>
  <c r="J132" i="19"/>
  <c r="E132" i="19"/>
  <c r="M132" i="19"/>
  <c r="D132" i="19"/>
  <c r="F132" i="19"/>
  <c r="G132" i="19"/>
  <c r="N132" i="19"/>
  <c r="K132" i="19"/>
  <c r="Q132" i="19"/>
  <c r="C132" i="25" s="1"/>
  <c r="A133" i="19"/>
  <c r="B133" i="19"/>
  <c r="C133" i="19"/>
  <c r="H133" i="19"/>
  <c r="I133" i="19"/>
  <c r="J133" i="19"/>
  <c r="E133" i="19"/>
  <c r="M133" i="19"/>
  <c r="D133" i="19"/>
  <c r="F133" i="19"/>
  <c r="G133" i="19"/>
  <c r="N133" i="19"/>
  <c r="K133" i="19"/>
  <c r="Q133" i="19"/>
  <c r="C133" i="25" s="1"/>
  <c r="A134" i="19"/>
  <c r="B134" i="19"/>
  <c r="C134" i="19"/>
  <c r="H134" i="19"/>
  <c r="I134" i="19"/>
  <c r="J134" i="19"/>
  <c r="E134" i="19"/>
  <c r="M134" i="19"/>
  <c r="D134" i="19"/>
  <c r="F134" i="19"/>
  <c r="G134" i="19"/>
  <c r="N134" i="19"/>
  <c r="K134" i="19"/>
  <c r="Q134" i="19"/>
  <c r="C134" i="25" s="1"/>
  <c r="A135" i="19"/>
  <c r="B135" i="19"/>
  <c r="C135" i="19"/>
  <c r="H135" i="19"/>
  <c r="I135" i="19"/>
  <c r="J135" i="19"/>
  <c r="E135" i="19"/>
  <c r="M135" i="19"/>
  <c r="D135" i="19"/>
  <c r="F135" i="19"/>
  <c r="G135" i="19"/>
  <c r="N135" i="19"/>
  <c r="K135" i="19"/>
  <c r="Q135" i="19"/>
  <c r="C135" i="25" s="1"/>
  <c r="A136" i="19"/>
  <c r="B136" i="19"/>
  <c r="C136" i="19"/>
  <c r="H136" i="19"/>
  <c r="I136" i="19"/>
  <c r="J136" i="19"/>
  <c r="E136" i="19"/>
  <c r="M136" i="19"/>
  <c r="D136" i="19"/>
  <c r="F136" i="19"/>
  <c r="G136" i="19"/>
  <c r="N136" i="19"/>
  <c r="K136" i="19"/>
  <c r="Q136" i="19"/>
  <c r="C136" i="25" s="1"/>
  <c r="A137" i="19"/>
  <c r="B137" i="19"/>
  <c r="C137" i="19"/>
  <c r="H137" i="19"/>
  <c r="I137" i="19"/>
  <c r="J137" i="19"/>
  <c r="E137" i="19"/>
  <c r="M137" i="19"/>
  <c r="D137" i="19"/>
  <c r="F137" i="19"/>
  <c r="G137" i="19"/>
  <c r="N137" i="19"/>
  <c r="K137" i="19"/>
  <c r="Q137" i="19"/>
  <c r="C137" i="25" s="1"/>
  <c r="A138" i="19"/>
  <c r="B138" i="19"/>
  <c r="C138" i="19"/>
  <c r="H138" i="19"/>
  <c r="I138" i="19"/>
  <c r="J138" i="19"/>
  <c r="E138" i="19"/>
  <c r="M138" i="19"/>
  <c r="D138" i="19"/>
  <c r="F138" i="19"/>
  <c r="G138" i="19"/>
  <c r="N138" i="19"/>
  <c r="K138" i="19"/>
  <c r="Q138" i="19"/>
  <c r="C138" i="25" s="1"/>
  <c r="A139" i="19"/>
  <c r="B139" i="19"/>
  <c r="C139" i="19"/>
  <c r="H139" i="19"/>
  <c r="I139" i="19"/>
  <c r="J139" i="19"/>
  <c r="E139" i="19"/>
  <c r="M139" i="19"/>
  <c r="D139" i="19"/>
  <c r="F139" i="19"/>
  <c r="G139" i="19"/>
  <c r="N139" i="19"/>
  <c r="K139" i="19"/>
  <c r="Q139" i="19"/>
  <c r="C139" i="25" s="1"/>
  <c r="A140" i="19"/>
  <c r="B140" i="19"/>
  <c r="C140" i="19"/>
  <c r="H140" i="19"/>
  <c r="I140" i="19"/>
  <c r="J140" i="19"/>
  <c r="E140" i="19"/>
  <c r="M140" i="19"/>
  <c r="D140" i="19"/>
  <c r="F140" i="19"/>
  <c r="G140" i="19"/>
  <c r="N140" i="19"/>
  <c r="K140" i="19"/>
  <c r="Q140" i="19"/>
  <c r="C140" i="25" s="1"/>
  <c r="A141" i="19"/>
  <c r="B141" i="19"/>
  <c r="C141" i="19"/>
  <c r="H141" i="19"/>
  <c r="I141" i="19"/>
  <c r="J141" i="19"/>
  <c r="E141" i="19"/>
  <c r="M141" i="19"/>
  <c r="D141" i="19"/>
  <c r="F141" i="19"/>
  <c r="G141" i="19"/>
  <c r="N141" i="19"/>
  <c r="K141" i="19"/>
  <c r="Q141" i="19"/>
  <c r="C141" i="25" s="1"/>
  <c r="A142" i="19"/>
  <c r="B142" i="19"/>
  <c r="C142" i="19"/>
  <c r="H142" i="19"/>
  <c r="I142" i="19"/>
  <c r="J142" i="19"/>
  <c r="E142" i="19"/>
  <c r="M142" i="19"/>
  <c r="D142" i="19"/>
  <c r="F142" i="19"/>
  <c r="G142" i="19"/>
  <c r="N142" i="19"/>
  <c r="K142" i="19"/>
  <c r="Q142" i="19"/>
  <c r="C142" i="25" s="1"/>
  <c r="A143" i="19"/>
  <c r="B143" i="19"/>
  <c r="C143" i="19"/>
  <c r="H143" i="19"/>
  <c r="I143" i="19"/>
  <c r="J143" i="19"/>
  <c r="E143" i="19"/>
  <c r="M143" i="19"/>
  <c r="D143" i="19"/>
  <c r="F143" i="19"/>
  <c r="G143" i="19"/>
  <c r="N143" i="19"/>
  <c r="K143" i="19"/>
  <c r="Q143" i="19"/>
  <c r="C143" i="25" s="1"/>
  <c r="A144" i="19"/>
  <c r="B144" i="19"/>
  <c r="C144" i="19"/>
  <c r="H144" i="19"/>
  <c r="I144" i="19"/>
  <c r="J144" i="19"/>
  <c r="E144" i="19"/>
  <c r="M144" i="19"/>
  <c r="D144" i="19"/>
  <c r="F144" i="19"/>
  <c r="G144" i="19"/>
  <c r="N144" i="19"/>
  <c r="K144" i="19"/>
  <c r="Q144" i="19"/>
  <c r="C144" i="25" s="1"/>
  <c r="A145" i="19"/>
  <c r="B145" i="19"/>
  <c r="C145" i="19"/>
  <c r="H145" i="19"/>
  <c r="I145" i="19"/>
  <c r="J145" i="19"/>
  <c r="E145" i="19"/>
  <c r="M145" i="19"/>
  <c r="D145" i="19"/>
  <c r="F145" i="19"/>
  <c r="G145" i="19"/>
  <c r="N145" i="19"/>
  <c r="K145" i="19"/>
  <c r="Q145" i="19"/>
  <c r="C145" i="25" s="1"/>
  <c r="A146" i="19"/>
  <c r="B146" i="19"/>
  <c r="C146" i="19"/>
  <c r="H146" i="19"/>
  <c r="I146" i="19"/>
  <c r="J146" i="19"/>
  <c r="E146" i="19"/>
  <c r="M146" i="19"/>
  <c r="D146" i="19"/>
  <c r="F146" i="19"/>
  <c r="G146" i="19"/>
  <c r="N146" i="19"/>
  <c r="K146" i="19"/>
  <c r="Q146" i="19"/>
  <c r="C146" i="25" s="1"/>
  <c r="A147" i="19"/>
  <c r="B147" i="19"/>
  <c r="C147" i="19"/>
  <c r="H147" i="19"/>
  <c r="I147" i="19"/>
  <c r="J147" i="19"/>
  <c r="E147" i="19"/>
  <c r="M147" i="19"/>
  <c r="D147" i="19"/>
  <c r="F147" i="19"/>
  <c r="G147" i="19"/>
  <c r="N147" i="19"/>
  <c r="K147" i="19"/>
  <c r="Q147" i="19"/>
  <c r="C147" i="25" s="1"/>
  <c r="A148" i="19"/>
  <c r="B148" i="19"/>
  <c r="C148" i="19"/>
  <c r="H148" i="19"/>
  <c r="I148" i="19"/>
  <c r="J148" i="19"/>
  <c r="E148" i="19"/>
  <c r="M148" i="19"/>
  <c r="D148" i="19"/>
  <c r="F148" i="19"/>
  <c r="G148" i="19"/>
  <c r="N148" i="19"/>
  <c r="K148" i="19"/>
  <c r="Q148" i="19"/>
  <c r="C148" i="25" s="1"/>
  <c r="A149" i="19"/>
  <c r="B149" i="19"/>
  <c r="C149" i="19"/>
  <c r="H149" i="19"/>
  <c r="I149" i="19"/>
  <c r="J149" i="19"/>
  <c r="E149" i="19"/>
  <c r="M149" i="19"/>
  <c r="D149" i="19"/>
  <c r="F149" i="19"/>
  <c r="G149" i="19"/>
  <c r="N149" i="19"/>
  <c r="K149" i="19"/>
  <c r="Q149" i="19"/>
  <c r="C149" i="25" s="1"/>
  <c r="A150" i="19"/>
  <c r="B150" i="19"/>
  <c r="C150" i="19"/>
  <c r="H150" i="19"/>
  <c r="I150" i="19"/>
  <c r="J150" i="19"/>
  <c r="E150" i="19"/>
  <c r="M150" i="19"/>
  <c r="D150" i="19"/>
  <c r="F150" i="19"/>
  <c r="G150" i="19"/>
  <c r="N150" i="19"/>
  <c r="K150" i="19"/>
  <c r="Q150" i="19"/>
  <c r="C150" i="25" s="1"/>
  <c r="A151" i="19"/>
  <c r="B151" i="19"/>
  <c r="C151" i="19"/>
  <c r="H151" i="19"/>
  <c r="I151" i="19"/>
  <c r="J151" i="19"/>
  <c r="E151" i="19"/>
  <c r="M151" i="19"/>
  <c r="D151" i="19"/>
  <c r="F151" i="19"/>
  <c r="G151" i="19"/>
  <c r="N151" i="19"/>
  <c r="K151" i="19"/>
  <c r="Q151" i="19"/>
  <c r="C151" i="25" s="1"/>
  <c r="A152" i="19"/>
  <c r="B152" i="19"/>
  <c r="C152" i="19"/>
  <c r="H152" i="19"/>
  <c r="I152" i="19"/>
  <c r="J152" i="19"/>
  <c r="E152" i="19"/>
  <c r="M152" i="19"/>
  <c r="D152" i="19"/>
  <c r="F152" i="19"/>
  <c r="G152" i="19"/>
  <c r="N152" i="19"/>
  <c r="K152" i="19"/>
  <c r="Q152" i="19"/>
  <c r="C152" i="25" s="1"/>
  <c r="A153" i="19"/>
  <c r="B153" i="19"/>
  <c r="C153" i="19"/>
  <c r="H153" i="19"/>
  <c r="I153" i="19"/>
  <c r="J153" i="19"/>
  <c r="E153" i="19"/>
  <c r="M153" i="19"/>
  <c r="D153" i="19"/>
  <c r="F153" i="19"/>
  <c r="G153" i="19"/>
  <c r="N153" i="19"/>
  <c r="K153" i="19"/>
  <c r="Q153" i="19"/>
  <c r="C153" i="25" s="1"/>
  <c r="A154" i="19"/>
  <c r="B154" i="19"/>
  <c r="C154" i="19"/>
  <c r="H154" i="19"/>
  <c r="I154" i="19"/>
  <c r="J154" i="19"/>
  <c r="E154" i="19"/>
  <c r="M154" i="19"/>
  <c r="D154" i="19"/>
  <c r="F154" i="19"/>
  <c r="G154" i="19"/>
  <c r="N154" i="19"/>
  <c r="K154" i="19"/>
  <c r="Q154" i="19"/>
  <c r="C154" i="25" s="1"/>
  <c r="A155" i="19"/>
  <c r="B155" i="19"/>
  <c r="C155" i="19"/>
  <c r="H155" i="19"/>
  <c r="I155" i="19"/>
  <c r="J155" i="19"/>
  <c r="E155" i="19"/>
  <c r="M155" i="19"/>
  <c r="D155" i="19"/>
  <c r="F155" i="19"/>
  <c r="G155" i="19"/>
  <c r="N155" i="19"/>
  <c r="K155" i="19"/>
  <c r="Q155" i="19"/>
  <c r="C155" i="25" s="1"/>
  <c r="A156" i="19"/>
  <c r="B156" i="19"/>
  <c r="C156" i="19"/>
  <c r="H156" i="19"/>
  <c r="I156" i="19"/>
  <c r="J156" i="19"/>
  <c r="E156" i="19"/>
  <c r="M156" i="19"/>
  <c r="D156" i="19"/>
  <c r="F156" i="19"/>
  <c r="G156" i="19"/>
  <c r="N156" i="19"/>
  <c r="K156" i="19"/>
  <c r="Q156" i="19"/>
  <c r="C156" i="25" s="1"/>
  <c r="A157" i="19"/>
  <c r="B157" i="19"/>
  <c r="C157" i="19"/>
  <c r="H157" i="19"/>
  <c r="I157" i="19"/>
  <c r="J157" i="19"/>
  <c r="E157" i="19"/>
  <c r="M157" i="19"/>
  <c r="D157" i="19"/>
  <c r="F157" i="19"/>
  <c r="G157" i="19"/>
  <c r="N157" i="19"/>
  <c r="K157" i="19"/>
  <c r="Q157" i="19"/>
  <c r="C157" i="25" s="1"/>
  <c r="A158" i="19"/>
  <c r="B158" i="19"/>
  <c r="C158" i="19"/>
  <c r="H158" i="19"/>
  <c r="I158" i="19"/>
  <c r="J158" i="19"/>
  <c r="E158" i="19"/>
  <c r="M158" i="19"/>
  <c r="D158" i="19"/>
  <c r="F158" i="19"/>
  <c r="G158" i="19"/>
  <c r="N158" i="19"/>
  <c r="K158" i="19"/>
  <c r="Q158" i="19"/>
  <c r="C158" i="25" s="1"/>
  <c r="A159" i="19"/>
  <c r="B159" i="19"/>
  <c r="C159" i="19"/>
  <c r="H159" i="19"/>
  <c r="I159" i="19"/>
  <c r="J159" i="19"/>
  <c r="E159" i="19"/>
  <c r="M159" i="19"/>
  <c r="D159" i="19"/>
  <c r="F159" i="19"/>
  <c r="G159" i="19"/>
  <c r="N159" i="19"/>
  <c r="K159" i="19"/>
  <c r="Q159" i="19"/>
  <c r="C159" i="25" s="1"/>
  <c r="A160" i="19"/>
  <c r="B160" i="19"/>
  <c r="C160" i="19"/>
  <c r="H160" i="19"/>
  <c r="I160" i="19"/>
  <c r="J160" i="19"/>
  <c r="E160" i="19"/>
  <c r="M160" i="19"/>
  <c r="D160" i="19"/>
  <c r="F160" i="19"/>
  <c r="G160" i="19"/>
  <c r="N160" i="19"/>
  <c r="K160" i="19"/>
  <c r="Q160" i="19"/>
  <c r="C160" i="25" s="1"/>
  <c r="A161" i="19"/>
  <c r="B161" i="19"/>
  <c r="C161" i="19"/>
  <c r="H161" i="19"/>
  <c r="I161" i="19"/>
  <c r="J161" i="19"/>
  <c r="E161" i="19"/>
  <c r="M161" i="19"/>
  <c r="D161" i="19"/>
  <c r="F161" i="19"/>
  <c r="G161" i="19"/>
  <c r="N161" i="19"/>
  <c r="K161" i="19"/>
  <c r="Q161" i="19"/>
  <c r="C161" i="25" s="1"/>
  <c r="A162" i="19"/>
  <c r="B162" i="19"/>
  <c r="C162" i="19"/>
  <c r="H162" i="19"/>
  <c r="I162" i="19"/>
  <c r="J162" i="19"/>
  <c r="E162" i="19"/>
  <c r="M162" i="19"/>
  <c r="D162" i="19"/>
  <c r="F162" i="19"/>
  <c r="G162" i="19"/>
  <c r="N162" i="19"/>
  <c r="K162" i="19"/>
  <c r="Q162" i="19"/>
  <c r="C162" i="25" s="1"/>
  <c r="A163" i="19"/>
  <c r="B163" i="19"/>
  <c r="C163" i="19"/>
  <c r="H163" i="19"/>
  <c r="I163" i="19"/>
  <c r="J163" i="19"/>
  <c r="E163" i="19"/>
  <c r="M163" i="19"/>
  <c r="D163" i="19"/>
  <c r="F163" i="19"/>
  <c r="G163" i="19"/>
  <c r="N163" i="19"/>
  <c r="K163" i="19"/>
  <c r="Q163" i="19"/>
  <c r="C163" i="25" s="1"/>
  <c r="A164" i="19"/>
  <c r="B164" i="19"/>
  <c r="C164" i="19"/>
  <c r="H164" i="19"/>
  <c r="I164" i="19"/>
  <c r="J164" i="19"/>
  <c r="E164" i="19"/>
  <c r="M164" i="19"/>
  <c r="D164" i="19"/>
  <c r="F164" i="19"/>
  <c r="G164" i="19"/>
  <c r="N164" i="19"/>
  <c r="K164" i="19"/>
  <c r="Q164" i="19"/>
  <c r="C164" i="25" s="1"/>
  <c r="A165" i="19"/>
  <c r="B165" i="19"/>
  <c r="C165" i="19"/>
  <c r="H165" i="19"/>
  <c r="I165" i="19"/>
  <c r="J165" i="19"/>
  <c r="E165" i="19"/>
  <c r="M165" i="19"/>
  <c r="D165" i="19"/>
  <c r="F165" i="19"/>
  <c r="G165" i="19"/>
  <c r="N165" i="19"/>
  <c r="K165" i="19"/>
  <c r="Q165" i="19"/>
  <c r="C165" i="25" s="1"/>
  <c r="A166" i="19"/>
  <c r="B166" i="19"/>
  <c r="C166" i="19"/>
  <c r="H166" i="19"/>
  <c r="I166" i="19"/>
  <c r="J166" i="19"/>
  <c r="E166" i="19"/>
  <c r="M166" i="19"/>
  <c r="D166" i="19"/>
  <c r="F166" i="19"/>
  <c r="G166" i="19"/>
  <c r="N166" i="19"/>
  <c r="K166" i="19"/>
  <c r="Q166" i="19"/>
  <c r="C166" i="25" s="1"/>
  <c r="A167" i="19"/>
  <c r="B167" i="19"/>
  <c r="C167" i="19"/>
  <c r="H167" i="19"/>
  <c r="I167" i="19"/>
  <c r="J167" i="19"/>
  <c r="E167" i="19"/>
  <c r="M167" i="19"/>
  <c r="D167" i="19"/>
  <c r="F167" i="19"/>
  <c r="G167" i="19"/>
  <c r="N167" i="19"/>
  <c r="K167" i="19"/>
  <c r="Q167" i="19"/>
  <c r="C167" i="25" s="1"/>
  <c r="A168" i="19"/>
  <c r="B168" i="19"/>
  <c r="C168" i="19"/>
  <c r="H168" i="19"/>
  <c r="I168" i="19"/>
  <c r="J168" i="19"/>
  <c r="E168" i="19"/>
  <c r="M168" i="19"/>
  <c r="D168" i="19"/>
  <c r="F168" i="19"/>
  <c r="G168" i="19"/>
  <c r="N168" i="19"/>
  <c r="K168" i="19"/>
  <c r="Q168" i="19"/>
  <c r="C168" i="25" s="1"/>
  <c r="A169" i="19"/>
  <c r="B169" i="19"/>
  <c r="C169" i="19"/>
  <c r="H169" i="19"/>
  <c r="I169" i="19"/>
  <c r="J169" i="19"/>
  <c r="E169" i="19"/>
  <c r="M169" i="19"/>
  <c r="D169" i="19"/>
  <c r="F169" i="19"/>
  <c r="G169" i="19"/>
  <c r="N169" i="19"/>
  <c r="K169" i="19"/>
  <c r="Q169" i="19"/>
  <c r="C169" i="25" s="1"/>
  <c r="A170" i="19"/>
  <c r="B170" i="19"/>
  <c r="C170" i="19"/>
  <c r="H170" i="19"/>
  <c r="I170" i="19"/>
  <c r="J170" i="19"/>
  <c r="E170" i="19"/>
  <c r="M170" i="19"/>
  <c r="D170" i="19"/>
  <c r="F170" i="19"/>
  <c r="G170" i="19"/>
  <c r="N170" i="19"/>
  <c r="K170" i="19"/>
  <c r="Q170" i="19"/>
  <c r="C170" i="25" s="1"/>
  <c r="A171" i="19"/>
  <c r="B171" i="19"/>
  <c r="C171" i="19"/>
  <c r="H171" i="19"/>
  <c r="I171" i="19"/>
  <c r="J171" i="19"/>
  <c r="E171" i="19"/>
  <c r="M171" i="19"/>
  <c r="D171" i="19"/>
  <c r="F171" i="19"/>
  <c r="G171" i="19"/>
  <c r="N171" i="19"/>
  <c r="K171" i="19"/>
  <c r="Q171" i="19"/>
  <c r="C171" i="25" s="1"/>
  <c r="A172" i="19"/>
  <c r="B172" i="19"/>
  <c r="C172" i="19"/>
  <c r="H172" i="19"/>
  <c r="I172" i="19"/>
  <c r="J172" i="19"/>
  <c r="E172" i="19"/>
  <c r="M172" i="19"/>
  <c r="D172" i="19"/>
  <c r="F172" i="19"/>
  <c r="G172" i="19"/>
  <c r="N172" i="19"/>
  <c r="K172" i="19"/>
  <c r="Q172" i="19"/>
  <c r="C172" i="25" s="1"/>
  <c r="A173" i="19"/>
  <c r="B173" i="19"/>
  <c r="C173" i="19"/>
  <c r="H173" i="19"/>
  <c r="I173" i="19"/>
  <c r="J173" i="19"/>
  <c r="E173" i="19"/>
  <c r="M173" i="19"/>
  <c r="D173" i="19"/>
  <c r="F173" i="19"/>
  <c r="G173" i="19"/>
  <c r="N173" i="19"/>
  <c r="K173" i="19"/>
  <c r="Q173" i="19"/>
  <c r="C173" i="25" s="1"/>
  <c r="A174" i="19"/>
  <c r="B174" i="19"/>
  <c r="C174" i="19"/>
  <c r="H174" i="19"/>
  <c r="I174" i="19"/>
  <c r="J174" i="19"/>
  <c r="E174" i="19"/>
  <c r="M174" i="19"/>
  <c r="D174" i="19"/>
  <c r="F174" i="19"/>
  <c r="G174" i="19"/>
  <c r="N174" i="19"/>
  <c r="K174" i="19"/>
  <c r="Q174" i="19"/>
  <c r="C174" i="25" s="1"/>
  <c r="A175" i="19"/>
  <c r="B175" i="19"/>
  <c r="C175" i="19"/>
  <c r="H175" i="19"/>
  <c r="I175" i="19"/>
  <c r="J175" i="19"/>
  <c r="E175" i="19"/>
  <c r="M175" i="19"/>
  <c r="D175" i="19"/>
  <c r="F175" i="19"/>
  <c r="G175" i="19"/>
  <c r="N175" i="19"/>
  <c r="K175" i="19"/>
  <c r="Q175" i="19"/>
  <c r="C175" i="25" s="1"/>
  <c r="A176" i="19"/>
  <c r="B176" i="19"/>
  <c r="C176" i="19"/>
  <c r="H176" i="19"/>
  <c r="I176" i="19"/>
  <c r="J176" i="19"/>
  <c r="E176" i="19"/>
  <c r="M176" i="19"/>
  <c r="D176" i="19"/>
  <c r="F176" i="19"/>
  <c r="G176" i="19"/>
  <c r="N176" i="19"/>
  <c r="K176" i="19"/>
  <c r="Q176" i="19"/>
  <c r="C176" i="25" s="1"/>
  <c r="A177" i="19"/>
  <c r="B177" i="19"/>
  <c r="C177" i="19"/>
  <c r="H177" i="19"/>
  <c r="I177" i="19"/>
  <c r="J177" i="19"/>
  <c r="E177" i="19"/>
  <c r="M177" i="19"/>
  <c r="D177" i="19"/>
  <c r="F177" i="19"/>
  <c r="G177" i="19"/>
  <c r="N177" i="19"/>
  <c r="K177" i="19"/>
  <c r="Q177" i="19"/>
  <c r="C177" i="25" s="1"/>
  <c r="A178" i="19"/>
  <c r="B178" i="19"/>
  <c r="C178" i="19"/>
  <c r="H178" i="19"/>
  <c r="I178" i="19"/>
  <c r="J178" i="19"/>
  <c r="E178" i="19"/>
  <c r="M178" i="19"/>
  <c r="D178" i="19"/>
  <c r="F178" i="19"/>
  <c r="G178" i="19"/>
  <c r="N178" i="19"/>
  <c r="K178" i="19"/>
  <c r="Q178" i="19"/>
  <c r="C178" i="25" s="1"/>
  <c r="A179" i="19"/>
  <c r="B179" i="19"/>
  <c r="C179" i="19"/>
  <c r="H179" i="19"/>
  <c r="I179" i="19"/>
  <c r="J179" i="19"/>
  <c r="E179" i="19"/>
  <c r="M179" i="19"/>
  <c r="D179" i="19"/>
  <c r="F179" i="19"/>
  <c r="G179" i="19"/>
  <c r="N179" i="19"/>
  <c r="K179" i="19"/>
  <c r="Q179" i="19"/>
  <c r="C179" i="25" s="1"/>
  <c r="A180" i="19"/>
  <c r="B180" i="19"/>
  <c r="C180" i="19"/>
  <c r="H180" i="19"/>
  <c r="I180" i="19"/>
  <c r="J180" i="19"/>
  <c r="E180" i="19"/>
  <c r="M180" i="19"/>
  <c r="D180" i="19"/>
  <c r="F180" i="19"/>
  <c r="G180" i="19"/>
  <c r="N180" i="19"/>
  <c r="K180" i="19"/>
  <c r="Q180" i="19"/>
  <c r="C180" i="25" s="1"/>
  <c r="A181" i="19"/>
  <c r="B181" i="19"/>
  <c r="C181" i="19"/>
  <c r="H181" i="19"/>
  <c r="I181" i="19"/>
  <c r="J181" i="19"/>
  <c r="E181" i="19"/>
  <c r="M181" i="19"/>
  <c r="D181" i="19"/>
  <c r="F181" i="19"/>
  <c r="G181" i="19"/>
  <c r="N181" i="19"/>
  <c r="K181" i="19"/>
  <c r="Q181" i="19"/>
  <c r="C181" i="25" s="1"/>
  <c r="A182" i="19"/>
  <c r="B182" i="19"/>
  <c r="C182" i="19"/>
  <c r="H182" i="19"/>
  <c r="I182" i="19"/>
  <c r="J182" i="19"/>
  <c r="E182" i="19"/>
  <c r="M182" i="19"/>
  <c r="D182" i="19"/>
  <c r="F182" i="19"/>
  <c r="G182" i="19"/>
  <c r="N182" i="19"/>
  <c r="K182" i="19"/>
  <c r="Q182" i="19"/>
  <c r="C182" i="25" s="1"/>
  <c r="A183" i="19"/>
  <c r="B183" i="19"/>
  <c r="C183" i="19"/>
  <c r="H183" i="19"/>
  <c r="I183" i="19"/>
  <c r="J183" i="19"/>
  <c r="E183" i="19"/>
  <c r="M183" i="19"/>
  <c r="D183" i="19"/>
  <c r="F183" i="19"/>
  <c r="G183" i="19"/>
  <c r="N183" i="19"/>
  <c r="K183" i="19"/>
  <c r="Q183" i="19"/>
  <c r="C183" i="25" s="1"/>
  <c r="A184" i="19"/>
  <c r="B184" i="19"/>
  <c r="C184" i="19"/>
  <c r="H184" i="19"/>
  <c r="I184" i="19"/>
  <c r="J184" i="19"/>
  <c r="E184" i="19"/>
  <c r="M184" i="19"/>
  <c r="D184" i="19"/>
  <c r="F184" i="19"/>
  <c r="G184" i="19"/>
  <c r="N184" i="19"/>
  <c r="K184" i="19"/>
  <c r="Q184" i="19"/>
  <c r="C184" i="25" s="1"/>
  <c r="A185" i="19"/>
  <c r="B185" i="19"/>
  <c r="C185" i="19"/>
  <c r="H185" i="19"/>
  <c r="I185" i="19"/>
  <c r="J185" i="19"/>
  <c r="E185" i="19"/>
  <c r="M185" i="19"/>
  <c r="D185" i="19"/>
  <c r="F185" i="19"/>
  <c r="G185" i="19"/>
  <c r="N185" i="19"/>
  <c r="K185" i="19"/>
  <c r="Q185" i="19"/>
  <c r="C185" i="25" s="1"/>
  <c r="A186" i="19"/>
  <c r="B186" i="19"/>
  <c r="C186" i="19"/>
  <c r="H186" i="19"/>
  <c r="I186" i="19"/>
  <c r="J186" i="19"/>
  <c r="E186" i="19"/>
  <c r="M186" i="19"/>
  <c r="D186" i="19"/>
  <c r="F186" i="19"/>
  <c r="G186" i="19"/>
  <c r="N186" i="19"/>
  <c r="K186" i="19"/>
  <c r="Q186" i="19"/>
  <c r="C186" i="25" s="1"/>
  <c r="A187" i="19"/>
  <c r="B187" i="19"/>
  <c r="C187" i="19"/>
  <c r="H187" i="19"/>
  <c r="I187" i="19"/>
  <c r="J187" i="19"/>
  <c r="E187" i="19"/>
  <c r="M187" i="19"/>
  <c r="D187" i="19"/>
  <c r="F187" i="19"/>
  <c r="G187" i="19"/>
  <c r="N187" i="19"/>
  <c r="K187" i="19"/>
  <c r="Q187" i="19"/>
  <c r="C187" i="25" s="1"/>
  <c r="A188" i="19"/>
  <c r="B188" i="19"/>
  <c r="C188" i="19"/>
  <c r="H188" i="19"/>
  <c r="I188" i="19"/>
  <c r="J188" i="19"/>
  <c r="E188" i="19"/>
  <c r="M188" i="19"/>
  <c r="D188" i="19"/>
  <c r="F188" i="19"/>
  <c r="G188" i="19"/>
  <c r="N188" i="19"/>
  <c r="K188" i="19"/>
  <c r="Q188" i="19"/>
  <c r="C188" i="25" s="1"/>
  <c r="A189" i="19"/>
  <c r="B189" i="19"/>
  <c r="C189" i="19"/>
  <c r="H189" i="19"/>
  <c r="I189" i="19"/>
  <c r="J189" i="19"/>
  <c r="E189" i="19"/>
  <c r="M189" i="19"/>
  <c r="D189" i="19"/>
  <c r="F189" i="19"/>
  <c r="G189" i="19"/>
  <c r="N189" i="19"/>
  <c r="K189" i="19"/>
  <c r="Q189" i="19"/>
  <c r="C189" i="25" s="1"/>
  <c r="A190" i="19"/>
  <c r="B190" i="19"/>
  <c r="C190" i="19"/>
  <c r="H190" i="19"/>
  <c r="I190" i="19"/>
  <c r="J190" i="19"/>
  <c r="E190" i="19"/>
  <c r="M190" i="19"/>
  <c r="D190" i="19"/>
  <c r="F190" i="19"/>
  <c r="G190" i="19"/>
  <c r="N190" i="19"/>
  <c r="K190" i="19"/>
  <c r="Q190" i="19"/>
  <c r="C190" i="25" s="1"/>
  <c r="A191" i="19"/>
  <c r="B191" i="19"/>
  <c r="C191" i="19"/>
  <c r="H191" i="19"/>
  <c r="I191" i="19"/>
  <c r="J191" i="19"/>
  <c r="E191" i="19"/>
  <c r="M191" i="19"/>
  <c r="D191" i="19"/>
  <c r="F191" i="19"/>
  <c r="G191" i="19"/>
  <c r="N191" i="19"/>
  <c r="K191" i="19"/>
  <c r="Q191" i="19"/>
  <c r="C191" i="25" s="1"/>
  <c r="A192" i="19"/>
  <c r="B192" i="19"/>
  <c r="C192" i="19"/>
  <c r="H192" i="19"/>
  <c r="I192" i="19"/>
  <c r="J192" i="19"/>
  <c r="E192" i="19"/>
  <c r="M192" i="19"/>
  <c r="D192" i="19"/>
  <c r="F192" i="19"/>
  <c r="G192" i="19"/>
  <c r="N192" i="19"/>
  <c r="K192" i="19"/>
  <c r="Q192" i="19"/>
  <c r="C192" i="25" s="1"/>
  <c r="A193" i="19"/>
  <c r="B193" i="19"/>
  <c r="C193" i="19"/>
  <c r="H193" i="19"/>
  <c r="I193" i="19"/>
  <c r="J193" i="19"/>
  <c r="E193" i="19"/>
  <c r="M193" i="19"/>
  <c r="D193" i="19"/>
  <c r="F193" i="19"/>
  <c r="G193" i="19"/>
  <c r="N193" i="19"/>
  <c r="K193" i="19"/>
  <c r="Q193" i="19"/>
  <c r="C193" i="25" s="1"/>
  <c r="A194" i="19"/>
  <c r="B194" i="19"/>
  <c r="C194" i="19"/>
  <c r="H194" i="19"/>
  <c r="I194" i="19"/>
  <c r="J194" i="19"/>
  <c r="E194" i="19"/>
  <c r="M194" i="19"/>
  <c r="D194" i="19"/>
  <c r="F194" i="19"/>
  <c r="G194" i="19"/>
  <c r="N194" i="19"/>
  <c r="K194" i="19"/>
  <c r="Q194" i="19"/>
  <c r="C194" i="25" s="1"/>
  <c r="A195" i="19"/>
  <c r="B195" i="19"/>
  <c r="C195" i="19"/>
  <c r="H195" i="19"/>
  <c r="I195" i="19"/>
  <c r="J195" i="19"/>
  <c r="E195" i="19"/>
  <c r="M195" i="19"/>
  <c r="D195" i="19"/>
  <c r="F195" i="19"/>
  <c r="G195" i="19"/>
  <c r="N195" i="19"/>
  <c r="K195" i="19"/>
  <c r="Q195" i="19"/>
  <c r="C195" i="25" s="1"/>
  <c r="A196" i="19"/>
  <c r="B196" i="19"/>
  <c r="C196" i="19"/>
  <c r="H196" i="19"/>
  <c r="I196" i="19"/>
  <c r="J196" i="19"/>
  <c r="E196" i="19"/>
  <c r="M196" i="19"/>
  <c r="D196" i="19"/>
  <c r="F196" i="19"/>
  <c r="G196" i="19"/>
  <c r="N196" i="19"/>
  <c r="K196" i="19"/>
  <c r="Q196" i="19"/>
  <c r="C196" i="25" s="1"/>
  <c r="A197" i="19"/>
  <c r="B197" i="19"/>
  <c r="C197" i="19"/>
  <c r="H197" i="19"/>
  <c r="I197" i="19"/>
  <c r="J197" i="19"/>
  <c r="E197" i="19"/>
  <c r="M197" i="19"/>
  <c r="D197" i="19"/>
  <c r="F197" i="19"/>
  <c r="G197" i="19"/>
  <c r="N197" i="19"/>
  <c r="K197" i="19"/>
  <c r="Q197" i="19"/>
  <c r="C197" i="25" s="1"/>
  <c r="A198" i="19"/>
  <c r="B198" i="19"/>
  <c r="C198" i="19"/>
  <c r="H198" i="19"/>
  <c r="I198" i="19"/>
  <c r="J198" i="19"/>
  <c r="E198" i="19"/>
  <c r="M198" i="19"/>
  <c r="D198" i="19"/>
  <c r="F198" i="19"/>
  <c r="G198" i="19"/>
  <c r="N198" i="19"/>
  <c r="K198" i="19"/>
  <c r="Q198" i="19"/>
  <c r="C198" i="25" s="1"/>
  <c r="A199" i="19"/>
  <c r="B199" i="19"/>
  <c r="C199" i="19"/>
  <c r="H199" i="19"/>
  <c r="I199" i="19"/>
  <c r="J199" i="19"/>
  <c r="E199" i="19"/>
  <c r="M199" i="19"/>
  <c r="D199" i="19"/>
  <c r="F199" i="19"/>
  <c r="G199" i="19"/>
  <c r="N199" i="19"/>
  <c r="K199" i="19"/>
  <c r="Q199" i="19"/>
  <c r="C199" i="25" s="1"/>
  <c r="A200" i="19"/>
  <c r="B200" i="19"/>
  <c r="C200" i="19"/>
  <c r="H200" i="19"/>
  <c r="I200" i="19"/>
  <c r="J200" i="19"/>
  <c r="E200" i="19"/>
  <c r="M200" i="19"/>
  <c r="D200" i="19"/>
  <c r="F200" i="19"/>
  <c r="G200" i="19"/>
  <c r="N200" i="19"/>
  <c r="K200" i="19"/>
  <c r="Q200" i="19"/>
  <c r="C200" i="25" s="1"/>
  <c r="A201" i="19"/>
  <c r="B201" i="19"/>
  <c r="C201" i="19"/>
  <c r="H201" i="19"/>
  <c r="I201" i="19"/>
  <c r="J201" i="19"/>
  <c r="E201" i="19"/>
  <c r="M201" i="19"/>
  <c r="D201" i="19"/>
  <c r="F201" i="19"/>
  <c r="G201" i="19"/>
  <c r="N201" i="19"/>
  <c r="K201" i="19"/>
  <c r="Q201" i="19"/>
  <c r="C201" i="25" s="1"/>
  <c r="A202" i="19"/>
  <c r="B202" i="19"/>
  <c r="C202" i="19"/>
  <c r="H202" i="19"/>
  <c r="I202" i="19"/>
  <c r="J202" i="19"/>
  <c r="E202" i="19"/>
  <c r="M202" i="19"/>
  <c r="D202" i="19"/>
  <c r="F202" i="19"/>
  <c r="G202" i="19"/>
  <c r="N202" i="19"/>
  <c r="K202" i="19"/>
  <c r="Q202" i="19"/>
  <c r="C202" i="25" s="1"/>
  <c r="A203" i="19"/>
  <c r="B203" i="19"/>
  <c r="C203" i="19"/>
  <c r="H203" i="19"/>
  <c r="I203" i="19"/>
  <c r="J203" i="19"/>
  <c r="E203" i="19"/>
  <c r="M203" i="19"/>
  <c r="D203" i="19"/>
  <c r="F203" i="19"/>
  <c r="G203" i="19"/>
  <c r="N203" i="19"/>
  <c r="K203" i="19"/>
  <c r="Q203" i="19"/>
  <c r="C203" i="25" s="1"/>
  <c r="A204" i="19"/>
  <c r="B204" i="19"/>
  <c r="C204" i="19"/>
  <c r="H204" i="19"/>
  <c r="I204" i="19"/>
  <c r="J204" i="19"/>
  <c r="E204" i="19"/>
  <c r="M204" i="19"/>
  <c r="D204" i="19"/>
  <c r="F204" i="19"/>
  <c r="G204" i="19"/>
  <c r="N204" i="19"/>
  <c r="K204" i="19"/>
  <c r="Q204" i="19"/>
  <c r="C204" i="25" s="1"/>
  <c r="A205" i="19"/>
  <c r="B205" i="19"/>
  <c r="C205" i="19"/>
  <c r="H205" i="19"/>
  <c r="I205" i="19"/>
  <c r="J205" i="19"/>
  <c r="E205" i="19"/>
  <c r="M205" i="19"/>
  <c r="D205" i="19"/>
  <c r="F205" i="19"/>
  <c r="G205" i="19"/>
  <c r="N205" i="19"/>
  <c r="K205" i="19"/>
  <c r="Q205" i="19"/>
  <c r="C205" i="25" s="1"/>
  <c r="A206" i="19"/>
  <c r="B206" i="19"/>
  <c r="C206" i="19"/>
  <c r="H206" i="19"/>
  <c r="I206" i="19"/>
  <c r="J206" i="19"/>
  <c r="E206" i="19"/>
  <c r="M206" i="19"/>
  <c r="D206" i="19"/>
  <c r="F206" i="19"/>
  <c r="G206" i="19"/>
  <c r="N206" i="19"/>
  <c r="K206" i="19"/>
  <c r="Q206" i="19"/>
  <c r="C206" i="25" s="1"/>
  <c r="A207" i="19"/>
  <c r="B207" i="19"/>
  <c r="C207" i="19"/>
  <c r="H207" i="19"/>
  <c r="I207" i="19"/>
  <c r="J207" i="19"/>
  <c r="E207" i="19"/>
  <c r="M207" i="19"/>
  <c r="D207" i="19"/>
  <c r="F207" i="19"/>
  <c r="G207" i="19"/>
  <c r="N207" i="19"/>
  <c r="K207" i="19"/>
  <c r="Q207" i="19"/>
  <c r="C207" i="25" s="1"/>
  <c r="A208" i="19"/>
  <c r="B208" i="19"/>
  <c r="C208" i="19"/>
  <c r="H208" i="19"/>
  <c r="I208" i="19"/>
  <c r="J208" i="19"/>
  <c r="E208" i="19"/>
  <c r="M208" i="19"/>
  <c r="D208" i="19"/>
  <c r="F208" i="19"/>
  <c r="G208" i="19"/>
  <c r="N208" i="19"/>
  <c r="K208" i="19"/>
  <c r="Q208" i="19"/>
  <c r="C208" i="25" s="1"/>
  <c r="A209" i="19"/>
  <c r="B209" i="19"/>
  <c r="C209" i="19"/>
  <c r="H209" i="19"/>
  <c r="I209" i="19"/>
  <c r="J209" i="19"/>
  <c r="E209" i="19"/>
  <c r="M209" i="19"/>
  <c r="D209" i="19"/>
  <c r="F209" i="19"/>
  <c r="G209" i="19"/>
  <c r="N209" i="19"/>
  <c r="K209" i="19"/>
  <c r="Q209" i="19"/>
  <c r="C209" i="25" s="1"/>
  <c r="A210" i="19"/>
  <c r="B210" i="19"/>
  <c r="C210" i="19"/>
  <c r="H210" i="19"/>
  <c r="I210" i="19"/>
  <c r="J210" i="19"/>
  <c r="E210" i="19"/>
  <c r="M210" i="19"/>
  <c r="D210" i="19"/>
  <c r="F210" i="19"/>
  <c r="G210" i="19"/>
  <c r="N210" i="19"/>
  <c r="K210" i="19"/>
  <c r="Q210" i="19"/>
  <c r="C210" i="25" s="1"/>
  <c r="A211" i="19"/>
  <c r="B211" i="19"/>
  <c r="C211" i="19"/>
  <c r="H211" i="19"/>
  <c r="I211" i="19"/>
  <c r="J211" i="19"/>
  <c r="E211" i="19"/>
  <c r="M211" i="19"/>
  <c r="D211" i="19"/>
  <c r="F211" i="19"/>
  <c r="G211" i="19"/>
  <c r="N211" i="19"/>
  <c r="K211" i="19"/>
  <c r="Q211" i="19"/>
  <c r="C211" i="25" s="1"/>
  <c r="A212" i="19"/>
  <c r="B212" i="19"/>
  <c r="C212" i="19"/>
  <c r="H212" i="19"/>
  <c r="I212" i="19"/>
  <c r="J212" i="19"/>
  <c r="E212" i="19"/>
  <c r="M212" i="19"/>
  <c r="D212" i="19"/>
  <c r="F212" i="19"/>
  <c r="G212" i="19"/>
  <c r="N212" i="19"/>
  <c r="K212" i="19"/>
  <c r="Q212" i="19"/>
  <c r="C212" i="25" s="1"/>
  <c r="A213" i="19"/>
  <c r="B213" i="19"/>
  <c r="C213" i="19"/>
  <c r="H213" i="19"/>
  <c r="I213" i="19"/>
  <c r="J213" i="19"/>
  <c r="E213" i="19"/>
  <c r="M213" i="19"/>
  <c r="D213" i="19"/>
  <c r="F213" i="19"/>
  <c r="G213" i="19"/>
  <c r="N213" i="19"/>
  <c r="K213" i="19"/>
  <c r="Q213" i="19"/>
  <c r="C213" i="25" s="1"/>
  <c r="A214" i="19"/>
  <c r="B214" i="19"/>
  <c r="C214" i="19"/>
  <c r="H214" i="19"/>
  <c r="I214" i="19"/>
  <c r="J214" i="19"/>
  <c r="E214" i="19"/>
  <c r="M214" i="19"/>
  <c r="D214" i="19"/>
  <c r="F214" i="19"/>
  <c r="G214" i="19"/>
  <c r="N214" i="19"/>
  <c r="K214" i="19"/>
  <c r="Q214" i="19"/>
  <c r="C214" i="25" s="1"/>
  <c r="A215" i="19"/>
  <c r="B215" i="19"/>
  <c r="C215" i="19"/>
  <c r="H215" i="19"/>
  <c r="I215" i="19"/>
  <c r="J215" i="19"/>
  <c r="E215" i="19"/>
  <c r="M215" i="19"/>
  <c r="D215" i="19"/>
  <c r="F215" i="19"/>
  <c r="G215" i="19"/>
  <c r="N215" i="19"/>
  <c r="K215" i="19"/>
  <c r="Q215" i="19"/>
  <c r="C215" i="25" s="1"/>
  <c r="A216" i="19"/>
  <c r="B216" i="19"/>
  <c r="C216" i="19"/>
  <c r="H216" i="19"/>
  <c r="I216" i="19"/>
  <c r="J216" i="19"/>
  <c r="E216" i="19"/>
  <c r="M216" i="19"/>
  <c r="D216" i="19"/>
  <c r="F216" i="19"/>
  <c r="G216" i="19"/>
  <c r="N216" i="19"/>
  <c r="K216" i="19"/>
  <c r="Q216" i="19"/>
  <c r="C216" i="25" s="1"/>
  <c r="A217" i="19"/>
  <c r="B217" i="19"/>
  <c r="C217" i="19"/>
  <c r="H217" i="19"/>
  <c r="I217" i="19"/>
  <c r="J217" i="19"/>
  <c r="E217" i="19"/>
  <c r="M217" i="19"/>
  <c r="D217" i="19"/>
  <c r="F217" i="19"/>
  <c r="G217" i="19"/>
  <c r="N217" i="19"/>
  <c r="K217" i="19"/>
  <c r="Q217" i="19"/>
  <c r="C217" i="25" s="1"/>
  <c r="A218" i="19"/>
  <c r="B218" i="19"/>
  <c r="C218" i="19"/>
  <c r="H218" i="19"/>
  <c r="I218" i="19"/>
  <c r="J218" i="19"/>
  <c r="E218" i="19"/>
  <c r="M218" i="19"/>
  <c r="D218" i="19"/>
  <c r="F218" i="19"/>
  <c r="G218" i="19"/>
  <c r="N218" i="19"/>
  <c r="K218" i="19"/>
  <c r="Q218" i="19"/>
  <c r="C218" i="25" s="1"/>
  <c r="A219" i="19"/>
  <c r="B219" i="19"/>
  <c r="C219" i="19"/>
  <c r="H219" i="19"/>
  <c r="I219" i="19"/>
  <c r="J219" i="19"/>
  <c r="E219" i="19"/>
  <c r="M219" i="19"/>
  <c r="D219" i="19"/>
  <c r="F219" i="19"/>
  <c r="G219" i="19"/>
  <c r="N219" i="19"/>
  <c r="K219" i="19"/>
  <c r="Q219" i="19"/>
  <c r="C219" i="25" s="1"/>
  <c r="A220" i="19"/>
  <c r="B220" i="19"/>
  <c r="C220" i="19"/>
  <c r="H220" i="19"/>
  <c r="I220" i="19"/>
  <c r="J220" i="19"/>
  <c r="E220" i="19"/>
  <c r="M220" i="19"/>
  <c r="D220" i="19"/>
  <c r="F220" i="19"/>
  <c r="G220" i="19"/>
  <c r="N220" i="19"/>
  <c r="K220" i="19"/>
  <c r="Q220" i="19"/>
  <c r="C220" i="25" s="1"/>
  <c r="A221" i="19"/>
  <c r="B221" i="19"/>
  <c r="C221" i="19"/>
  <c r="H221" i="19"/>
  <c r="I221" i="19"/>
  <c r="J221" i="19"/>
  <c r="E221" i="19"/>
  <c r="M221" i="19"/>
  <c r="D221" i="19"/>
  <c r="F221" i="19"/>
  <c r="G221" i="19"/>
  <c r="N221" i="19"/>
  <c r="K221" i="19"/>
  <c r="Q221" i="19"/>
  <c r="C221" i="25" s="1"/>
  <c r="A222" i="19"/>
  <c r="B222" i="19"/>
  <c r="C222" i="19"/>
  <c r="H222" i="19"/>
  <c r="I222" i="19"/>
  <c r="J222" i="19"/>
  <c r="E222" i="19"/>
  <c r="M222" i="19"/>
  <c r="D222" i="19"/>
  <c r="F222" i="19"/>
  <c r="G222" i="19"/>
  <c r="N222" i="19"/>
  <c r="K222" i="19"/>
  <c r="Q222" i="19"/>
  <c r="C222" i="25" s="1"/>
  <c r="A223" i="19"/>
  <c r="B223" i="19"/>
  <c r="C223" i="19"/>
  <c r="H223" i="19"/>
  <c r="I223" i="19"/>
  <c r="J223" i="19"/>
  <c r="E223" i="19"/>
  <c r="M223" i="19"/>
  <c r="D223" i="19"/>
  <c r="F223" i="19"/>
  <c r="G223" i="19"/>
  <c r="N223" i="19"/>
  <c r="K223" i="19"/>
  <c r="Q223" i="19"/>
  <c r="C223" i="25" s="1"/>
  <c r="A224" i="19"/>
  <c r="B224" i="19"/>
  <c r="C224" i="19"/>
  <c r="H224" i="19"/>
  <c r="I224" i="19"/>
  <c r="J224" i="19"/>
  <c r="E224" i="19"/>
  <c r="M224" i="19"/>
  <c r="D224" i="19"/>
  <c r="F224" i="19"/>
  <c r="G224" i="19"/>
  <c r="N224" i="19"/>
  <c r="K224" i="19"/>
  <c r="Q224" i="19"/>
  <c r="C224" i="25" s="1"/>
  <c r="A225" i="19"/>
  <c r="B225" i="19"/>
  <c r="C225" i="19"/>
  <c r="H225" i="19"/>
  <c r="I225" i="19"/>
  <c r="J225" i="19"/>
  <c r="E225" i="19"/>
  <c r="M225" i="19"/>
  <c r="D225" i="19"/>
  <c r="F225" i="19"/>
  <c r="G225" i="19"/>
  <c r="N225" i="19"/>
  <c r="K225" i="19"/>
  <c r="Q225" i="19"/>
  <c r="C225" i="25" s="1"/>
  <c r="A226" i="19"/>
  <c r="B226" i="19"/>
  <c r="C226" i="19"/>
  <c r="H226" i="19"/>
  <c r="I226" i="19"/>
  <c r="J226" i="19"/>
  <c r="E226" i="19"/>
  <c r="M226" i="19"/>
  <c r="D226" i="19"/>
  <c r="F226" i="19"/>
  <c r="G226" i="19"/>
  <c r="N226" i="19"/>
  <c r="K226" i="19"/>
  <c r="Q226" i="19"/>
  <c r="C226" i="25" s="1"/>
  <c r="A227" i="19"/>
  <c r="B227" i="19"/>
  <c r="C227" i="19"/>
  <c r="H227" i="19"/>
  <c r="I227" i="19"/>
  <c r="J227" i="19"/>
  <c r="E227" i="19"/>
  <c r="M227" i="19"/>
  <c r="D227" i="19"/>
  <c r="F227" i="19"/>
  <c r="G227" i="19"/>
  <c r="N227" i="19"/>
  <c r="K227" i="19"/>
  <c r="Q227" i="19"/>
  <c r="C227" i="25" s="1"/>
  <c r="A228" i="19"/>
  <c r="B228" i="19"/>
  <c r="C228" i="19"/>
  <c r="H228" i="19"/>
  <c r="I228" i="19"/>
  <c r="J228" i="19"/>
  <c r="E228" i="19"/>
  <c r="M228" i="19"/>
  <c r="D228" i="19"/>
  <c r="F228" i="19"/>
  <c r="G228" i="19"/>
  <c r="N228" i="19"/>
  <c r="K228" i="19"/>
  <c r="Q228" i="19"/>
  <c r="C228" i="25" s="1"/>
  <c r="A229" i="19"/>
  <c r="B229" i="19"/>
  <c r="C229" i="19"/>
  <c r="H229" i="19"/>
  <c r="I229" i="19"/>
  <c r="J229" i="19"/>
  <c r="E229" i="19"/>
  <c r="M229" i="19"/>
  <c r="D229" i="19"/>
  <c r="F229" i="19"/>
  <c r="G229" i="19"/>
  <c r="N229" i="19"/>
  <c r="K229" i="19"/>
  <c r="Q229" i="19"/>
  <c r="C229" i="25" s="1"/>
  <c r="A230" i="19"/>
  <c r="B230" i="19"/>
  <c r="C230" i="19"/>
  <c r="H230" i="19"/>
  <c r="I230" i="19"/>
  <c r="J230" i="19"/>
  <c r="E230" i="19"/>
  <c r="M230" i="19"/>
  <c r="D230" i="19"/>
  <c r="F230" i="19"/>
  <c r="G230" i="19"/>
  <c r="N230" i="19"/>
  <c r="K230" i="19"/>
  <c r="Q230" i="19"/>
  <c r="C230" i="25" s="1"/>
  <c r="A231" i="19"/>
  <c r="B231" i="19"/>
  <c r="C231" i="19"/>
  <c r="H231" i="19"/>
  <c r="I231" i="19"/>
  <c r="J231" i="19"/>
  <c r="E231" i="19"/>
  <c r="M231" i="19"/>
  <c r="D231" i="19"/>
  <c r="F231" i="19"/>
  <c r="G231" i="19"/>
  <c r="N231" i="19"/>
  <c r="K231" i="19"/>
  <c r="Q231" i="19"/>
  <c r="C231" i="25" s="1"/>
  <c r="A232" i="19"/>
  <c r="B232" i="19"/>
  <c r="C232" i="19"/>
  <c r="H232" i="19"/>
  <c r="I232" i="19"/>
  <c r="J232" i="19"/>
  <c r="E232" i="19"/>
  <c r="M232" i="19"/>
  <c r="D232" i="19"/>
  <c r="F232" i="19"/>
  <c r="G232" i="19"/>
  <c r="N232" i="19"/>
  <c r="K232" i="19"/>
  <c r="Q232" i="19"/>
  <c r="C232" i="25" s="1"/>
  <c r="A233" i="19"/>
  <c r="B233" i="19"/>
  <c r="C233" i="19"/>
  <c r="H233" i="19"/>
  <c r="I233" i="19"/>
  <c r="J233" i="19"/>
  <c r="E233" i="19"/>
  <c r="M233" i="19"/>
  <c r="D233" i="19"/>
  <c r="F233" i="19"/>
  <c r="G233" i="19"/>
  <c r="N233" i="19"/>
  <c r="K233" i="19"/>
  <c r="Q233" i="19"/>
  <c r="C233" i="25" s="1"/>
  <c r="A234" i="19"/>
  <c r="B234" i="19"/>
  <c r="C234" i="19"/>
  <c r="H234" i="19"/>
  <c r="I234" i="19"/>
  <c r="J234" i="19"/>
  <c r="E234" i="19"/>
  <c r="M234" i="19"/>
  <c r="D234" i="19"/>
  <c r="F234" i="19"/>
  <c r="G234" i="19"/>
  <c r="N234" i="19"/>
  <c r="K234" i="19"/>
  <c r="Q234" i="19"/>
  <c r="C234" i="25" s="1"/>
  <c r="A235" i="19"/>
  <c r="B235" i="19"/>
  <c r="C235" i="19"/>
  <c r="H235" i="19"/>
  <c r="I235" i="19"/>
  <c r="J235" i="19"/>
  <c r="E235" i="19"/>
  <c r="M235" i="19"/>
  <c r="D235" i="19"/>
  <c r="F235" i="19"/>
  <c r="G235" i="19"/>
  <c r="N235" i="19"/>
  <c r="K235" i="19"/>
  <c r="Q235" i="19"/>
  <c r="C235" i="25" s="1"/>
  <c r="A236" i="19"/>
  <c r="B236" i="19"/>
  <c r="C236" i="19"/>
  <c r="H236" i="19"/>
  <c r="I236" i="19"/>
  <c r="J236" i="19"/>
  <c r="E236" i="19"/>
  <c r="M236" i="19"/>
  <c r="D236" i="19"/>
  <c r="F236" i="19"/>
  <c r="G236" i="19"/>
  <c r="N236" i="19"/>
  <c r="K236" i="19"/>
  <c r="Q236" i="19"/>
  <c r="C236" i="25" s="1"/>
  <c r="A237" i="19"/>
  <c r="B237" i="19"/>
  <c r="C237" i="19"/>
  <c r="H237" i="19"/>
  <c r="I237" i="19"/>
  <c r="J237" i="19"/>
  <c r="E237" i="19"/>
  <c r="M237" i="19"/>
  <c r="D237" i="19"/>
  <c r="F237" i="19"/>
  <c r="G237" i="19"/>
  <c r="N237" i="19"/>
  <c r="K237" i="19"/>
  <c r="Q237" i="19"/>
  <c r="C237" i="25" s="1"/>
  <c r="A238" i="19"/>
  <c r="B238" i="19"/>
  <c r="C238" i="19"/>
  <c r="H238" i="19"/>
  <c r="I238" i="19"/>
  <c r="J238" i="19"/>
  <c r="E238" i="19"/>
  <c r="M238" i="19"/>
  <c r="D238" i="19"/>
  <c r="F238" i="19"/>
  <c r="G238" i="19"/>
  <c r="N238" i="19"/>
  <c r="K238" i="19"/>
  <c r="Q238" i="19"/>
  <c r="C238" i="25" s="1"/>
  <c r="A239" i="19"/>
  <c r="B239" i="19"/>
  <c r="C239" i="19"/>
  <c r="H239" i="19"/>
  <c r="I239" i="19"/>
  <c r="J239" i="19"/>
  <c r="E239" i="19"/>
  <c r="M239" i="19"/>
  <c r="D239" i="19"/>
  <c r="F239" i="19"/>
  <c r="G239" i="19"/>
  <c r="N239" i="19"/>
  <c r="K239" i="19"/>
  <c r="Q239" i="19"/>
  <c r="C239" i="25" s="1"/>
  <c r="A240" i="19"/>
  <c r="B240" i="19"/>
  <c r="C240" i="19"/>
  <c r="H240" i="19"/>
  <c r="I240" i="19"/>
  <c r="J240" i="19"/>
  <c r="E240" i="19"/>
  <c r="M240" i="19"/>
  <c r="D240" i="19"/>
  <c r="F240" i="19"/>
  <c r="G240" i="19"/>
  <c r="N240" i="19"/>
  <c r="K240" i="19"/>
  <c r="Q240" i="19"/>
  <c r="C240" i="25" s="1"/>
  <c r="A241" i="19"/>
  <c r="B241" i="19"/>
  <c r="C241" i="19"/>
  <c r="H241" i="19"/>
  <c r="I241" i="19"/>
  <c r="J241" i="19"/>
  <c r="E241" i="19"/>
  <c r="M241" i="19"/>
  <c r="D241" i="19"/>
  <c r="F241" i="19"/>
  <c r="G241" i="19"/>
  <c r="N241" i="19"/>
  <c r="K241" i="19"/>
  <c r="Q241" i="19"/>
  <c r="C241" i="25" s="1"/>
  <c r="A242" i="19"/>
  <c r="B242" i="19"/>
  <c r="C242" i="19"/>
  <c r="H242" i="19"/>
  <c r="I242" i="19"/>
  <c r="J242" i="19"/>
  <c r="E242" i="19"/>
  <c r="M242" i="19"/>
  <c r="D242" i="19"/>
  <c r="F242" i="19"/>
  <c r="G242" i="19"/>
  <c r="N242" i="19"/>
  <c r="K242" i="19"/>
  <c r="Q242" i="19"/>
  <c r="C242" i="25" s="1"/>
  <c r="A243" i="19"/>
  <c r="B243" i="19"/>
  <c r="C243" i="19"/>
  <c r="H243" i="19"/>
  <c r="I243" i="19"/>
  <c r="J243" i="19"/>
  <c r="E243" i="19"/>
  <c r="M243" i="19"/>
  <c r="D243" i="19"/>
  <c r="F243" i="19"/>
  <c r="G243" i="19"/>
  <c r="N243" i="19"/>
  <c r="K243" i="19"/>
  <c r="Q243" i="19"/>
  <c r="C243" i="25" s="1"/>
  <c r="A244" i="19"/>
  <c r="B244" i="19"/>
  <c r="C244" i="19"/>
  <c r="H244" i="19"/>
  <c r="I244" i="19"/>
  <c r="J244" i="19"/>
  <c r="E244" i="19"/>
  <c r="M244" i="19"/>
  <c r="D244" i="19"/>
  <c r="F244" i="19"/>
  <c r="G244" i="19"/>
  <c r="N244" i="19"/>
  <c r="K244" i="19"/>
  <c r="Q244" i="19"/>
  <c r="C244" i="25" s="1"/>
  <c r="A245" i="19"/>
  <c r="B245" i="19"/>
  <c r="C245" i="19"/>
  <c r="H245" i="19"/>
  <c r="I245" i="19"/>
  <c r="J245" i="19"/>
  <c r="E245" i="19"/>
  <c r="M245" i="19"/>
  <c r="D245" i="19"/>
  <c r="F245" i="19"/>
  <c r="G245" i="19"/>
  <c r="N245" i="19"/>
  <c r="K245" i="19"/>
  <c r="Q245" i="19"/>
  <c r="C245" i="25" s="1"/>
  <c r="A246" i="19"/>
  <c r="B246" i="19"/>
  <c r="C246" i="19"/>
  <c r="H246" i="19"/>
  <c r="I246" i="19"/>
  <c r="J246" i="19"/>
  <c r="E246" i="19"/>
  <c r="M246" i="19"/>
  <c r="D246" i="19"/>
  <c r="F246" i="19"/>
  <c r="G246" i="19"/>
  <c r="N246" i="19"/>
  <c r="K246" i="19"/>
  <c r="Q246" i="19"/>
  <c r="C246" i="25" s="1"/>
  <c r="A247" i="19"/>
  <c r="B247" i="19"/>
  <c r="C247" i="19"/>
  <c r="H247" i="19"/>
  <c r="I247" i="19"/>
  <c r="J247" i="19"/>
  <c r="E247" i="19"/>
  <c r="M247" i="19"/>
  <c r="D247" i="19"/>
  <c r="F247" i="19"/>
  <c r="G247" i="19"/>
  <c r="N247" i="19"/>
  <c r="K247" i="19"/>
  <c r="Q247" i="19"/>
  <c r="C247" i="25" s="1"/>
  <c r="A248" i="19"/>
  <c r="B248" i="19"/>
  <c r="C248" i="19"/>
  <c r="H248" i="19"/>
  <c r="I248" i="19"/>
  <c r="J248" i="19"/>
  <c r="E248" i="19"/>
  <c r="M248" i="19"/>
  <c r="D248" i="19"/>
  <c r="F248" i="19"/>
  <c r="G248" i="19"/>
  <c r="N248" i="19"/>
  <c r="K248" i="19"/>
  <c r="Q248" i="19"/>
  <c r="C248" i="25" s="1"/>
  <c r="A249" i="19"/>
  <c r="B249" i="19"/>
  <c r="C249" i="19"/>
  <c r="H249" i="19"/>
  <c r="I249" i="19"/>
  <c r="J249" i="19"/>
  <c r="E249" i="19"/>
  <c r="M249" i="19"/>
  <c r="D249" i="19"/>
  <c r="F249" i="19"/>
  <c r="G249" i="19"/>
  <c r="N249" i="19"/>
  <c r="K249" i="19"/>
  <c r="Q249" i="19"/>
  <c r="C249" i="25" s="1"/>
  <c r="A250" i="19"/>
  <c r="B250" i="19"/>
  <c r="C250" i="19"/>
  <c r="H250" i="19"/>
  <c r="I250" i="19"/>
  <c r="J250" i="19"/>
  <c r="E250" i="19"/>
  <c r="M250" i="19"/>
  <c r="D250" i="19"/>
  <c r="F250" i="19"/>
  <c r="G250" i="19"/>
  <c r="N250" i="19"/>
  <c r="K250" i="19"/>
  <c r="Q250" i="19"/>
  <c r="C250" i="25" s="1"/>
  <c r="A251" i="19"/>
  <c r="B251" i="19"/>
  <c r="C251" i="19"/>
  <c r="H251" i="19"/>
  <c r="I251" i="19"/>
  <c r="J251" i="19"/>
  <c r="E251" i="19"/>
  <c r="M251" i="19"/>
  <c r="D251" i="19"/>
  <c r="F251" i="19"/>
  <c r="G251" i="19"/>
  <c r="N251" i="19"/>
  <c r="K251" i="19"/>
  <c r="Q251" i="19"/>
  <c r="C251" i="25" s="1"/>
  <c r="A252" i="19"/>
  <c r="B252" i="19"/>
  <c r="C252" i="19"/>
  <c r="H252" i="19"/>
  <c r="I252" i="19"/>
  <c r="J252" i="19"/>
  <c r="E252" i="19"/>
  <c r="M252" i="19"/>
  <c r="D252" i="19"/>
  <c r="F252" i="19"/>
  <c r="G252" i="19"/>
  <c r="N252" i="19"/>
  <c r="K252" i="19"/>
  <c r="Q252" i="19"/>
  <c r="C252" i="25" s="1"/>
  <c r="A253" i="19"/>
  <c r="B253" i="19"/>
  <c r="C253" i="19"/>
  <c r="H253" i="19"/>
  <c r="I253" i="19"/>
  <c r="J253" i="19"/>
  <c r="E253" i="19"/>
  <c r="M253" i="19"/>
  <c r="D253" i="19"/>
  <c r="F253" i="19"/>
  <c r="G253" i="19"/>
  <c r="N253" i="19"/>
  <c r="K253" i="19"/>
  <c r="Q253" i="19"/>
  <c r="C253" i="25" s="1"/>
  <c r="A254" i="19"/>
  <c r="B254" i="19"/>
  <c r="C254" i="19"/>
  <c r="H254" i="19"/>
  <c r="I254" i="19"/>
  <c r="J254" i="19"/>
  <c r="E254" i="19"/>
  <c r="M254" i="19"/>
  <c r="D254" i="19"/>
  <c r="F254" i="19"/>
  <c r="G254" i="19"/>
  <c r="N254" i="19"/>
  <c r="K254" i="19"/>
  <c r="Q254" i="19"/>
  <c r="C254" i="25" s="1"/>
  <c r="A255" i="19"/>
  <c r="B255" i="19"/>
  <c r="C255" i="19"/>
  <c r="H255" i="19"/>
  <c r="I255" i="19"/>
  <c r="J255" i="19"/>
  <c r="E255" i="19"/>
  <c r="M255" i="19"/>
  <c r="D255" i="19"/>
  <c r="F255" i="19"/>
  <c r="G255" i="19"/>
  <c r="N255" i="19"/>
  <c r="K255" i="19"/>
  <c r="Q255" i="19"/>
  <c r="C255" i="25" s="1"/>
  <c r="A256" i="19"/>
  <c r="B256" i="19"/>
  <c r="C256" i="19"/>
  <c r="H256" i="19"/>
  <c r="I256" i="19"/>
  <c r="J256" i="19"/>
  <c r="E256" i="19"/>
  <c r="M256" i="19"/>
  <c r="D256" i="19"/>
  <c r="F256" i="19"/>
  <c r="G256" i="19"/>
  <c r="N256" i="19"/>
  <c r="K256" i="19"/>
  <c r="Q256" i="19"/>
  <c r="C256" i="25" s="1"/>
  <c r="A257" i="19"/>
  <c r="B257" i="19"/>
  <c r="C257" i="19"/>
  <c r="H257" i="19"/>
  <c r="I257" i="19"/>
  <c r="J257" i="19"/>
  <c r="E257" i="19"/>
  <c r="M257" i="19"/>
  <c r="D257" i="19"/>
  <c r="F257" i="19"/>
  <c r="G257" i="19"/>
  <c r="N257" i="19"/>
  <c r="K257" i="19"/>
  <c r="Q257" i="19"/>
  <c r="C257" i="25" s="1"/>
  <c r="A258" i="19"/>
  <c r="B258" i="19"/>
  <c r="C258" i="19"/>
  <c r="H258" i="19"/>
  <c r="I258" i="19"/>
  <c r="J258" i="19"/>
  <c r="E258" i="19"/>
  <c r="M258" i="19"/>
  <c r="D258" i="19"/>
  <c r="F258" i="19"/>
  <c r="G258" i="19"/>
  <c r="N258" i="19"/>
  <c r="K258" i="19"/>
  <c r="Q258" i="19"/>
  <c r="C258" i="25" s="1"/>
  <c r="A259" i="19"/>
  <c r="B259" i="19"/>
  <c r="C259" i="19"/>
  <c r="H259" i="19"/>
  <c r="I259" i="19"/>
  <c r="J259" i="19"/>
  <c r="E259" i="19"/>
  <c r="M259" i="19"/>
  <c r="D259" i="19"/>
  <c r="F259" i="19"/>
  <c r="G259" i="19"/>
  <c r="N259" i="19"/>
  <c r="K259" i="19"/>
  <c r="Q259" i="19"/>
  <c r="C259" i="25" s="1"/>
  <c r="A260" i="19"/>
  <c r="B260" i="19"/>
  <c r="C260" i="19"/>
  <c r="H260" i="19"/>
  <c r="I260" i="19"/>
  <c r="J260" i="19"/>
  <c r="E260" i="19"/>
  <c r="M260" i="19"/>
  <c r="D260" i="19"/>
  <c r="F260" i="19"/>
  <c r="G260" i="19"/>
  <c r="N260" i="19"/>
  <c r="K260" i="19"/>
  <c r="Q260" i="19"/>
  <c r="C260" i="25" s="1"/>
  <c r="A261" i="19"/>
  <c r="B261" i="19"/>
  <c r="C261" i="19"/>
  <c r="H261" i="19"/>
  <c r="I261" i="19"/>
  <c r="J261" i="19"/>
  <c r="E261" i="19"/>
  <c r="M261" i="19"/>
  <c r="D261" i="19"/>
  <c r="F261" i="19"/>
  <c r="G261" i="19"/>
  <c r="N261" i="19"/>
  <c r="K261" i="19"/>
  <c r="Q261" i="19"/>
  <c r="C261" i="25" s="1"/>
  <c r="A262" i="19"/>
  <c r="B262" i="19"/>
  <c r="C262" i="19"/>
  <c r="H262" i="19"/>
  <c r="I262" i="19"/>
  <c r="J262" i="19"/>
  <c r="E262" i="19"/>
  <c r="M262" i="19"/>
  <c r="D262" i="19"/>
  <c r="F262" i="19"/>
  <c r="G262" i="19"/>
  <c r="N262" i="19"/>
  <c r="K262" i="19"/>
  <c r="Q262" i="19"/>
  <c r="C262" i="25" s="1"/>
  <c r="A263" i="19"/>
  <c r="B263" i="19"/>
  <c r="C263" i="19"/>
  <c r="H263" i="19"/>
  <c r="I263" i="19"/>
  <c r="J263" i="19"/>
  <c r="E263" i="19"/>
  <c r="M263" i="19"/>
  <c r="D263" i="19"/>
  <c r="F263" i="19"/>
  <c r="G263" i="19"/>
  <c r="N263" i="19"/>
  <c r="K263" i="19"/>
  <c r="Q263" i="19"/>
  <c r="C263" i="25" s="1"/>
  <c r="A264" i="19"/>
  <c r="B264" i="19"/>
  <c r="C264" i="19"/>
  <c r="H264" i="19"/>
  <c r="I264" i="19"/>
  <c r="J264" i="19"/>
  <c r="E264" i="19"/>
  <c r="M264" i="19"/>
  <c r="D264" i="19"/>
  <c r="F264" i="19"/>
  <c r="G264" i="19"/>
  <c r="N264" i="19"/>
  <c r="K264" i="19"/>
  <c r="Q264" i="19"/>
  <c r="C264" i="25" s="1"/>
  <c r="A265" i="19"/>
  <c r="B265" i="19"/>
  <c r="C265" i="19"/>
  <c r="H265" i="19"/>
  <c r="I265" i="19"/>
  <c r="J265" i="19"/>
  <c r="E265" i="19"/>
  <c r="M265" i="19"/>
  <c r="D265" i="19"/>
  <c r="F265" i="19"/>
  <c r="G265" i="19"/>
  <c r="N265" i="19"/>
  <c r="K265" i="19"/>
  <c r="Q265" i="19"/>
  <c r="C265" i="25" s="1"/>
  <c r="A266" i="19"/>
  <c r="B266" i="19"/>
  <c r="C266" i="19"/>
  <c r="H266" i="19"/>
  <c r="I266" i="19"/>
  <c r="J266" i="19"/>
  <c r="E266" i="19"/>
  <c r="M266" i="19"/>
  <c r="D266" i="19"/>
  <c r="F266" i="19"/>
  <c r="G266" i="19"/>
  <c r="N266" i="19"/>
  <c r="K266" i="19"/>
  <c r="Q266" i="19"/>
  <c r="C266" i="25" s="1"/>
  <c r="A267" i="19"/>
  <c r="B267" i="19"/>
  <c r="C267" i="19"/>
  <c r="H267" i="19"/>
  <c r="I267" i="19"/>
  <c r="J267" i="19"/>
  <c r="E267" i="19"/>
  <c r="M267" i="19"/>
  <c r="D267" i="19"/>
  <c r="F267" i="19"/>
  <c r="G267" i="19"/>
  <c r="N267" i="19"/>
  <c r="K267" i="19"/>
  <c r="Q267" i="19"/>
  <c r="C267" i="25" s="1"/>
  <c r="A268" i="19"/>
  <c r="B268" i="19"/>
  <c r="C268" i="19"/>
  <c r="H268" i="19"/>
  <c r="I268" i="19"/>
  <c r="J268" i="19"/>
  <c r="E268" i="19"/>
  <c r="M268" i="19"/>
  <c r="D268" i="19"/>
  <c r="F268" i="19"/>
  <c r="G268" i="19"/>
  <c r="N268" i="19"/>
  <c r="K268" i="19"/>
  <c r="Q268" i="19"/>
  <c r="C268" i="25" s="1"/>
  <c r="A269" i="19"/>
  <c r="B269" i="19"/>
  <c r="C269" i="19"/>
  <c r="H269" i="19"/>
  <c r="I269" i="19"/>
  <c r="J269" i="19"/>
  <c r="E269" i="19"/>
  <c r="M269" i="19"/>
  <c r="D269" i="19"/>
  <c r="F269" i="19"/>
  <c r="G269" i="19"/>
  <c r="N269" i="19"/>
  <c r="K269" i="19"/>
  <c r="Q269" i="19"/>
  <c r="C269" i="25" s="1"/>
  <c r="A270" i="19"/>
  <c r="B270" i="19"/>
  <c r="C270" i="19"/>
  <c r="H270" i="19"/>
  <c r="I270" i="19"/>
  <c r="J270" i="19"/>
  <c r="E270" i="19"/>
  <c r="M270" i="19"/>
  <c r="D270" i="19"/>
  <c r="F270" i="19"/>
  <c r="G270" i="19"/>
  <c r="N270" i="19"/>
  <c r="K270" i="19"/>
  <c r="Q270" i="19"/>
  <c r="C270" i="25" s="1"/>
  <c r="A271" i="19"/>
  <c r="B271" i="19"/>
  <c r="C271" i="19"/>
  <c r="H271" i="19"/>
  <c r="I271" i="19"/>
  <c r="J271" i="19"/>
  <c r="E271" i="19"/>
  <c r="M271" i="19"/>
  <c r="D271" i="19"/>
  <c r="F271" i="19"/>
  <c r="G271" i="19"/>
  <c r="N271" i="19"/>
  <c r="K271" i="19"/>
  <c r="Q271" i="19"/>
  <c r="C271" i="25" s="1"/>
  <c r="A272" i="19"/>
  <c r="B272" i="19"/>
  <c r="C272" i="19"/>
  <c r="H272" i="19"/>
  <c r="I272" i="19"/>
  <c r="J272" i="19"/>
  <c r="E272" i="19"/>
  <c r="M272" i="19"/>
  <c r="D272" i="19"/>
  <c r="F272" i="19"/>
  <c r="G272" i="19"/>
  <c r="N272" i="19"/>
  <c r="K272" i="19"/>
  <c r="Q272" i="19"/>
  <c r="C272" i="25" s="1"/>
  <c r="A273" i="19"/>
  <c r="B273" i="19"/>
  <c r="C273" i="19"/>
  <c r="H273" i="19"/>
  <c r="I273" i="19"/>
  <c r="J273" i="19"/>
  <c r="E273" i="19"/>
  <c r="M273" i="19"/>
  <c r="D273" i="19"/>
  <c r="F273" i="19"/>
  <c r="G273" i="19"/>
  <c r="N273" i="19"/>
  <c r="K273" i="19"/>
  <c r="Q273" i="19"/>
  <c r="C273" i="25" s="1"/>
  <c r="A274" i="19"/>
  <c r="B274" i="19"/>
  <c r="C274" i="19"/>
  <c r="H274" i="19"/>
  <c r="I274" i="19"/>
  <c r="J274" i="19"/>
  <c r="E274" i="19"/>
  <c r="M274" i="19"/>
  <c r="D274" i="19"/>
  <c r="F274" i="19"/>
  <c r="G274" i="19"/>
  <c r="N274" i="19"/>
  <c r="K274" i="19"/>
  <c r="Q274" i="19"/>
  <c r="C274" i="25" s="1"/>
  <c r="A275" i="19"/>
  <c r="B275" i="19"/>
  <c r="C275" i="19"/>
  <c r="H275" i="19"/>
  <c r="I275" i="19"/>
  <c r="J275" i="19"/>
  <c r="E275" i="19"/>
  <c r="M275" i="19"/>
  <c r="D275" i="19"/>
  <c r="F275" i="19"/>
  <c r="G275" i="19"/>
  <c r="N275" i="19"/>
  <c r="K275" i="19"/>
  <c r="Q275" i="19"/>
  <c r="C275" i="25" s="1"/>
  <c r="A276" i="19"/>
  <c r="B276" i="19"/>
  <c r="C276" i="19"/>
  <c r="H276" i="19"/>
  <c r="I276" i="19"/>
  <c r="J276" i="19"/>
  <c r="E276" i="19"/>
  <c r="M276" i="19"/>
  <c r="D276" i="19"/>
  <c r="F276" i="19"/>
  <c r="G276" i="19"/>
  <c r="N276" i="19"/>
  <c r="K276" i="19"/>
  <c r="Q276" i="19"/>
  <c r="C276" i="25" s="1"/>
  <c r="A277" i="19"/>
  <c r="B277" i="19"/>
  <c r="C277" i="19"/>
  <c r="H277" i="19"/>
  <c r="I277" i="19"/>
  <c r="J277" i="19"/>
  <c r="E277" i="19"/>
  <c r="M277" i="19"/>
  <c r="D277" i="19"/>
  <c r="F277" i="19"/>
  <c r="G277" i="19"/>
  <c r="N277" i="19"/>
  <c r="K277" i="19"/>
  <c r="Q277" i="19"/>
  <c r="C277" i="25" s="1"/>
  <c r="A278" i="19"/>
  <c r="B278" i="19"/>
  <c r="C278" i="19"/>
  <c r="H278" i="19"/>
  <c r="I278" i="19"/>
  <c r="J278" i="19"/>
  <c r="E278" i="19"/>
  <c r="M278" i="19"/>
  <c r="D278" i="19"/>
  <c r="F278" i="19"/>
  <c r="G278" i="19"/>
  <c r="N278" i="19"/>
  <c r="K278" i="19"/>
  <c r="Q278" i="19"/>
  <c r="C278" i="25" s="1"/>
  <c r="A279" i="19"/>
  <c r="B279" i="19"/>
  <c r="C279" i="19"/>
  <c r="H279" i="19"/>
  <c r="I279" i="19"/>
  <c r="J279" i="19"/>
  <c r="E279" i="19"/>
  <c r="M279" i="19"/>
  <c r="D279" i="19"/>
  <c r="F279" i="19"/>
  <c r="G279" i="19"/>
  <c r="N279" i="19"/>
  <c r="K279" i="19"/>
  <c r="Q279" i="19"/>
  <c r="C279" i="25" s="1"/>
  <c r="A280" i="19"/>
  <c r="B280" i="19"/>
  <c r="C280" i="19"/>
  <c r="H280" i="19"/>
  <c r="I280" i="19"/>
  <c r="J280" i="19"/>
  <c r="E280" i="19"/>
  <c r="M280" i="19"/>
  <c r="D280" i="19"/>
  <c r="F280" i="19"/>
  <c r="G280" i="19"/>
  <c r="N280" i="19"/>
  <c r="K280" i="19"/>
  <c r="Q280" i="19"/>
  <c r="C280" i="25" s="1"/>
  <c r="A281" i="19"/>
  <c r="B281" i="19"/>
  <c r="C281" i="19"/>
  <c r="H281" i="19"/>
  <c r="I281" i="19"/>
  <c r="J281" i="19"/>
  <c r="E281" i="19"/>
  <c r="M281" i="19"/>
  <c r="D281" i="19"/>
  <c r="F281" i="19"/>
  <c r="G281" i="19"/>
  <c r="N281" i="19"/>
  <c r="K281" i="19"/>
  <c r="Q281" i="19"/>
  <c r="C281" i="25" s="1"/>
  <c r="A282" i="19"/>
  <c r="B282" i="19"/>
  <c r="C282" i="19"/>
  <c r="H282" i="19"/>
  <c r="I282" i="19"/>
  <c r="J282" i="19"/>
  <c r="E282" i="19"/>
  <c r="M282" i="19"/>
  <c r="D282" i="19"/>
  <c r="F282" i="19"/>
  <c r="G282" i="19"/>
  <c r="N282" i="19"/>
  <c r="K282" i="19"/>
  <c r="Q282" i="19"/>
  <c r="C282" i="25" s="1"/>
  <c r="A283" i="19"/>
  <c r="B283" i="19"/>
  <c r="C283" i="19"/>
  <c r="H283" i="19"/>
  <c r="I283" i="19"/>
  <c r="J283" i="19"/>
  <c r="E283" i="19"/>
  <c r="M283" i="19"/>
  <c r="D283" i="19"/>
  <c r="F283" i="19"/>
  <c r="G283" i="19"/>
  <c r="N283" i="19"/>
  <c r="K283" i="19"/>
  <c r="Q283" i="19"/>
  <c r="C283" i="25" s="1"/>
  <c r="A284" i="19"/>
  <c r="B284" i="19"/>
  <c r="C284" i="19"/>
  <c r="H284" i="19"/>
  <c r="I284" i="19"/>
  <c r="J284" i="19"/>
  <c r="E284" i="19"/>
  <c r="M284" i="19"/>
  <c r="D284" i="19"/>
  <c r="F284" i="19"/>
  <c r="G284" i="19"/>
  <c r="N284" i="19"/>
  <c r="K284" i="19"/>
  <c r="Q284" i="19"/>
  <c r="C284" i="25" s="1"/>
  <c r="A285" i="19"/>
  <c r="B285" i="19"/>
  <c r="C285" i="19"/>
  <c r="H285" i="19"/>
  <c r="I285" i="19"/>
  <c r="J285" i="19"/>
  <c r="E285" i="19"/>
  <c r="M285" i="19"/>
  <c r="D285" i="19"/>
  <c r="F285" i="19"/>
  <c r="G285" i="19"/>
  <c r="N285" i="19"/>
  <c r="K285" i="19"/>
  <c r="Q285" i="19"/>
  <c r="C285" i="25" s="1"/>
  <c r="A286" i="19"/>
  <c r="B286" i="19"/>
  <c r="C286" i="19"/>
  <c r="H286" i="19"/>
  <c r="I286" i="19"/>
  <c r="J286" i="19"/>
  <c r="E286" i="19"/>
  <c r="M286" i="19"/>
  <c r="D286" i="19"/>
  <c r="F286" i="19"/>
  <c r="G286" i="19"/>
  <c r="N286" i="19"/>
  <c r="K286" i="19"/>
  <c r="Q286" i="19"/>
  <c r="C286" i="25" s="1"/>
  <c r="A287" i="19"/>
  <c r="B287" i="19"/>
  <c r="C287" i="19"/>
  <c r="H287" i="19"/>
  <c r="I287" i="19"/>
  <c r="J287" i="19"/>
  <c r="E287" i="19"/>
  <c r="M287" i="19"/>
  <c r="D287" i="19"/>
  <c r="F287" i="19"/>
  <c r="G287" i="19"/>
  <c r="N287" i="19"/>
  <c r="K287" i="19"/>
  <c r="Q287" i="19"/>
  <c r="C287" i="25" s="1"/>
  <c r="A288" i="19"/>
  <c r="B288" i="19"/>
  <c r="C288" i="19"/>
  <c r="H288" i="19"/>
  <c r="I288" i="19"/>
  <c r="J288" i="19"/>
  <c r="E288" i="19"/>
  <c r="M288" i="19"/>
  <c r="D288" i="19"/>
  <c r="F288" i="19"/>
  <c r="G288" i="19"/>
  <c r="N288" i="19"/>
  <c r="K288" i="19"/>
  <c r="Q288" i="19"/>
  <c r="C288" i="25" s="1"/>
  <c r="A289" i="19"/>
  <c r="B289" i="19"/>
  <c r="C289" i="19"/>
  <c r="H289" i="19"/>
  <c r="I289" i="19"/>
  <c r="J289" i="19"/>
  <c r="E289" i="19"/>
  <c r="M289" i="19"/>
  <c r="D289" i="19"/>
  <c r="F289" i="19"/>
  <c r="G289" i="19"/>
  <c r="N289" i="19"/>
  <c r="K289" i="19"/>
  <c r="Q289" i="19"/>
  <c r="C289" i="25" s="1"/>
  <c r="A290" i="19"/>
  <c r="B290" i="19"/>
  <c r="C290" i="19"/>
  <c r="H290" i="19"/>
  <c r="I290" i="19"/>
  <c r="J290" i="19"/>
  <c r="E290" i="19"/>
  <c r="M290" i="19"/>
  <c r="D290" i="19"/>
  <c r="F290" i="19"/>
  <c r="G290" i="19"/>
  <c r="N290" i="19"/>
  <c r="K290" i="19"/>
  <c r="Q290" i="19"/>
  <c r="C290" i="25" s="1"/>
  <c r="A291" i="19"/>
  <c r="B291" i="19"/>
  <c r="C291" i="19"/>
  <c r="H291" i="19"/>
  <c r="I291" i="19"/>
  <c r="J291" i="19"/>
  <c r="E291" i="19"/>
  <c r="M291" i="19"/>
  <c r="D291" i="19"/>
  <c r="F291" i="19"/>
  <c r="G291" i="19"/>
  <c r="N291" i="19"/>
  <c r="K291" i="19"/>
  <c r="Q291" i="19"/>
  <c r="C291" i="25" s="1"/>
  <c r="A292" i="19"/>
  <c r="B292" i="19"/>
  <c r="C292" i="19"/>
  <c r="H292" i="19"/>
  <c r="I292" i="19"/>
  <c r="J292" i="19"/>
  <c r="E292" i="19"/>
  <c r="M292" i="19"/>
  <c r="D292" i="19"/>
  <c r="F292" i="19"/>
  <c r="G292" i="19"/>
  <c r="N292" i="19"/>
  <c r="K292" i="19"/>
  <c r="Q292" i="19"/>
  <c r="C292" i="25" s="1"/>
  <c r="A293" i="19"/>
  <c r="B293" i="19"/>
  <c r="C293" i="19"/>
  <c r="H293" i="19"/>
  <c r="I293" i="19"/>
  <c r="J293" i="19"/>
  <c r="E293" i="19"/>
  <c r="M293" i="19"/>
  <c r="D293" i="19"/>
  <c r="F293" i="19"/>
  <c r="G293" i="19"/>
  <c r="N293" i="19"/>
  <c r="K293" i="19"/>
  <c r="Q293" i="19"/>
  <c r="C293" i="25" s="1"/>
  <c r="A294" i="19"/>
  <c r="B294" i="19"/>
  <c r="C294" i="19"/>
  <c r="H294" i="19"/>
  <c r="I294" i="19"/>
  <c r="J294" i="19"/>
  <c r="E294" i="19"/>
  <c r="M294" i="19"/>
  <c r="D294" i="19"/>
  <c r="F294" i="19"/>
  <c r="G294" i="19"/>
  <c r="N294" i="19"/>
  <c r="K294" i="19"/>
  <c r="Q294" i="19"/>
  <c r="C294" i="25" s="1"/>
  <c r="A295" i="19"/>
  <c r="B295" i="19"/>
  <c r="C295" i="19"/>
  <c r="H295" i="19"/>
  <c r="I295" i="19"/>
  <c r="J295" i="19"/>
  <c r="E295" i="19"/>
  <c r="M295" i="19"/>
  <c r="D295" i="19"/>
  <c r="F295" i="19"/>
  <c r="G295" i="19"/>
  <c r="N295" i="19"/>
  <c r="K295" i="19"/>
  <c r="Q295" i="19"/>
  <c r="C295" i="25" s="1"/>
  <c r="A296" i="19"/>
  <c r="B296" i="19"/>
  <c r="C296" i="19"/>
  <c r="H296" i="19"/>
  <c r="I296" i="19"/>
  <c r="J296" i="19"/>
  <c r="E296" i="19"/>
  <c r="M296" i="19"/>
  <c r="D296" i="19"/>
  <c r="F296" i="19"/>
  <c r="G296" i="19"/>
  <c r="N296" i="19"/>
  <c r="K296" i="19"/>
  <c r="Q296" i="19"/>
  <c r="C296" i="25" s="1"/>
  <c r="A297" i="19"/>
  <c r="B297" i="19"/>
  <c r="C297" i="19"/>
  <c r="H297" i="19"/>
  <c r="I297" i="19"/>
  <c r="J297" i="19"/>
  <c r="E297" i="19"/>
  <c r="M297" i="19"/>
  <c r="D297" i="19"/>
  <c r="F297" i="19"/>
  <c r="G297" i="19"/>
  <c r="N297" i="19"/>
  <c r="K297" i="19"/>
  <c r="Q297" i="19"/>
  <c r="C297" i="25" s="1"/>
  <c r="A298" i="19"/>
  <c r="B298" i="19"/>
  <c r="C298" i="19"/>
  <c r="H298" i="19"/>
  <c r="I298" i="19"/>
  <c r="J298" i="19"/>
  <c r="E298" i="19"/>
  <c r="M298" i="19"/>
  <c r="D298" i="19"/>
  <c r="F298" i="19"/>
  <c r="G298" i="19"/>
  <c r="N298" i="19"/>
  <c r="K298" i="19"/>
  <c r="Q298" i="19"/>
  <c r="C298" i="25" s="1"/>
  <c r="A299" i="19"/>
  <c r="B299" i="19"/>
  <c r="C299" i="19"/>
  <c r="H299" i="19"/>
  <c r="I299" i="19"/>
  <c r="J299" i="19"/>
  <c r="E299" i="19"/>
  <c r="M299" i="19"/>
  <c r="D299" i="19"/>
  <c r="F299" i="19"/>
  <c r="G299" i="19"/>
  <c r="N299" i="19"/>
  <c r="K299" i="19"/>
  <c r="Q299" i="19"/>
  <c r="C299" i="25" s="1"/>
  <c r="A300" i="19"/>
  <c r="B300" i="19"/>
  <c r="C300" i="19"/>
  <c r="H300" i="19"/>
  <c r="I300" i="19"/>
  <c r="J300" i="19"/>
  <c r="E300" i="19"/>
  <c r="M300" i="19"/>
  <c r="D300" i="19"/>
  <c r="F300" i="19"/>
  <c r="G300" i="19"/>
  <c r="N300" i="19"/>
  <c r="K300" i="19"/>
  <c r="Q300" i="19"/>
  <c r="C300" i="25" s="1"/>
  <c r="A301" i="19"/>
  <c r="B301" i="19"/>
  <c r="C301" i="19"/>
  <c r="H301" i="19"/>
  <c r="I301" i="19"/>
  <c r="J301" i="19"/>
  <c r="E301" i="19"/>
  <c r="M301" i="19"/>
  <c r="D301" i="19"/>
  <c r="F301" i="19"/>
  <c r="G301" i="19"/>
  <c r="N301" i="19"/>
  <c r="K301" i="19"/>
  <c r="Q301" i="19"/>
  <c r="C301" i="25" s="1"/>
  <c r="A302" i="19"/>
  <c r="B302" i="19"/>
  <c r="C302" i="19"/>
  <c r="H302" i="19"/>
  <c r="I302" i="19"/>
  <c r="J302" i="19"/>
  <c r="E302" i="19"/>
  <c r="M302" i="19"/>
  <c r="D302" i="19"/>
  <c r="F302" i="19"/>
  <c r="G302" i="19"/>
  <c r="N302" i="19"/>
  <c r="K302" i="19"/>
  <c r="Q302" i="19"/>
  <c r="C302" i="25" s="1"/>
  <c r="A303" i="19"/>
  <c r="B303" i="19"/>
  <c r="C303" i="19"/>
  <c r="H303" i="19"/>
  <c r="I303" i="19"/>
  <c r="J303" i="19"/>
  <c r="E303" i="19"/>
  <c r="M303" i="19"/>
  <c r="D303" i="19"/>
  <c r="F303" i="19"/>
  <c r="G303" i="19"/>
  <c r="N303" i="19"/>
  <c r="K303" i="19"/>
  <c r="Q303" i="19"/>
  <c r="C303" i="25" s="1"/>
  <c r="A304" i="19"/>
  <c r="B304" i="19"/>
  <c r="C304" i="19"/>
  <c r="H304" i="19"/>
  <c r="I304" i="19"/>
  <c r="J304" i="19"/>
  <c r="E304" i="19"/>
  <c r="M304" i="19"/>
  <c r="D304" i="19"/>
  <c r="F304" i="19"/>
  <c r="G304" i="19"/>
  <c r="N304" i="19"/>
  <c r="K304" i="19"/>
  <c r="Q304" i="19"/>
  <c r="C304" i="25" s="1"/>
  <c r="A305" i="19"/>
  <c r="B305" i="19"/>
  <c r="C305" i="19"/>
  <c r="H305" i="19"/>
  <c r="I305" i="19"/>
  <c r="J305" i="19"/>
  <c r="E305" i="19"/>
  <c r="M305" i="19"/>
  <c r="D305" i="19"/>
  <c r="F305" i="19"/>
  <c r="G305" i="19"/>
  <c r="N305" i="19"/>
  <c r="K305" i="19"/>
  <c r="Q305" i="19"/>
  <c r="C305" i="25" s="1"/>
  <c r="L294" i="19" l="1"/>
  <c r="L284" i="19"/>
  <c r="L280" i="19"/>
  <c r="L276" i="19"/>
  <c r="L270" i="19"/>
  <c r="L250" i="19"/>
  <c r="L246" i="19"/>
  <c r="L244" i="19"/>
  <c r="L242" i="19"/>
  <c r="L240" i="19"/>
  <c r="L238" i="19"/>
  <c r="L236" i="19"/>
  <c r="L234" i="19"/>
  <c r="L232" i="19"/>
  <c r="L230" i="19"/>
  <c r="L228" i="19"/>
  <c r="L226" i="19"/>
  <c r="L224" i="19"/>
  <c r="L222" i="19"/>
  <c r="L220" i="19"/>
  <c r="L218" i="19"/>
  <c r="L216" i="19"/>
  <c r="L214" i="19"/>
  <c r="L212" i="19"/>
  <c r="L210" i="19"/>
  <c r="L208" i="19"/>
  <c r="L206" i="19"/>
  <c r="L204" i="19"/>
  <c r="L202" i="19"/>
  <c r="L200" i="19"/>
  <c r="L198" i="19"/>
  <c r="L196" i="19"/>
  <c r="L194" i="19"/>
  <c r="L192" i="19"/>
  <c r="L190" i="19"/>
  <c r="L188" i="19"/>
  <c r="L186" i="19"/>
  <c r="L184" i="19"/>
  <c r="L182" i="19"/>
  <c r="L180" i="19"/>
  <c r="L178" i="19"/>
  <c r="L176" i="19"/>
  <c r="L262" i="19"/>
  <c r="L256" i="19"/>
  <c r="L304" i="19"/>
  <c r="L300" i="19"/>
  <c r="L296" i="19"/>
  <c r="L282" i="19"/>
  <c r="L272" i="19"/>
  <c r="L260" i="19"/>
  <c r="L258" i="19"/>
  <c r="L252" i="19"/>
  <c r="L298" i="19"/>
  <c r="L288" i="19"/>
  <c r="L268" i="19"/>
  <c r="L292" i="19"/>
  <c r="L274" i="19"/>
  <c r="L264" i="19"/>
  <c r="L254" i="19"/>
  <c r="L305" i="19"/>
  <c r="L303" i="19"/>
  <c r="L301" i="19"/>
  <c r="L299" i="19"/>
  <c r="L297" i="19"/>
  <c r="L295" i="19"/>
  <c r="L293" i="19"/>
  <c r="L291" i="19"/>
  <c r="L289" i="19"/>
  <c r="L287" i="19"/>
  <c r="L285" i="19"/>
  <c r="L283" i="19"/>
  <c r="L281" i="19"/>
  <c r="L279" i="19"/>
  <c r="L277" i="19"/>
  <c r="L275" i="19"/>
  <c r="L273" i="19"/>
  <c r="L271" i="19"/>
  <c r="L269" i="19"/>
  <c r="L267" i="19"/>
  <c r="L265" i="19"/>
  <c r="L263" i="19"/>
  <c r="L261" i="19"/>
  <c r="L259" i="19"/>
  <c r="L257" i="19"/>
  <c r="L255" i="19"/>
  <c r="L253" i="19"/>
  <c r="L251" i="19"/>
  <c r="L249" i="19"/>
  <c r="L247" i="19"/>
  <c r="L245" i="19"/>
  <c r="L243" i="19"/>
  <c r="L241" i="19"/>
  <c r="L239" i="19"/>
  <c r="L237" i="19"/>
  <c r="L235" i="19"/>
  <c r="L233" i="19"/>
  <c r="L231" i="19"/>
  <c r="L229" i="19"/>
  <c r="L227" i="19"/>
  <c r="L225" i="19"/>
  <c r="L223" i="19"/>
  <c r="L221" i="19"/>
  <c r="L219" i="19"/>
  <c r="L217" i="19"/>
  <c r="L215" i="19"/>
  <c r="L213" i="19"/>
  <c r="L211" i="19"/>
  <c r="L209" i="19"/>
  <c r="L207" i="19"/>
  <c r="L205" i="19"/>
  <c r="L203" i="19"/>
  <c r="L201" i="19"/>
  <c r="L199" i="19"/>
  <c r="L197" i="19"/>
  <c r="L195" i="19"/>
  <c r="L193" i="19"/>
  <c r="L191" i="19"/>
  <c r="L189" i="19"/>
  <c r="L187" i="19"/>
  <c r="L185" i="19"/>
  <c r="L183" i="19"/>
  <c r="L181" i="19"/>
  <c r="L179" i="19"/>
  <c r="L266" i="19"/>
  <c r="L302" i="19"/>
  <c r="L290" i="19"/>
  <c r="L286" i="19"/>
  <c r="L278" i="19"/>
  <c r="L248" i="19"/>
  <c r="L174" i="19"/>
  <c r="L172" i="19"/>
  <c r="L170" i="19"/>
  <c r="L168" i="19"/>
  <c r="L166" i="19"/>
  <c r="L164" i="19"/>
  <c r="L162" i="19"/>
  <c r="L160" i="19"/>
  <c r="L158" i="19"/>
  <c r="L156" i="19"/>
  <c r="L154" i="19"/>
  <c r="L152" i="19"/>
  <c r="L150" i="19"/>
  <c r="L148" i="19"/>
  <c r="L146" i="19"/>
  <c r="L144" i="19"/>
  <c r="L142" i="19"/>
  <c r="L140" i="19"/>
  <c r="L138" i="19"/>
  <c r="L136" i="19"/>
  <c r="L134" i="19"/>
  <c r="L132" i="19"/>
  <c r="L130" i="19"/>
  <c r="L128" i="19"/>
  <c r="L126" i="19"/>
  <c r="L124" i="19"/>
  <c r="L122" i="19"/>
  <c r="L120" i="19"/>
  <c r="L118" i="19"/>
  <c r="L116" i="19"/>
  <c r="L114" i="19"/>
  <c r="L112" i="19"/>
  <c r="L110" i="19"/>
  <c r="L108" i="19"/>
  <c r="L106" i="19"/>
  <c r="L104" i="19"/>
  <c r="L102" i="19"/>
  <c r="L100" i="19"/>
  <c r="L98" i="19"/>
  <c r="L96" i="19"/>
  <c r="L94" i="19"/>
  <c r="L92" i="19"/>
  <c r="L90" i="19"/>
  <c r="L88" i="19"/>
  <c r="L86" i="19"/>
  <c r="L84" i="19"/>
  <c r="L82" i="19"/>
  <c r="L80" i="19"/>
  <c r="L78" i="19"/>
  <c r="L76" i="19"/>
  <c r="L74" i="19"/>
  <c r="L72" i="19"/>
  <c r="L70" i="19"/>
  <c r="L68" i="19"/>
  <c r="L66" i="19"/>
  <c r="L64" i="19"/>
  <c r="L62" i="19"/>
  <c r="L60" i="19"/>
  <c r="L58" i="19"/>
  <c r="L56" i="19"/>
  <c r="L54" i="19"/>
  <c r="L52" i="19"/>
  <c r="L50" i="19"/>
  <c r="L48" i="19"/>
  <c r="L46" i="19"/>
  <c r="L44" i="19"/>
  <c r="L42" i="19"/>
  <c r="L40" i="19"/>
  <c r="L38" i="19"/>
  <c r="L36" i="19"/>
  <c r="L34" i="19"/>
  <c r="L32" i="19"/>
  <c r="L30" i="19"/>
  <c r="L28" i="19"/>
  <c r="L26" i="19"/>
  <c r="L24" i="19"/>
  <c r="L22" i="19"/>
  <c r="L20" i="19"/>
  <c r="L18" i="19"/>
  <c r="L16" i="19"/>
  <c r="L14" i="19"/>
  <c r="L12" i="19"/>
  <c r="L10" i="19"/>
  <c r="L8" i="19"/>
  <c r="L177" i="19"/>
  <c r="L175" i="19"/>
  <c r="L173" i="19"/>
  <c r="L171" i="19"/>
  <c r="L169" i="19"/>
  <c r="L167" i="19"/>
  <c r="L165" i="19"/>
  <c r="L163" i="19"/>
  <c r="L161" i="19"/>
  <c r="L159" i="19"/>
  <c r="L157" i="19"/>
  <c r="L155" i="19"/>
  <c r="L153" i="19"/>
  <c r="L151" i="19"/>
  <c r="L149" i="19"/>
  <c r="L147" i="19"/>
  <c r="L145" i="19"/>
  <c r="L143" i="19"/>
  <c r="L141" i="19"/>
  <c r="L139" i="19"/>
  <c r="L137" i="19"/>
  <c r="L135" i="19"/>
  <c r="L133" i="19"/>
  <c r="L131" i="19"/>
  <c r="L129" i="19"/>
  <c r="L127" i="19"/>
  <c r="L125" i="19"/>
  <c r="L123" i="19"/>
  <c r="L121" i="19"/>
  <c r="L119" i="19"/>
  <c r="L117" i="19"/>
  <c r="L115" i="19"/>
  <c r="L113" i="19"/>
  <c r="L111" i="19"/>
  <c r="L109" i="19"/>
  <c r="L107" i="19"/>
  <c r="L105" i="19"/>
  <c r="L103" i="19"/>
  <c r="L101" i="19"/>
  <c r="L99" i="19"/>
  <c r="L97" i="19"/>
  <c r="L95" i="19"/>
  <c r="L93" i="19"/>
  <c r="L91" i="19"/>
  <c r="L89" i="19"/>
  <c r="L87" i="19"/>
  <c r="L85" i="19"/>
  <c r="L83" i="19"/>
  <c r="L81" i="19"/>
  <c r="L79" i="19"/>
  <c r="L77" i="19"/>
  <c r="L75" i="19"/>
  <c r="L73" i="19"/>
  <c r="L71" i="19"/>
  <c r="L69" i="19"/>
  <c r="L67" i="19"/>
  <c r="L65" i="19"/>
  <c r="L63" i="19"/>
  <c r="L61" i="19"/>
  <c r="L59" i="19"/>
  <c r="L57" i="19"/>
  <c r="L55" i="19"/>
  <c r="L53" i="19"/>
  <c r="L51" i="19"/>
  <c r="L49" i="19"/>
  <c r="L47" i="19"/>
  <c r="L45" i="19"/>
  <c r="L43" i="19"/>
  <c r="L41" i="19"/>
  <c r="L39" i="19"/>
  <c r="L37" i="19"/>
  <c r="L35" i="19"/>
  <c r="L33" i="19"/>
  <c r="L31" i="19"/>
  <c r="L29" i="19"/>
  <c r="L27" i="19"/>
  <c r="L25" i="19"/>
  <c r="L23" i="19"/>
  <c r="L21" i="19"/>
  <c r="L19" i="19"/>
  <c r="L17" i="19"/>
  <c r="L15" i="19"/>
  <c r="L13" i="19"/>
  <c r="L11" i="19"/>
  <c r="L9" i="19"/>
  <c r="L7" i="19"/>
  <c r="E301" i="13"/>
  <c r="F301" i="13" s="1"/>
  <c r="E293" i="13"/>
  <c r="F293" i="13" s="1"/>
  <c r="E285" i="13"/>
  <c r="F285" i="13" s="1"/>
  <c r="E277" i="13"/>
  <c r="F277" i="13" s="1"/>
  <c r="E269" i="13"/>
  <c r="F269" i="13" s="1"/>
  <c r="E261" i="13"/>
  <c r="F261" i="13" s="1"/>
  <c r="E255" i="13"/>
  <c r="F255" i="13" s="1"/>
  <c r="E247" i="13"/>
  <c r="F247" i="13" s="1"/>
  <c r="E239" i="13"/>
  <c r="F239" i="13" s="1"/>
  <c r="E231" i="13"/>
  <c r="F231" i="13" s="1"/>
  <c r="E217" i="13"/>
  <c r="F217" i="13" s="1"/>
  <c r="E209" i="13"/>
  <c r="F209" i="13" s="1"/>
  <c r="E201" i="13"/>
  <c r="F201" i="13" s="1"/>
  <c r="E193" i="13"/>
  <c r="F193" i="13" s="1"/>
  <c r="E187" i="13"/>
  <c r="F187" i="13" s="1"/>
  <c r="E179" i="13"/>
  <c r="F179" i="13" s="1"/>
  <c r="E171" i="13"/>
  <c r="F171" i="13" s="1"/>
  <c r="E163" i="13"/>
  <c r="F163" i="13" s="1"/>
  <c r="E155" i="13"/>
  <c r="F155" i="13" s="1"/>
  <c r="E147" i="13"/>
  <c r="F147" i="13" s="1"/>
  <c r="E139" i="13"/>
  <c r="F139" i="13" s="1"/>
  <c r="E131" i="13"/>
  <c r="F131" i="13" s="1"/>
  <c r="E123" i="13"/>
  <c r="F123" i="13" s="1"/>
  <c r="E115" i="13"/>
  <c r="F115" i="13" s="1"/>
  <c r="E107" i="13"/>
  <c r="F107" i="13" s="1"/>
  <c r="E99" i="13"/>
  <c r="E91" i="13"/>
  <c r="F91" i="13" s="1"/>
  <c r="E83" i="13"/>
  <c r="F83" i="13" s="1"/>
  <c r="E72" i="13"/>
  <c r="F72" i="13" s="1"/>
  <c r="E64" i="13"/>
  <c r="E61" i="13"/>
  <c r="F61" i="13" s="1"/>
  <c r="E53" i="13"/>
  <c r="F53" i="13" s="1"/>
  <c r="E45" i="13"/>
  <c r="F45" i="13" s="1"/>
  <c r="E37" i="13"/>
  <c r="F37" i="13" s="1"/>
  <c r="E29" i="13"/>
  <c r="F29" i="13" s="1"/>
  <c r="E21" i="13"/>
  <c r="F21" i="13" s="1"/>
  <c r="E13" i="13"/>
  <c r="F13" i="13" s="1"/>
  <c r="E266" i="13"/>
  <c r="F266" i="13" s="1"/>
  <c r="E236" i="13"/>
  <c r="F236" i="13" s="1"/>
  <c r="E214" i="13"/>
  <c r="F214" i="13" s="1"/>
  <c r="E198" i="13"/>
  <c r="F198" i="13" s="1"/>
  <c r="E168" i="13"/>
  <c r="F168" i="13" s="1"/>
  <c r="E128" i="13"/>
  <c r="F128" i="13" s="1"/>
  <c r="E34" i="13"/>
  <c r="F34" i="13" s="1"/>
  <c r="E26" i="13"/>
  <c r="F26" i="13" s="1"/>
  <c r="E18" i="13"/>
  <c r="F18" i="13" s="1"/>
  <c r="E10" i="13"/>
  <c r="F10" i="13" s="1"/>
  <c r="E304" i="13"/>
  <c r="F304" i="13" s="1"/>
  <c r="E296" i="13"/>
  <c r="F296" i="13" s="1"/>
  <c r="E288" i="13"/>
  <c r="E280" i="13"/>
  <c r="F280" i="13" s="1"/>
  <c r="E272" i="13"/>
  <c r="E264" i="13"/>
  <c r="F264" i="13" s="1"/>
  <c r="E256" i="13"/>
  <c r="F256" i="13" s="1"/>
  <c r="E250" i="13"/>
  <c r="F250" i="13" s="1"/>
  <c r="E242" i="13"/>
  <c r="F242" i="13" s="1"/>
  <c r="E234" i="13"/>
  <c r="F234" i="13" s="1"/>
  <c r="E226" i="13"/>
  <c r="E220" i="13"/>
  <c r="F220" i="13" s="1"/>
  <c r="E212" i="13"/>
  <c r="F212" i="13" s="1"/>
  <c r="E204" i="13"/>
  <c r="F204" i="13" s="1"/>
  <c r="E196" i="13"/>
  <c r="F196" i="13" s="1"/>
  <c r="E190" i="13"/>
  <c r="F190" i="13" s="1"/>
  <c r="E182" i="13"/>
  <c r="F182" i="13" s="1"/>
  <c r="E174" i="13"/>
  <c r="F174" i="13" s="1"/>
  <c r="E166" i="13"/>
  <c r="E158" i="13"/>
  <c r="F158" i="13" s="1"/>
  <c r="E150" i="13"/>
  <c r="F150" i="13" s="1"/>
  <c r="E142" i="13"/>
  <c r="F142" i="13" s="1"/>
  <c r="E134" i="13"/>
  <c r="F134" i="13" s="1"/>
  <c r="E126" i="13"/>
  <c r="F126" i="13" s="1"/>
  <c r="E118" i="13"/>
  <c r="F118" i="13" s="1"/>
  <c r="E110" i="13"/>
  <c r="F110" i="13" s="1"/>
  <c r="E102" i="13"/>
  <c r="F102" i="13" s="1"/>
  <c r="E94" i="13"/>
  <c r="E86" i="13"/>
  <c r="F86" i="13" s="1"/>
  <c r="E78" i="13"/>
  <c r="F78" i="13" s="1"/>
  <c r="E75" i="13"/>
  <c r="E67" i="13"/>
  <c r="F67" i="13" s="1"/>
  <c r="E56" i="13"/>
  <c r="F56" i="13" s="1"/>
  <c r="E48" i="13"/>
  <c r="F48" i="13" s="1"/>
  <c r="E40" i="13"/>
  <c r="F40" i="13" s="1"/>
  <c r="E32" i="13"/>
  <c r="F32" i="13" s="1"/>
  <c r="E24" i="13"/>
  <c r="F24" i="13" s="1"/>
  <c r="E16" i="13"/>
  <c r="F16" i="13" s="1"/>
  <c r="E8" i="13"/>
  <c r="F8" i="13" s="1"/>
  <c r="E274" i="13"/>
  <c r="F274" i="13" s="1"/>
  <c r="E222" i="13"/>
  <c r="F222" i="13" s="1"/>
  <c r="E206" i="13"/>
  <c r="F206" i="13" s="1"/>
  <c r="E184" i="13"/>
  <c r="F184" i="13" s="1"/>
  <c r="E144" i="13"/>
  <c r="F144" i="13" s="1"/>
  <c r="E120" i="13"/>
  <c r="F120" i="13" s="1"/>
  <c r="E50" i="13"/>
  <c r="F50" i="13" s="1"/>
  <c r="E299" i="13"/>
  <c r="F299" i="13" s="1"/>
  <c r="E291" i="13"/>
  <c r="F291" i="13" s="1"/>
  <c r="E283" i="13"/>
  <c r="F283" i="13" s="1"/>
  <c r="E275" i="13"/>
  <c r="F275" i="13" s="1"/>
  <c r="E267" i="13"/>
  <c r="F267" i="13" s="1"/>
  <c r="E259" i="13"/>
  <c r="F259" i="13" s="1"/>
  <c r="E253" i="13"/>
  <c r="F253" i="13" s="1"/>
  <c r="E245" i="13"/>
  <c r="F245" i="13" s="1"/>
  <c r="E237" i="13"/>
  <c r="F237" i="13" s="1"/>
  <c r="E229" i="13"/>
  <c r="F229" i="13" s="1"/>
  <c r="E223" i="13"/>
  <c r="F223" i="13" s="1"/>
  <c r="E215" i="13"/>
  <c r="F215" i="13" s="1"/>
  <c r="E207" i="13"/>
  <c r="F207" i="13" s="1"/>
  <c r="E199" i="13"/>
  <c r="F199" i="13" s="1"/>
  <c r="E185" i="13"/>
  <c r="E177" i="13"/>
  <c r="E169" i="13"/>
  <c r="F169" i="13" s="1"/>
  <c r="E161" i="13"/>
  <c r="F161" i="13" s="1"/>
  <c r="E153" i="13"/>
  <c r="F153" i="13" s="1"/>
  <c r="E145" i="13"/>
  <c r="F145" i="13" s="1"/>
  <c r="E137" i="13"/>
  <c r="F137" i="13" s="1"/>
  <c r="E129" i="13"/>
  <c r="F129" i="13" s="1"/>
  <c r="E121" i="13"/>
  <c r="F121" i="13" s="1"/>
  <c r="E113" i="13"/>
  <c r="F113" i="13" s="1"/>
  <c r="E105" i="13"/>
  <c r="F105" i="13" s="1"/>
  <c r="E97" i="13"/>
  <c r="E89" i="13"/>
  <c r="E81" i="13"/>
  <c r="E70" i="13"/>
  <c r="F70" i="13" s="1"/>
  <c r="E62" i="13"/>
  <c r="F62" i="13" s="1"/>
  <c r="E59" i="13"/>
  <c r="F59" i="13" s="1"/>
  <c r="E51" i="13"/>
  <c r="F51" i="13" s="1"/>
  <c r="E43" i="13"/>
  <c r="F43" i="13" s="1"/>
  <c r="E35" i="13"/>
  <c r="F35" i="13" s="1"/>
  <c r="E27" i="13"/>
  <c r="E19" i="13"/>
  <c r="F19" i="13" s="1"/>
  <c r="E11" i="13"/>
  <c r="E282" i="13"/>
  <c r="F282" i="13" s="1"/>
  <c r="E244" i="13"/>
  <c r="F244" i="13" s="1"/>
  <c r="E152" i="13"/>
  <c r="E104" i="13"/>
  <c r="F104" i="13" s="1"/>
  <c r="E88" i="13"/>
  <c r="F88" i="13" s="1"/>
  <c r="E42" i="13"/>
  <c r="F42" i="13" s="1"/>
  <c r="E294" i="13"/>
  <c r="F294" i="13" s="1"/>
  <c r="E286" i="13"/>
  <c r="F286" i="13" s="1"/>
  <c r="E278" i="13"/>
  <c r="F278" i="13" s="1"/>
  <c r="E270" i="13"/>
  <c r="F270" i="13" s="1"/>
  <c r="E262" i="13"/>
  <c r="F262" i="13" s="1"/>
  <c r="E248" i="13"/>
  <c r="F248" i="13" s="1"/>
  <c r="E240" i="13"/>
  <c r="F240" i="13" s="1"/>
  <c r="E232" i="13"/>
  <c r="E224" i="13"/>
  <c r="F224" i="13" s="1"/>
  <c r="E218" i="13"/>
  <c r="E210" i="13"/>
  <c r="F210" i="13" s="1"/>
  <c r="E202" i="13"/>
  <c r="F202" i="13" s="1"/>
  <c r="E194" i="13"/>
  <c r="F194" i="13" s="1"/>
  <c r="E188" i="13"/>
  <c r="F188" i="13" s="1"/>
  <c r="E180" i="13"/>
  <c r="F180" i="13" s="1"/>
  <c r="E172" i="13"/>
  <c r="F172" i="13" s="1"/>
  <c r="E164" i="13"/>
  <c r="F164" i="13" s="1"/>
  <c r="E156" i="13"/>
  <c r="F156" i="13" s="1"/>
  <c r="E148" i="13"/>
  <c r="F148" i="13" s="1"/>
  <c r="E140" i="13"/>
  <c r="F140" i="13" s="1"/>
  <c r="E132" i="13"/>
  <c r="F132" i="13" s="1"/>
  <c r="E124" i="13"/>
  <c r="F124" i="13" s="1"/>
  <c r="E116" i="13"/>
  <c r="F116" i="13" s="1"/>
  <c r="E108" i="13"/>
  <c r="F108" i="13" s="1"/>
  <c r="E100" i="13"/>
  <c r="F100" i="13" s="1"/>
  <c r="E92" i="13"/>
  <c r="F92" i="13" s="1"/>
  <c r="E84" i="13"/>
  <c r="F84" i="13" s="1"/>
  <c r="E76" i="13"/>
  <c r="F76" i="13" s="1"/>
  <c r="E73" i="13"/>
  <c r="F73" i="13" s="1"/>
  <c r="E65" i="13"/>
  <c r="F65" i="13" s="1"/>
  <c r="E54" i="13"/>
  <c r="F54" i="13" s="1"/>
  <c r="E46" i="13"/>
  <c r="F46" i="13" s="1"/>
  <c r="E38" i="13"/>
  <c r="E30" i="13"/>
  <c r="F30" i="13" s="1"/>
  <c r="E22" i="13"/>
  <c r="F22" i="13" s="1"/>
  <c r="E14" i="13"/>
  <c r="F14" i="13" s="1"/>
  <c r="E290" i="13"/>
  <c r="F290" i="13" s="1"/>
  <c r="E258" i="13"/>
  <c r="F258" i="13" s="1"/>
  <c r="E252" i="13"/>
  <c r="F252" i="13" s="1"/>
  <c r="E136" i="13"/>
  <c r="F136" i="13" s="1"/>
  <c r="E80" i="13"/>
  <c r="F80" i="13" s="1"/>
  <c r="E302" i="13"/>
  <c r="F302" i="13" s="1"/>
  <c r="E305" i="13"/>
  <c r="F305" i="13" s="1"/>
  <c r="E297" i="13"/>
  <c r="F297" i="13" s="1"/>
  <c r="E289" i="13"/>
  <c r="F289" i="13" s="1"/>
  <c r="E281" i="13"/>
  <c r="F281" i="13" s="1"/>
  <c r="E273" i="13"/>
  <c r="F273" i="13" s="1"/>
  <c r="E265" i="13"/>
  <c r="E257" i="13"/>
  <c r="E251" i="13"/>
  <c r="F251" i="13" s="1"/>
  <c r="E243" i="13"/>
  <c r="F243" i="13" s="1"/>
  <c r="E235" i="13"/>
  <c r="F235" i="13" s="1"/>
  <c r="E227" i="13"/>
  <c r="F227" i="13" s="1"/>
  <c r="E221" i="13"/>
  <c r="F221" i="13" s="1"/>
  <c r="E213" i="13"/>
  <c r="F213" i="13" s="1"/>
  <c r="E205" i="13"/>
  <c r="F205" i="13" s="1"/>
  <c r="E197" i="13"/>
  <c r="F197" i="13" s="1"/>
  <c r="E191" i="13"/>
  <c r="F191" i="13" s="1"/>
  <c r="E183" i="13"/>
  <c r="F183" i="13" s="1"/>
  <c r="E175" i="13"/>
  <c r="F175" i="13" s="1"/>
  <c r="E167" i="13"/>
  <c r="F167" i="13" s="1"/>
  <c r="E159" i="13"/>
  <c r="F159" i="13" s="1"/>
  <c r="E151" i="13"/>
  <c r="E143" i="13"/>
  <c r="F143" i="13" s="1"/>
  <c r="E135" i="13"/>
  <c r="F135" i="13" s="1"/>
  <c r="E127" i="13"/>
  <c r="F127" i="13" s="1"/>
  <c r="E119" i="13"/>
  <c r="F119" i="13" s="1"/>
  <c r="E111" i="13"/>
  <c r="F111" i="13" s="1"/>
  <c r="E103" i="13"/>
  <c r="F103" i="13" s="1"/>
  <c r="E95" i="13"/>
  <c r="F95" i="13" s="1"/>
  <c r="E87" i="13"/>
  <c r="F87" i="13" s="1"/>
  <c r="E79" i="13"/>
  <c r="F79" i="13" s="1"/>
  <c r="E68" i="13"/>
  <c r="F68" i="13" s="1"/>
  <c r="E57" i="13"/>
  <c r="F57" i="13" s="1"/>
  <c r="E49" i="13"/>
  <c r="F49" i="13" s="1"/>
  <c r="E41" i="13"/>
  <c r="F41" i="13" s="1"/>
  <c r="E33" i="13"/>
  <c r="F33" i="13" s="1"/>
  <c r="E25" i="13"/>
  <c r="F25" i="13" s="1"/>
  <c r="E17" i="13"/>
  <c r="F17" i="13" s="1"/>
  <c r="E9" i="13"/>
  <c r="F9" i="13" s="1"/>
  <c r="E298" i="13"/>
  <c r="F298" i="13" s="1"/>
  <c r="E176" i="13"/>
  <c r="E160" i="13"/>
  <c r="F160" i="13" s="1"/>
  <c r="E112" i="13"/>
  <c r="F112" i="13" s="1"/>
  <c r="E96" i="13"/>
  <c r="F96" i="13" s="1"/>
  <c r="E292" i="13"/>
  <c r="F292" i="13" s="1"/>
  <c r="E284" i="13"/>
  <c r="F284" i="13" s="1"/>
  <c r="E276" i="13"/>
  <c r="F276" i="13" s="1"/>
  <c r="E268" i="13"/>
  <c r="F268" i="13" s="1"/>
  <c r="E260" i="13"/>
  <c r="F260" i="13" s="1"/>
  <c r="E254" i="13"/>
  <c r="F254" i="13" s="1"/>
  <c r="E246" i="13"/>
  <c r="F246" i="13" s="1"/>
  <c r="E238" i="13"/>
  <c r="F238" i="13" s="1"/>
  <c r="E230" i="13"/>
  <c r="F230" i="13" s="1"/>
  <c r="E216" i="13"/>
  <c r="F216" i="13" s="1"/>
  <c r="E208" i="13"/>
  <c r="F208" i="13" s="1"/>
  <c r="E200" i="13"/>
  <c r="F200" i="13" s="1"/>
  <c r="E192" i="13"/>
  <c r="E186" i="13"/>
  <c r="E178" i="13"/>
  <c r="F178" i="13" s="1"/>
  <c r="E170" i="13"/>
  <c r="F170" i="13" s="1"/>
  <c r="E162" i="13"/>
  <c r="F162" i="13" s="1"/>
  <c r="E154" i="13"/>
  <c r="F154" i="13" s="1"/>
  <c r="E146" i="13"/>
  <c r="F146" i="13" s="1"/>
  <c r="E138" i="13"/>
  <c r="F138" i="13" s="1"/>
  <c r="E130" i="13"/>
  <c r="F130" i="13" s="1"/>
  <c r="E122" i="13"/>
  <c r="E114" i="13"/>
  <c r="F114" i="13" s="1"/>
  <c r="E106" i="13"/>
  <c r="F106" i="13" s="1"/>
  <c r="E98" i="13"/>
  <c r="F98" i="13" s="1"/>
  <c r="E90" i="13"/>
  <c r="F90" i="13" s="1"/>
  <c r="E82" i="13"/>
  <c r="F82" i="13" s="1"/>
  <c r="E71" i="13"/>
  <c r="E63" i="13"/>
  <c r="E60" i="13"/>
  <c r="F60" i="13" s="1"/>
  <c r="E52" i="13"/>
  <c r="F52" i="13" s="1"/>
  <c r="E44" i="13"/>
  <c r="F44" i="13" s="1"/>
  <c r="E36" i="13"/>
  <c r="F36" i="13" s="1"/>
  <c r="E28" i="13"/>
  <c r="F28" i="13" s="1"/>
  <c r="E20" i="13"/>
  <c r="F20" i="13" s="1"/>
  <c r="E12" i="13"/>
  <c r="F12" i="13" s="1"/>
  <c r="F99" i="13"/>
  <c r="F272" i="13"/>
  <c r="E228" i="13"/>
  <c r="E69" i="13"/>
  <c r="F69" i="13" s="1"/>
  <c r="E58" i="13"/>
  <c r="F58" i="13" s="1"/>
  <c r="E300" i="13"/>
  <c r="E303" i="13"/>
  <c r="F303" i="13" s="1"/>
  <c r="E295" i="13"/>
  <c r="F295" i="13" s="1"/>
  <c r="E287" i="13"/>
  <c r="E279" i="13"/>
  <c r="E271" i="13"/>
  <c r="F271" i="13" s="1"/>
  <c r="E263" i="13"/>
  <c r="F263" i="13" s="1"/>
  <c r="E249" i="13"/>
  <c r="F249" i="13" s="1"/>
  <c r="E241" i="13"/>
  <c r="F241" i="13" s="1"/>
  <c r="E233" i="13"/>
  <c r="F233" i="13" s="1"/>
  <c r="E225" i="13"/>
  <c r="F225" i="13" s="1"/>
  <c r="E219" i="13"/>
  <c r="F219" i="13" s="1"/>
  <c r="E211" i="13"/>
  <c r="F211" i="13" s="1"/>
  <c r="E203" i="13"/>
  <c r="F203" i="13" s="1"/>
  <c r="E195" i="13"/>
  <c r="F195" i="13" s="1"/>
  <c r="E189" i="13"/>
  <c r="F189" i="13" s="1"/>
  <c r="E181" i="13"/>
  <c r="F181" i="13" s="1"/>
  <c r="E173" i="13"/>
  <c r="F173" i="13" s="1"/>
  <c r="E165" i="13"/>
  <c r="F165" i="13" s="1"/>
  <c r="E157" i="13"/>
  <c r="F157" i="13" s="1"/>
  <c r="E149" i="13"/>
  <c r="F149" i="13" s="1"/>
  <c r="E141" i="13"/>
  <c r="F141" i="13" s="1"/>
  <c r="E133" i="13"/>
  <c r="F133" i="13" s="1"/>
  <c r="E125" i="13"/>
  <c r="F125" i="13" s="1"/>
  <c r="E117" i="13"/>
  <c r="F117" i="13" s="1"/>
  <c r="E109" i="13"/>
  <c r="F109" i="13" s="1"/>
  <c r="E101" i="13"/>
  <c r="F101" i="13" s="1"/>
  <c r="E93" i="13"/>
  <c r="F93" i="13" s="1"/>
  <c r="E85" i="13"/>
  <c r="F85" i="13" s="1"/>
  <c r="E77" i="13"/>
  <c r="F77" i="13" s="1"/>
  <c r="E74" i="13"/>
  <c r="F74" i="13" s="1"/>
  <c r="E66" i="13"/>
  <c r="F66" i="13" s="1"/>
  <c r="E55" i="13"/>
  <c r="F55" i="13" s="1"/>
  <c r="E47" i="13"/>
  <c r="F47" i="13" s="1"/>
  <c r="E39" i="13"/>
  <c r="F39" i="13" s="1"/>
  <c r="E31" i="13"/>
  <c r="F31" i="13" s="1"/>
  <c r="E23" i="13"/>
  <c r="F23" i="13" s="1"/>
  <c r="E15" i="13"/>
  <c r="F15" i="13" s="1"/>
  <c r="E7" i="13"/>
  <c r="F7" i="13" s="1"/>
  <c r="F226" i="13"/>
  <c r="P81" i="19" l="1"/>
  <c r="F81" i="49"/>
  <c r="G81" i="49" s="1"/>
  <c r="P70" i="19"/>
  <c r="R70" i="19" s="1"/>
  <c r="E70" i="25" s="1"/>
  <c r="F70" i="49"/>
  <c r="G70" i="49" s="1"/>
  <c r="P288" i="19"/>
  <c r="F288" i="49"/>
  <c r="G288" i="49" s="1"/>
  <c r="P13" i="19"/>
  <c r="R13" i="19" s="1"/>
  <c r="E13" i="25" s="1"/>
  <c r="F13" i="49"/>
  <c r="G13" i="49" s="1"/>
  <c r="P29" i="19"/>
  <c r="F29" i="49"/>
  <c r="G29" i="49" s="1"/>
  <c r="P45" i="19"/>
  <c r="F45" i="49"/>
  <c r="G45" i="49" s="1"/>
  <c r="P61" i="19"/>
  <c r="F61" i="49"/>
  <c r="G61" i="49" s="1"/>
  <c r="P77" i="19"/>
  <c r="R77" i="19" s="1"/>
  <c r="E77" i="25" s="1"/>
  <c r="F77" i="49"/>
  <c r="G77" i="49" s="1"/>
  <c r="P93" i="19"/>
  <c r="F93" i="49"/>
  <c r="G93" i="49" s="1"/>
  <c r="P109" i="19"/>
  <c r="R109" i="19" s="1"/>
  <c r="E109" i="25" s="1"/>
  <c r="F109" i="49"/>
  <c r="G109" i="49" s="1"/>
  <c r="P125" i="19"/>
  <c r="R125" i="19" s="1"/>
  <c r="E125" i="25" s="1"/>
  <c r="F125" i="49"/>
  <c r="G125" i="49" s="1"/>
  <c r="P141" i="19"/>
  <c r="R141" i="19" s="1"/>
  <c r="E141" i="25" s="1"/>
  <c r="F141" i="49"/>
  <c r="G141" i="49" s="1"/>
  <c r="P157" i="19"/>
  <c r="R157" i="19" s="1"/>
  <c r="E157" i="25" s="1"/>
  <c r="F157" i="49"/>
  <c r="G157" i="49" s="1"/>
  <c r="P173" i="19"/>
  <c r="R173" i="19" s="1"/>
  <c r="E173" i="25" s="1"/>
  <c r="F173" i="49"/>
  <c r="G173" i="49" s="1"/>
  <c r="P18" i="19"/>
  <c r="R18" i="19" s="1"/>
  <c r="E18" i="25" s="1"/>
  <c r="F18" i="49"/>
  <c r="G18" i="49" s="1"/>
  <c r="P34" i="19"/>
  <c r="R34" i="19" s="1"/>
  <c r="E34" i="25" s="1"/>
  <c r="F34" i="49"/>
  <c r="G34" i="49" s="1"/>
  <c r="P50" i="19"/>
  <c r="F50" i="49"/>
  <c r="G50" i="49" s="1"/>
  <c r="P66" i="19"/>
  <c r="F66" i="49"/>
  <c r="G66" i="49" s="1"/>
  <c r="P82" i="19"/>
  <c r="F82" i="49"/>
  <c r="G82" i="49" s="1"/>
  <c r="P98" i="19"/>
  <c r="R98" i="19" s="1"/>
  <c r="E98" i="25" s="1"/>
  <c r="F98" i="49"/>
  <c r="G98" i="49" s="1"/>
  <c r="P114" i="19"/>
  <c r="F114" i="49"/>
  <c r="G114" i="49" s="1"/>
  <c r="P130" i="19"/>
  <c r="R130" i="19" s="1"/>
  <c r="E130" i="25" s="1"/>
  <c r="F130" i="49"/>
  <c r="G130" i="49" s="1"/>
  <c r="P146" i="19"/>
  <c r="F146" i="49"/>
  <c r="G146" i="49" s="1"/>
  <c r="P162" i="19"/>
  <c r="F162" i="49"/>
  <c r="G162" i="49" s="1"/>
  <c r="P278" i="19"/>
  <c r="R278" i="19" s="1"/>
  <c r="E278" i="25" s="1"/>
  <c r="F278" i="49"/>
  <c r="G278" i="49" s="1"/>
  <c r="P185" i="19"/>
  <c r="R185" i="19" s="1"/>
  <c r="E185" i="25" s="1"/>
  <c r="F185" i="49"/>
  <c r="G185" i="49" s="1"/>
  <c r="P201" i="19"/>
  <c r="F201" i="49"/>
  <c r="G201" i="49" s="1"/>
  <c r="P217" i="19"/>
  <c r="R217" i="19" s="1"/>
  <c r="E217" i="25" s="1"/>
  <c r="F217" i="49"/>
  <c r="G217" i="49" s="1"/>
  <c r="P233" i="19"/>
  <c r="F233" i="49"/>
  <c r="G233" i="49" s="1"/>
  <c r="P249" i="19"/>
  <c r="R249" i="19" s="1"/>
  <c r="E249" i="25" s="1"/>
  <c r="F249" i="49"/>
  <c r="G249" i="49" s="1"/>
  <c r="P265" i="19"/>
  <c r="F265" i="49"/>
  <c r="G265" i="49" s="1"/>
  <c r="P281" i="19"/>
  <c r="F281" i="49"/>
  <c r="G281" i="49" s="1"/>
  <c r="P297" i="19"/>
  <c r="R297" i="19" s="1"/>
  <c r="E297" i="25" s="1"/>
  <c r="F297" i="49"/>
  <c r="G297" i="49" s="1"/>
  <c r="P292" i="19"/>
  <c r="F292" i="49"/>
  <c r="G292" i="49" s="1"/>
  <c r="P282" i="19"/>
  <c r="R282" i="19" s="1"/>
  <c r="E282" i="25" s="1"/>
  <c r="F282" i="49"/>
  <c r="G282" i="49" s="1"/>
  <c r="P180" i="19"/>
  <c r="R180" i="19" s="1"/>
  <c r="E180" i="25" s="1"/>
  <c r="F180" i="49"/>
  <c r="G180" i="49" s="1"/>
  <c r="P196" i="19"/>
  <c r="F196" i="49"/>
  <c r="G196" i="49" s="1"/>
  <c r="P212" i="19"/>
  <c r="R212" i="19" s="1"/>
  <c r="E212" i="25" s="1"/>
  <c r="F212" i="49"/>
  <c r="G212" i="49" s="1"/>
  <c r="P228" i="19"/>
  <c r="F228" i="49"/>
  <c r="G228" i="49" s="1"/>
  <c r="P244" i="19"/>
  <c r="R244" i="19" s="1"/>
  <c r="E244" i="25" s="1"/>
  <c r="F244" i="49"/>
  <c r="G244" i="49" s="1"/>
  <c r="P97" i="19"/>
  <c r="R97" i="19" s="1"/>
  <c r="E97" i="25" s="1"/>
  <c r="F97" i="49"/>
  <c r="G97" i="49" s="1"/>
  <c r="P161" i="19"/>
  <c r="R161" i="19" s="1"/>
  <c r="E161" i="25" s="1"/>
  <c r="F161" i="49"/>
  <c r="G161" i="49" s="1"/>
  <c r="P102" i="19"/>
  <c r="R102" i="19" s="1"/>
  <c r="E102" i="25" s="1"/>
  <c r="F102" i="49"/>
  <c r="G102" i="49" s="1"/>
  <c r="P166" i="19"/>
  <c r="F166" i="49"/>
  <c r="G166" i="49" s="1"/>
  <c r="P221" i="19"/>
  <c r="F221" i="49"/>
  <c r="G221" i="49" s="1"/>
  <c r="P300" i="19"/>
  <c r="F300" i="49"/>
  <c r="G300" i="49" s="1"/>
  <c r="P15" i="19"/>
  <c r="F15" i="49"/>
  <c r="G15" i="49" s="1"/>
  <c r="P31" i="19"/>
  <c r="R31" i="19" s="1"/>
  <c r="E31" i="25" s="1"/>
  <c r="F31" i="49"/>
  <c r="G31" i="49" s="1"/>
  <c r="P47" i="19"/>
  <c r="F47" i="49"/>
  <c r="G47" i="49" s="1"/>
  <c r="P63" i="19"/>
  <c r="F63" i="49"/>
  <c r="G63" i="49" s="1"/>
  <c r="P79" i="19"/>
  <c r="F79" i="49"/>
  <c r="G79" i="49" s="1"/>
  <c r="P95" i="19"/>
  <c r="F95" i="49"/>
  <c r="G95" i="49" s="1"/>
  <c r="P111" i="19"/>
  <c r="R111" i="19" s="1"/>
  <c r="E111" i="25" s="1"/>
  <c r="F111" i="49"/>
  <c r="G111" i="49" s="1"/>
  <c r="P127" i="19"/>
  <c r="F127" i="49"/>
  <c r="G127" i="49" s="1"/>
  <c r="P143" i="19"/>
  <c r="R143" i="19" s="1"/>
  <c r="E143" i="25" s="1"/>
  <c r="F143" i="49"/>
  <c r="G143" i="49" s="1"/>
  <c r="P159" i="19"/>
  <c r="R159" i="19" s="1"/>
  <c r="E159" i="25" s="1"/>
  <c r="F159" i="49"/>
  <c r="G159" i="49" s="1"/>
  <c r="P175" i="19"/>
  <c r="R175" i="19" s="1"/>
  <c r="E175" i="25" s="1"/>
  <c r="F175" i="49"/>
  <c r="G175" i="49" s="1"/>
  <c r="P20" i="19"/>
  <c r="R20" i="19" s="1"/>
  <c r="E20" i="25" s="1"/>
  <c r="F20" i="49"/>
  <c r="G20" i="49" s="1"/>
  <c r="P36" i="19"/>
  <c r="R36" i="19" s="1"/>
  <c r="E36" i="25" s="1"/>
  <c r="F36" i="49"/>
  <c r="G36" i="49" s="1"/>
  <c r="P52" i="19"/>
  <c r="R52" i="19" s="1"/>
  <c r="E52" i="25" s="1"/>
  <c r="F52" i="49"/>
  <c r="G52" i="49" s="1"/>
  <c r="P68" i="19"/>
  <c r="R68" i="19" s="1"/>
  <c r="E68" i="25" s="1"/>
  <c r="F68" i="49"/>
  <c r="G68" i="49" s="1"/>
  <c r="P84" i="19"/>
  <c r="F84" i="49"/>
  <c r="G84" i="49" s="1"/>
  <c r="P100" i="19"/>
  <c r="R100" i="19" s="1"/>
  <c r="E100" i="25" s="1"/>
  <c r="F100" i="49"/>
  <c r="G100" i="49" s="1"/>
  <c r="P116" i="19"/>
  <c r="R116" i="19" s="1"/>
  <c r="E116" i="25" s="1"/>
  <c r="F116" i="49"/>
  <c r="G116" i="49" s="1"/>
  <c r="P132" i="19"/>
  <c r="F132" i="49"/>
  <c r="G132" i="49" s="1"/>
  <c r="P148" i="19"/>
  <c r="F148" i="49"/>
  <c r="G148" i="49" s="1"/>
  <c r="P164" i="19"/>
  <c r="F164" i="49"/>
  <c r="G164" i="49" s="1"/>
  <c r="P286" i="19"/>
  <c r="F286" i="49"/>
  <c r="G286" i="49" s="1"/>
  <c r="P187" i="19"/>
  <c r="F187" i="49"/>
  <c r="G187" i="49" s="1"/>
  <c r="P203" i="19"/>
  <c r="F203" i="49"/>
  <c r="G203" i="49" s="1"/>
  <c r="P219" i="19"/>
  <c r="F219" i="49"/>
  <c r="G219" i="49" s="1"/>
  <c r="P235" i="19"/>
  <c r="F235" i="49"/>
  <c r="G235" i="49" s="1"/>
  <c r="P251" i="19"/>
  <c r="F251" i="49"/>
  <c r="G251" i="49" s="1"/>
  <c r="P267" i="19"/>
  <c r="F267" i="49"/>
  <c r="G267" i="49" s="1"/>
  <c r="P283" i="19"/>
  <c r="F283" i="49"/>
  <c r="G283" i="49" s="1"/>
  <c r="P299" i="19"/>
  <c r="R299" i="19" s="1"/>
  <c r="E299" i="25" s="1"/>
  <c r="F299" i="49"/>
  <c r="G299" i="49" s="1"/>
  <c r="P268" i="19"/>
  <c r="F268" i="49"/>
  <c r="G268" i="49" s="1"/>
  <c r="P296" i="19"/>
  <c r="F296" i="49"/>
  <c r="G296" i="49" s="1"/>
  <c r="P182" i="19"/>
  <c r="F182" i="49"/>
  <c r="G182" i="49" s="1"/>
  <c r="P198" i="19"/>
  <c r="F198" i="49"/>
  <c r="G198" i="49" s="1"/>
  <c r="P214" i="19"/>
  <c r="F214" i="49"/>
  <c r="G214" i="49" s="1"/>
  <c r="P230" i="19"/>
  <c r="F230" i="49"/>
  <c r="G230" i="49" s="1"/>
  <c r="P246" i="19"/>
  <c r="F246" i="49"/>
  <c r="G246" i="49" s="1"/>
  <c r="P113" i="19"/>
  <c r="R113" i="19" s="1"/>
  <c r="E113" i="25" s="1"/>
  <c r="F113" i="49"/>
  <c r="G113" i="49" s="1"/>
  <c r="P177" i="19"/>
  <c r="F177" i="49"/>
  <c r="G177" i="49" s="1"/>
  <c r="P86" i="19"/>
  <c r="F86" i="49"/>
  <c r="G86" i="49" s="1"/>
  <c r="P134" i="19"/>
  <c r="R134" i="19" s="1"/>
  <c r="E134" i="25" s="1"/>
  <c r="F134" i="49"/>
  <c r="G134" i="49" s="1"/>
  <c r="P290" i="19"/>
  <c r="R290" i="19" s="1"/>
  <c r="E290" i="25" s="1"/>
  <c r="F290" i="49"/>
  <c r="G290" i="49" s="1"/>
  <c r="P237" i="19"/>
  <c r="R237" i="19" s="1"/>
  <c r="E237" i="25" s="1"/>
  <c r="F237" i="49"/>
  <c r="G237" i="49" s="1"/>
  <c r="P285" i="19"/>
  <c r="F285" i="49"/>
  <c r="G285" i="49" s="1"/>
  <c r="P250" i="19"/>
  <c r="F250" i="49"/>
  <c r="G250" i="49" s="1"/>
  <c r="P19" i="19"/>
  <c r="F19" i="49"/>
  <c r="G19" i="49" s="1"/>
  <c r="P35" i="19"/>
  <c r="R35" i="19" s="1"/>
  <c r="E35" i="25" s="1"/>
  <c r="F35" i="49"/>
  <c r="G35" i="49" s="1"/>
  <c r="P51" i="19"/>
  <c r="R51" i="19" s="1"/>
  <c r="E51" i="25" s="1"/>
  <c r="F51" i="49"/>
  <c r="G51" i="49" s="1"/>
  <c r="P67" i="19"/>
  <c r="F67" i="49"/>
  <c r="G67" i="49" s="1"/>
  <c r="P83" i="19"/>
  <c r="F83" i="49"/>
  <c r="G83" i="49" s="1"/>
  <c r="P99" i="19"/>
  <c r="F99" i="49"/>
  <c r="G99" i="49" s="1"/>
  <c r="P115" i="19"/>
  <c r="R115" i="19" s="1"/>
  <c r="E115" i="25" s="1"/>
  <c r="F115" i="49"/>
  <c r="G115" i="49" s="1"/>
  <c r="P131" i="19"/>
  <c r="R131" i="19" s="1"/>
  <c r="E131" i="25" s="1"/>
  <c r="F131" i="49"/>
  <c r="G131" i="49" s="1"/>
  <c r="P147" i="19"/>
  <c r="R147" i="19" s="1"/>
  <c r="E147" i="25" s="1"/>
  <c r="F147" i="49"/>
  <c r="G147" i="49" s="1"/>
  <c r="P163" i="19"/>
  <c r="R163" i="19" s="1"/>
  <c r="E163" i="25" s="1"/>
  <c r="F163" i="49"/>
  <c r="G163" i="49" s="1"/>
  <c r="P8" i="19"/>
  <c r="F8" i="49"/>
  <c r="G8" i="49" s="1"/>
  <c r="P24" i="19"/>
  <c r="F24" i="49"/>
  <c r="G24" i="49" s="1"/>
  <c r="P40" i="19"/>
  <c r="R40" i="19" s="1"/>
  <c r="E40" i="25" s="1"/>
  <c r="F40" i="49"/>
  <c r="G40" i="49" s="1"/>
  <c r="P56" i="19"/>
  <c r="R56" i="19" s="1"/>
  <c r="E56" i="25" s="1"/>
  <c r="F56" i="49"/>
  <c r="G56" i="49" s="1"/>
  <c r="P72" i="19"/>
  <c r="F72" i="49"/>
  <c r="G72" i="49" s="1"/>
  <c r="P88" i="19"/>
  <c r="F88" i="49"/>
  <c r="G88" i="49" s="1"/>
  <c r="P104" i="19"/>
  <c r="R104" i="19" s="1"/>
  <c r="E104" i="25" s="1"/>
  <c r="F104" i="49"/>
  <c r="G104" i="49" s="1"/>
  <c r="P120" i="19"/>
  <c r="R120" i="19" s="1"/>
  <c r="E120" i="25" s="1"/>
  <c r="F120" i="49"/>
  <c r="G120" i="49" s="1"/>
  <c r="P136" i="19"/>
  <c r="F136" i="49"/>
  <c r="G136" i="49" s="1"/>
  <c r="P152" i="19"/>
  <c r="F152" i="49"/>
  <c r="G152" i="49" s="1"/>
  <c r="P168" i="19"/>
  <c r="F168" i="49"/>
  <c r="G168" i="49" s="1"/>
  <c r="P302" i="19"/>
  <c r="R302" i="19" s="1"/>
  <c r="E302" i="25" s="1"/>
  <c r="F302" i="49"/>
  <c r="G302" i="49" s="1"/>
  <c r="P191" i="19"/>
  <c r="F191" i="49"/>
  <c r="G191" i="49" s="1"/>
  <c r="P207" i="19"/>
  <c r="F207" i="49"/>
  <c r="G207" i="49" s="1"/>
  <c r="P223" i="19"/>
  <c r="F223" i="49"/>
  <c r="G223" i="49" s="1"/>
  <c r="P239" i="19"/>
  <c r="F239" i="49"/>
  <c r="G239" i="49" s="1"/>
  <c r="P255" i="19"/>
  <c r="F255" i="49"/>
  <c r="G255" i="49" s="1"/>
  <c r="P271" i="19"/>
  <c r="R271" i="19" s="1"/>
  <c r="E271" i="25" s="1"/>
  <c r="F271" i="49"/>
  <c r="G271" i="49" s="1"/>
  <c r="P287" i="19"/>
  <c r="F287" i="49"/>
  <c r="G287" i="49" s="1"/>
  <c r="P303" i="19"/>
  <c r="R303" i="19" s="1"/>
  <c r="E303" i="25" s="1"/>
  <c r="F303" i="49"/>
  <c r="G303" i="49" s="1"/>
  <c r="P298" i="19"/>
  <c r="F298" i="49"/>
  <c r="G298" i="49" s="1"/>
  <c r="P304" i="19"/>
  <c r="F304" i="49"/>
  <c r="G304" i="49" s="1"/>
  <c r="P186" i="19"/>
  <c r="F186" i="49"/>
  <c r="G186" i="49" s="1"/>
  <c r="P202" i="19"/>
  <c r="F202" i="49"/>
  <c r="G202" i="49" s="1"/>
  <c r="P218" i="19"/>
  <c r="F218" i="49"/>
  <c r="G218" i="49" s="1"/>
  <c r="P234" i="19"/>
  <c r="F234" i="49"/>
  <c r="G234" i="49" s="1"/>
  <c r="P270" i="19"/>
  <c r="R270" i="19" s="1"/>
  <c r="E270" i="25" s="1"/>
  <c r="F270" i="49"/>
  <c r="G270" i="49" s="1"/>
  <c r="P33" i="19"/>
  <c r="F33" i="49"/>
  <c r="G33" i="49" s="1"/>
  <c r="P145" i="19"/>
  <c r="R145" i="19" s="1"/>
  <c r="E145" i="25" s="1"/>
  <c r="F145" i="49"/>
  <c r="G145" i="49" s="1"/>
  <c r="P54" i="19"/>
  <c r="R54" i="19" s="1"/>
  <c r="E54" i="25" s="1"/>
  <c r="F54" i="49"/>
  <c r="G54" i="49" s="1"/>
  <c r="P205" i="19"/>
  <c r="F205" i="49"/>
  <c r="G205" i="49" s="1"/>
  <c r="P232" i="19"/>
  <c r="F232" i="49"/>
  <c r="G232" i="49" s="1"/>
  <c r="P21" i="19"/>
  <c r="R21" i="19" s="1"/>
  <c r="E21" i="25" s="1"/>
  <c r="F21" i="49"/>
  <c r="G21" i="49" s="1"/>
  <c r="P37" i="19"/>
  <c r="R37" i="19" s="1"/>
  <c r="E37" i="25" s="1"/>
  <c r="F37" i="49"/>
  <c r="G37" i="49" s="1"/>
  <c r="P53" i="19"/>
  <c r="R53" i="19" s="1"/>
  <c r="E53" i="25" s="1"/>
  <c r="F53" i="49"/>
  <c r="G53" i="49" s="1"/>
  <c r="P69" i="19"/>
  <c r="F69" i="49"/>
  <c r="G69" i="49" s="1"/>
  <c r="P85" i="19"/>
  <c r="R85" i="19" s="1"/>
  <c r="E85" i="25" s="1"/>
  <c r="F85" i="49"/>
  <c r="G85" i="49" s="1"/>
  <c r="P101" i="19"/>
  <c r="F101" i="49"/>
  <c r="G101" i="49" s="1"/>
  <c r="P117" i="19"/>
  <c r="F117" i="49"/>
  <c r="G117" i="49" s="1"/>
  <c r="P133" i="19"/>
  <c r="R133" i="19" s="1"/>
  <c r="E133" i="25" s="1"/>
  <c r="F133" i="49"/>
  <c r="G133" i="49" s="1"/>
  <c r="P149" i="19"/>
  <c r="R149" i="19" s="1"/>
  <c r="E149" i="25" s="1"/>
  <c r="F149" i="49"/>
  <c r="G149" i="49" s="1"/>
  <c r="P165" i="19"/>
  <c r="R165" i="19" s="1"/>
  <c r="E165" i="25" s="1"/>
  <c r="F165" i="49"/>
  <c r="G165" i="49" s="1"/>
  <c r="P10" i="19"/>
  <c r="R10" i="19" s="1"/>
  <c r="E10" i="25" s="1"/>
  <c r="F10" i="49"/>
  <c r="G10" i="49" s="1"/>
  <c r="P26" i="19"/>
  <c r="F26" i="49"/>
  <c r="G26" i="49" s="1"/>
  <c r="P42" i="19"/>
  <c r="R42" i="19" s="1"/>
  <c r="E42" i="25" s="1"/>
  <c r="F42" i="49"/>
  <c r="G42" i="49" s="1"/>
  <c r="P58" i="19"/>
  <c r="R58" i="19" s="1"/>
  <c r="E58" i="25" s="1"/>
  <c r="F58" i="49"/>
  <c r="G58" i="49" s="1"/>
  <c r="P74" i="19"/>
  <c r="F74" i="49"/>
  <c r="G74" i="49" s="1"/>
  <c r="P90" i="19"/>
  <c r="F90" i="49"/>
  <c r="G90" i="49" s="1"/>
  <c r="P106" i="19"/>
  <c r="R106" i="19" s="1"/>
  <c r="E106" i="25" s="1"/>
  <c r="F106" i="49"/>
  <c r="G106" i="49" s="1"/>
  <c r="P122" i="19"/>
  <c r="R122" i="19" s="1"/>
  <c r="E122" i="25" s="1"/>
  <c r="F122" i="49"/>
  <c r="G122" i="49" s="1"/>
  <c r="P138" i="19"/>
  <c r="R138" i="19" s="1"/>
  <c r="E138" i="25" s="1"/>
  <c r="F138" i="49"/>
  <c r="G138" i="49" s="1"/>
  <c r="P154" i="19"/>
  <c r="F154" i="49"/>
  <c r="G154" i="49" s="1"/>
  <c r="P170" i="19"/>
  <c r="F170" i="49"/>
  <c r="G170" i="49" s="1"/>
  <c r="P266" i="19"/>
  <c r="R266" i="19" s="1"/>
  <c r="E266" i="25" s="1"/>
  <c r="F266" i="49"/>
  <c r="G266" i="49" s="1"/>
  <c r="P193" i="19"/>
  <c r="R193" i="19" s="1"/>
  <c r="E193" i="25" s="1"/>
  <c r="F193" i="49"/>
  <c r="G193" i="49" s="1"/>
  <c r="P209" i="19"/>
  <c r="R209" i="19" s="1"/>
  <c r="E209" i="25" s="1"/>
  <c r="F209" i="49"/>
  <c r="G209" i="49" s="1"/>
  <c r="P225" i="19"/>
  <c r="R225" i="19" s="1"/>
  <c r="E225" i="25" s="1"/>
  <c r="F225" i="49"/>
  <c r="G225" i="49" s="1"/>
  <c r="P241" i="19"/>
  <c r="R241" i="19" s="1"/>
  <c r="E241" i="25" s="1"/>
  <c r="F241" i="49"/>
  <c r="G241" i="49" s="1"/>
  <c r="P257" i="19"/>
  <c r="R257" i="19" s="1"/>
  <c r="E257" i="25" s="1"/>
  <c r="F257" i="49"/>
  <c r="G257" i="49" s="1"/>
  <c r="P273" i="19"/>
  <c r="F273" i="49"/>
  <c r="G273" i="49" s="1"/>
  <c r="P289" i="19"/>
  <c r="F289" i="49"/>
  <c r="G289" i="49" s="1"/>
  <c r="P305" i="19"/>
  <c r="R305" i="19" s="1"/>
  <c r="E305" i="25" s="1"/>
  <c r="F305" i="49"/>
  <c r="G305" i="49" s="1"/>
  <c r="P252" i="19"/>
  <c r="R252" i="19" s="1"/>
  <c r="E252" i="25" s="1"/>
  <c r="F252" i="49"/>
  <c r="G252" i="49" s="1"/>
  <c r="P256" i="19"/>
  <c r="R256" i="19" s="1"/>
  <c r="E256" i="25" s="1"/>
  <c r="F256" i="49"/>
  <c r="G256" i="49" s="1"/>
  <c r="P188" i="19"/>
  <c r="R188" i="19" s="1"/>
  <c r="E188" i="25" s="1"/>
  <c r="F188" i="49"/>
  <c r="G188" i="49" s="1"/>
  <c r="P204" i="19"/>
  <c r="R204" i="19" s="1"/>
  <c r="E204" i="25" s="1"/>
  <c r="F204" i="49"/>
  <c r="G204" i="49" s="1"/>
  <c r="P220" i="19"/>
  <c r="R220" i="19" s="1"/>
  <c r="E220" i="25" s="1"/>
  <c r="F220" i="49"/>
  <c r="G220" i="49" s="1"/>
  <c r="P236" i="19"/>
  <c r="R236" i="19" s="1"/>
  <c r="E236" i="25" s="1"/>
  <c r="F236" i="49"/>
  <c r="G236" i="49" s="1"/>
  <c r="P276" i="19"/>
  <c r="F276" i="49"/>
  <c r="G276" i="49" s="1"/>
  <c r="P65" i="19"/>
  <c r="F65" i="49"/>
  <c r="G65" i="49" s="1"/>
  <c r="P38" i="19"/>
  <c r="F38" i="49"/>
  <c r="G38" i="49" s="1"/>
  <c r="P200" i="19"/>
  <c r="R200" i="19" s="1"/>
  <c r="E200" i="25" s="1"/>
  <c r="F200" i="49"/>
  <c r="G200" i="49" s="1"/>
  <c r="P7" i="19"/>
  <c r="R7" i="19" s="1"/>
  <c r="E7" i="25" s="1"/>
  <c r="F7" i="49"/>
  <c r="G7" i="49" s="1"/>
  <c r="P23" i="19"/>
  <c r="R23" i="19" s="1"/>
  <c r="E23" i="25" s="1"/>
  <c r="F23" i="49"/>
  <c r="G23" i="49" s="1"/>
  <c r="P39" i="19"/>
  <c r="R39" i="19" s="1"/>
  <c r="E39" i="25" s="1"/>
  <c r="F39" i="49"/>
  <c r="G39" i="49" s="1"/>
  <c r="P55" i="19"/>
  <c r="R55" i="19" s="1"/>
  <c r="E55" i="25" s="1"/>
  <c r="F55" i="49"/>
  <c r="G55" i="49" s="1"/>
  <c r="P71" i="19"/>
  <c r="F71" i="49"/>
  <c r="G71" i="49" s="1"/>
  <c r="P87" i="19"/>
  <c r="F87" i="49"/>
  <c r="G87" i="49" s="1"/>
  <c r="P103" i="19"/>
  <c r="F103" i="49"/>
  <c r="G103" i="49" s="1"/>
  <c r="P119" i="19"/>
  <c r="R119" i="19" s="1"/>
  <c r="E119" i="25" s="1"/>
  <c r="F119" i="49"/>
  <c r="G119" i="49" s="1"/>
  <c r="P135" i="19"/>
  <c r="R135" i="19" s="1"/>
  <c r="E135" i="25" s="1"/>
  <c r="F135" i="49"/>
  <c r="G135" i="49" s="1"/>
  <c r="P151" i="19"/>
  <c r="R151" i="19" s="1"/>
  <c r="E151" i="25" s="1"/>
  <c r="F151" i="49"/>
  <c r="G151" i="49" s="1"/>
  <c r="P167" i="19"/>
  <c r="F167" i="49"/>
  <c r="G167" i="49" s="1"/>
  <c r="P12" i="19"/>
  <c r="R12" i="19" s="1"/>
  <c r="E12" i="25" s="1"/>
  <c r="F12" i="49"/>
  <c r="G12" i="49" s="1"/>
  <c r="P28" i="19"/>
  <c r="R28" i="19" s="1"/>
  <c r="E28" i="25" s="1"/>
  <c r="F28" i="49"/>
  <c r="G28" i="49" s="1"/>
  <c r="P44" i="19"/>
  <c r="F44" i="49"/>
  <c r="G44" i="49" s="1"/>
  <c r="P60" i="19"/>
  <c r="F60" i="49"/>
  <c r="G60" i="49" s="1"/>
  <c r="P76" i="19"/>
  <c r="R76" i="19" s="1"/>
  <c r="E76" i="25" s="1"/>
  <c r="F76" i="49"/>
  <c r="G76" i="49" s="1"/>
  <c r="P92" i="19"/>
  <c r="R92" i="19" s="1"/>
  <c r="E92" i="25" s="1"/>
  <c r="F92" i="49"/>
  <c r="G92" i="49" s="1"/>
  <c r="P108" i="19"/>
  <c r="R108" i="19" s="1"/>
  <c r="E108" i="25" s="1"/>
  <c r="F108" i="49"/>
  <c r="G108" i="49" s="1"/>
  <c r="P124" i="19"/>
  <c r="R124" i="19" s="1"/>
  <c r="E124" i="25" s="1"/>
  <c r="F124" i="49"/>
  <c r="G124" i="49" s="1"/>
  <c r="P140" i="19"/>
  <c r="F140" i="49"/>
  <c r="G140" i="49" s="1"/>
  <c r="P156" i="19"/>
  <c r="F156" i="49"/>
  <c r="G156" i="49" s="1"/>
  <c r="P172" i="19"/>
  <c r="F172" i="49"/>
  <c r="G172" i="49" s="1"/>
  <c r="P179" i="19"/>
  <c r="R179" i="19" s="1"/>
  <c r="E179" i="25" s="1"/>
  <c r="F179" i="49"/>
  <c r="G179" i="49" s="1"/>
  <c r="P195" i="19"/>
  <c r="F195" i="49"/>
  <c r="G195" i="49" s="1"/>
  <c r="P211" i="19"/>
  <c r="F211" i="49"/>
  <c r="G211" i="49" s="1"/>
  <c r="P227" i="19"/>
  <c r="F227" i="49"/>
  <c r="G227" i="49" s="1"/>
  <c r="P243" i="19"/>
  <c r="F243" i="49"/>
  <c r="G243" i="49" s="1"/>
  <c r="P259" i="19"/>
  <c r="F259" i="49"/>
  <c r="G259" i="49" s="1"/>
  <c r="P275" i="19"/>
  <c r="F275" i="49"/>
  <c r="G275" i="49" s="1"/>
  <c r="P291" i="19"/>
  <c r="R291" i="19" s="1"/>
  <c r="E291" i="25" s="1"/>
  <c r="F291" i="49"/>
  <c r="G291" i="49" s="1"/>
  <c r="P254" i="19"/>
  <c r="F254" i="49"/>
  <c r="G254" i="49" s="1"/>
  <c r="P258" i="19"/>
  <c r="F258" i="49"/>
  <c r="G258" i="49" s="1"/>
  <c r="P262" i="19"/>
  <c r="R262" i="19" s="1"/>
  <c r="E262" i="25" s="1"/>
  <c r="F262" i="49"/>
  <c r="G262" i="49" s="1"/>
  <c r="P190" i="19"/>
  <c r="F190" i="49"/>
  <c r="G190" i="49" s="1"/>
  <c r="P206" i="19"/>
  <c r="F206" i="49"/>
  <c r="G206" i="49" s="1"/>
  <c r="P222" i="19"/>
  <c r="F222" i="49"/>
  <c r="G222" i="49" s="1"/>
  <c r="P238" i="19"/>
  <c r="F238" i="49"/>
  <c r="G238" i="49" s="1"/>
  <c r="P280" i="19"/>
  <c r="F280" i="49"/>
  <c r="G280" i="49" s="1"/>
  <c r="P49" i="19"/>
  <c r="F49" i="49"/>
  <c r="G49" i="49" s="1"/>
  <c r="P216" i="19"/>
  <c r="R216" i="19" s="1"/>
  <c r="E216" i="25" s="1"/>
  <c r="F216" i="49"/>
  <c r="G216" i="49" s="1"/>
  <c r="P9" i="19"/>
  <c r="F9" i="49"/>
  <c r="G9" i="49" s="1"/>
  <c r="P25" i="19"/>
  <c r="F25" i="49"/>
  <c r="G25" i="49" s="1"/>
  <c r="P41" i="19"/>
  <c r="F41" i="49"/>
  <c r="G41" i="49" s="1"/>
  <c r="P57" i="19"/>
  <c r="F57" i="49"/>
  <c r="G57" i="49" s="1"/>
  <c r="P73" i="19"/>
  <c r="R73" i="19" s="1"/>
  <c r="E73" i="25" s="1"/>
  <c r="F73" i="49"/>
  <c r="G73" i="49" s="1"/>
  <c r="P89" i="19"/>
  <c r="R89" i="19" s="1"/>
  <c r="E89" i="25" s="1"/>
  <c r="F89" i="49"/>
  <c r="G89" i="49" s="1"/>
  <c r="P105" i="19"/>
  <c r="F105" i="49"/>
  <c r="G105" i="49" s="1"/>
  <c r="P121" i="19"/>
  <c r="R121" i="19" s="1"/>
  <c r="E121" i="25" s="1"/>
  <c r="F121" i="49"/>
  <c r="G121" i="49" s="1"/>
  <c r="P137" i="19"/>
  <c r="R137" i="19" s="1"/>
  <c r="E137" i="25" s="1"/>
  <c r="F137" i="49"/>
  <c r="G137" i="49" s="1"/>
  <c r="P153" i="19"/>
  <c r="R153" i="19" s="1"/>
  <c r="E153" i="25" s="1"/>
  <c r="F153" i="49"/>
  <c r="G153" i="49" s="1"/>
  <c r="P169" i="19"/>
  <c r="R169" i="19" s="1"/>
  <c r="E169" i="25" s="1"/>
  <c r="F169" i="49"/>
  <c r="G169" i="49" s="1"/>
  <c r="P14" i="19"/>
  <c r="R14" i="19" s="1"/>
  <c r="E14" i="25" s="1"/>
  <c r="F14" i="49"/>
  <c r="G14" i="49" s="1"/>
  <c r="P30" i="19"/>
  <c r="R30" i="19" s="1"/>
  <c r="E30" i="25" s="1"/>
  <c r="F30" i="49"/>
  <c r="G30" i="49" s="1"/>
  <c r="P46" i="19"/>
  <c r="F46" i="49"/>
  <c r="G46" i="49" s="1"/>
  <c r="P62" i="19"/>
  <c r="R62" i="19" s="1"/>
  <c r="E62" i="25" s="1"/>
  <c r="F62" i="49"/>
  <c r="G62" i="49" s="1"/>
  <c r="P78" i="19"/>
  <c r="F78" i="49"/>
  <c r="G78" i="49" s="1"/>
  <c r="P94" i="19"/>
  <c r="R94" i="19" s="1"/>
  <c r="E94" i="25" s="1"/>
  <c r="F94" i="49"/>
  <c r="G94" i="49" s="1"/>
  <c r="P110" i="19"/>
  <c r="R110" i="19" s="1"/>
  <c r="E110" i="25" s="1"/>
  <c r="F110" i="49"/>
  <c r="G110" i="49" s="1"/>
  <c r="P126" i="19"/>
  <c r="F126" i="49"/>
  <c r="G126" i="49" s="1"/>
  <c r="P142" i="19"/>
  <c r="F142" i="49"/>
  <c r="G142" i="49" s="1"/>
  <c r="P158" i="19"/>
  <c r="F158" i="49"/>
  <c r="G158" i="49" s="1"/>
  <c r="P174" i="19"/>
  <c r="F174" i="49"/>
  <c r="G174" i="49" s="1"/>
  <c r="P181" i="19"/>
  <c r="R181" i="19" s="1"/>
  <c r="E181" i="25" s="1"/>
  <c r="F181" i="49"/>
  <c r="G181" i="49" s="1"/>
  <c r="P197" i="19"/>
  <c r="R197" i="19" s="1"/>
  <c r="E197" i="25" s="1"/>
  <c r="F197" i="49"/>
  <c r="G197" i="49" s="1"/>
  <c r="P213" i="19"/>
  <c r="R213" i="19" s="1"/>
  <c r="E213" i="25" s="1"/>
  <c r="F213" i="49"/>
  <c r="G213" i="49" s="1"/>
  <c r="P229" i="19"/>
  <c r="R229" i="19" s="1"/>
  <c r="E229" i="25" s="1"/>
  <c r="F229" i="49"/>
  <c r="G229" i="49" s="1"/>
  <c r="P245" i="19"/>
  <c r="F245" i="49"/>
  <c r="G245" i="49" s="1"/>
  <c r="P261" i="19"/>
  <c r="R261" i="19" s="1"/>
  <c r="E261" i="25" s="1"/>
  <c r="F261" i="49"/>
  <c r="G261" i="49" s="1"/>
  <c r="P277" i="19"/>
  <c r="F277" i="49"/>
  <c r="G277" i="49" s="1"/>
  <c r="P293" i="19"/>
  <c r="F293" i="49"/>
  <c r="G293" i="49" s="1"/>
  <c r="P264" i="19"/>
  <c r="F264" i="49"/>
  <c r="G264" i="49" s="1"/>
  <c r="P260" i="19"/>
  <c r="R260" i="19" s="1"/>
  <c r="E260" i="25" s="1"/>
  <c r="F260" i="49"/>
  <c r="G260" i="49" s="1"/>
  <c r="P176" i="19"/>
  <c r="F176" i="49"/>
  <c r="G176" i="49" s="1"/>
  <c r="P192" i="19"/>
  <c r="R192" i="19" s="1"/>
  <c r="E192" i="25" s="1"/>
  <c r="F192" i="49"/>
  <c r="G192" i="49" s="1"/>
  <c r="P208" i="19"/>
  <c r="R208" i="19" s="1"/>
  <c r="E208" i="25" s="1"/>
  <c r="F208" i="49"/>
  <c r="G208" i="49" s="1"/>
  <c r="P224" i="19"/>
  <c r="R224" i="19" s="1"/>
  <c r="E224" i="25" s="1"/>
  <c r="F224" i="49"/>
  <c r="G224" i="49" s="1"/>
  <c r="P240" i="19"/>
  <c r="F240" i="49"/>
  <c r="G240" i="49" s="1"/>
  <c r="P284" i="19"/>
  <c r="F284" i="49"/>
  <c r="G284" i="49" s="1"/>
  <c r="P17" i="19"/>
  <c r="F17" i="49"/>
  <c r="G17" i="49" s="1"/>
  <c r="P129" i="19"/>
  <c r="F129" i="49"/>
  <c r="G129" i="49" s="1"/>
  <c r="P22" i="19"/>
  <c r="R22" i="19" s="1"/>
  <c r="E22" i="25" s="1"/>
  <c r="F22" i="49"/>
  <c r="G22" i="49" s="1"/>
  <c r="P118" i="19"/>
  <c r="R118" i="19" s="1"/>
  <c r="E118" i="25" s="1"/>
  <c r="F118" i="49"/>
  <c r="G118" i="49" s="1"/>
  <c r="P150" i="19"/>
  <c r="F150" i="49"/>
  <c r="G150" i="49" s="1"/>
  <c r="P189" i="19"/>
  <c r="R189" i="19" s="1"/>
  <c r="E189" i="25" s="1"/>
  <c r="F189" i="49"/>
  <c r="G189" i="49" s="1"/>
  <c r="P253" i="19"/>
  <c r="R253" i="19" s="1"/>
  <c r="E253" i="25" s="1"/>
  <c r="F253" i="49"/>
  <c r="G253" i="49" s="1"/>
  <c r="P269" i="19"/>
  <c r="F269" i="49"/>
  <c r="G269" i="49" s="1"/>
  <c r="P301" i="19"/>
  <c r="R301" i="19" s="1"/>
  <c r="E301" i="25" s="1"/>
  <c r="F301" i="49"/>
  <c r="G301" i="49" s="1"/>
  <c r="P184" i="19"/>
  <c r="F184" i="49"/>
  <c r="G184" i="49" s="1"/>
  <c r="P11" i="19"/>
  <c r="R11" i="19" s="1"/>
  <c r="E11" i="25" s="1"/>
  <c r="F11" i="49"/>
  <c r="G11" i="49" s="1"/>
  <c r="P27" i="19"/>
  <c r="F27" i="49"/>
  <c r="G27" i="49" s="1"/>
  <c r="P43" i="19"/>
  <c r="R43" i="19" s="1"/>
  <c r="E43" i="25" s="1"/>
  <c r="F43" i="49"/>
  <c r="G43" i="49" s="1"/>
  <c r="P59" i="19"/>
  <c r="R59" i="19" s="1"/>
  <c r="E59" i="25" s="1"/>
  <c r="F59" i="49"/>
  <c r="G59" i="49" s="1"/>
  <c r="P75" i="19"/>
  <c r="F75" i="49"/>
  <c r="G75" i="49" s="1"/>
  <c r="P91" i="19"/>
  <c r="F91" i="49"/>
  <c r="G91" i="49" s="1"/>
  <c r="P107" i="19"/>
  <c r="R107" i="19" s="1"/>
  <c r="E107" i="25" s="1"/>
  <c r="F107" i="49"/>
  <c r="G107" i="49" s="1"/>
  <c r="P123" i="19"/>
  <c r="R123" i="19" s="1"/>
  <c r="E123" i="25" s="1"/>
  <c r="F123" i="49"/>
  <c r="G123" i="49" s="1"/>
  <c r="P139" i="19"/>
  <c r="F139" i="49"/>
  <c r="G139" i="49" s="1"/>
  <c r="P155" i="19"/>
  <c r="R155" i="19" s="1"/>
  <c r="E155" i="25" s="1"/>
  <c r="F155" i="49"/>
  <c r="G155" i="49" s="1"/>
  <c r="P171" i="19"/>
  <c r="R171" i="19" s="1"/>
  <c r="E171" i="25" s="1"/>
  <c r="F171" i="49"/>
  <c r="G171" i="49" s="1"/>
  <c r="P16" i="19"/>
  <c r="F16" i="49"/>
  <c r="G16" i="49" s="1"/>
  <c r="P32" i="19"/>
  <c r="R32" i="19" s="1"/>
  <c r="E32" i="25" s="1"/>
  <c r="F32" i="49"/>
  <c r="G32" i="49" s="1"/>
  <c r="P48" i="19"/>
  <c r="F48" i="49"/>
  <c r="G48" i="49" s="1"/>
  <c r="P64" i="19"/>
  <c r="F64" i="49"/>
  <c r="G64" i="49" s="1"/>
  <c r="P80" i="19"/>
  <c r="R80" i="19" s="1"/>
  <c r="E80" i="25" s="1"/>
  <c r="F80" i="49"/>
  <c r="G80" i="49" s="1"/>
  <c r="P96" i="19"/>
  <c r="F96" i="49"/>
  <c r="G96" i="49" s="1"/>
  <c r="P112" i="19"/>
  <c r="F112" i="49"/>
  <c r="G112" i="49" s="1"/>
  <c r="P128" i="19"/>
  <c r="F128" i="49"/>
  <c r="G128" i="49" s="1"/>
  <c r="P144" i="19"/>
  <c r="F144" i="49"/>
  <c r="G144" i="49" s="1"/>
  <c r="P160" i="19"/>
  <c r="F160" i="49"/>
  <c r="G160" i="49" s="1"/>
  <c r="P248" i="19"/>
  <c r="F248" i="49"/>
  <c r="G248" i="49" s="1"/>
  <c r="P183" i="19"/>
  <c r="F183" i="49"/>
  <c r="G183" i="49" s="1"/>
  <c r="P199" i="19"/>
  <c r="F199" i="49"/>
  <c r="G199" i="49" s="1"/>
  <c r="P215" i="19"/>
  <c r="F215" i="49"/>
  <c r="G215" i="49" s="1"/>
  <c r="P231" i="19"/>
  <c r="F231" i="49"/>
  <c r="G231" i="49" s="1"/>
  <c r="P247" i="19"/>
  <c r="F247" i="49"/>
  <c r="G247" i="49" s="1"/>
  <c r="P263" i="19"/>
  <c r="F263" i="49"/>
  <c r="G263" i="49" s="1"/>
  <c r="P279" i="19"/>
  <c r="R279" i="19" s="1"/>
  <c r="E279" i="25" s="1"/>
  <c r="F279" i="49"/>
  <c r="G279" i="49" s="1"/>
  <c r="P295" i="19"/>
  <c r="R295" i="19" s="1"/>
  <c r="E295" i="25" s="1"/>
  <c r="F295" i="49"/>
  <c r="G295" i="49" s="1"/>
  <c r="P274" i="19"/>
  <c r="R274" i="19" s="1"/>
  <c r="E274" i="25" s="1"/>
  <c r="F274" i="49"/>
  <c r="G274" i="49" s="1"/>
  <c r="P272" i="19"/>
  <c r="F272" i="49"/>
  <c r="G272" i="49" s="1"/>
  <c r="P178" i="19"/>
  <c r="F178" i="49"/>
  <c r="G178" i="49" s="1"/>
  <c r="P194" i="19"/>
  <c r="F194" i="49"/>
  <c r="G194" i="49" s="1"/>
  <c r="P210" i="19"/>
  <c r="F210" i="49"/>
  <c r="G210" i="49" s="1"/>
  <c r="P226" i="19"/>
  <c r="F226" i="49"/>
  <c r="G226" i="49" s="1"/>
  <c r="P242" i="19"/>
  <c r="F242" i="49"/>
  <c r="G242" i="49" s="1"/>
  <c r="P294" i="19"/>
  <c r="R294" i="19" s="1"/>
  <c r="E294" i="25" s="1"/>
  <c r="F294" i="49"/>
  <c r="G294" i="49" s="1"/>
  <c r="F287" i="13"/>
  <c r="F300" i="13"/>
  <c r="F192" i="13"/>
  <c r="F279" i="13"/>
  <c r="F71" i="13"/>
  <c r="F75" i="13"/>
  <c r="F257" i="13"/>
  <c r="F228" i="13"/>
  <c r="F122" i="13"/>
  <c r="F265" i="13"/>
  <c r="F11" i="13"/>
  <c r="F166" i="13"/>
  <c r="F97" i="13"/>
  <c r="F38" i="13"/>
  <c r="F94" i="13"/>
  <c r="F64" i="13"/>
  <c r="F63" i="13"/>
  <c r="F176" i="13"/>
  <c r="F151" i="13"/>
  <c r="F218" i="13"/>
  <c r="F89" i="13"/>
  <c r="F185" i="13"/>
  <c r="F232" i="13"/>
  <c r="F152" i="13"/>
  <c r="F27" i="13"/>
  <c r="F288" i="13"/>
  <c r="F186" i="13"/>
  <c r="F81" i="13"/>
  <c r="F177" i="13"/>
  <c r="R228" i="19"/>
  <c r="E228" i="25" s="1"/>
  <c r="R63" i="19"/>
  <c r="E63" i="25" s="1"/>
  <c r="R201" i="19"/>
  <c r="E201" i="25" s="1"/>
  <c r="R46" i="19"/>
  <c r="E46" i="25" s="1"/>
  <c r="R15" i="19"/>
  <c r="E15" i="25" s="1"/>
  <c r="R81" i="19"/>
  <c r="E81" i="25" s="1"/>
  <c r="R93" i="19"/>
  <c r="E93" i="25" s="1"/>
  <c r="R95" i="19"/>
  <c r="E95" i="25" s="1"/>
  <c r="R61" i="19"/>
  <c r="E61" i="25" s="1"/>
  <c r="J14" i="49" l="1"/>
  <c r="AK14" i="42"/>
  <c r="AM14" i="42"/>
  <c r="J10" i="49"/>
  <c r="AK10" i="42"/>
  <c r="AM10" i="42"/>
  <c r="J201" i="49"/>
  <c r="AK201" i="42"/>
  <c r="AM201" i="42"/>
  <c r="J135" i="49"/>
  <c r="AK135" i="42"/>
  <c r="AM135" i="42"/>
  <c r="J92" i="49"/>
  <c r="AK92" i="42"/>
  <c r="AM92" i="42"/>
  <c r="J111" i="49"/>
  <c r="AK111" i="42"/>
  <c r="AM111" i="42"/>
  <c r="J145" i="49"/>
  <c r="AK145" i="42"/>
  <c r="AM145" i="42"/>
  <c r="J149" i="49"/>
  <c r="AK149" i="42"/>
  <c r="AM149" i="42"/>
  <c r="J261" i="49"/>
  <c r="AK261" i="42"/>
  <c r="AM261" i="42"/>
  <c r="J137" i="49"/>
  <c r="AK137" i="42"/>
  <c r="AM137" i="42"/>
  <c r="J295" i="49"/>
  <c r="AK295" i="42"/>
  <c r="AM295" i="42"/>
  <c r="J302" i="49"/>
  <c r="AK302" i="42"/>
  <c r="AM302" i="42"/>
  <c r="J39" i="49"/>
  <c r="AK39" i="42"/>
  <c r="AM39" i="42"/>
  <c r="J141" i="49"/>
  <c r="AK141" i="42"/>
  <c r="AM141" i="42"/>
  <c r="J237" i="49"/>
  <c r="AK237" i="42"/>
  <c r="AM237" i="42"/>
  <c r="J303" i="49"/>
  <c r="AK303" i="42"/>
  <c r="AM303" i="42"/>
  <c r="J163" i="49"/>
  <c r="AK163" i="42"/>
  <c r="AM163" i="42"/>
  <c r="J97" i="49"/>
  <c r="AK97" i="42"/>
  <c r="AM97" i="42"/>
  <c r="J260" i="49"/>
  <c r="AK260" i="42"/>
  <c r="AM260" i="42"/>
  <c r="J43" i="49"/>
  <c r="AK43" i="42"/>
  <c r="AM43" i="42"/>
  <c r="J209" i="49"/>
  <c r="AK209" i="42"/>
  <c r="AM209" i="42"/>
  <c r="J34" i="49"/>
  <c r="AK34" i="42"/>
  <c r="AM34" i="42"/>
  <c r="J181" i="49"/>
  <c r="AK181" i="42"/>
  <c r="AM181" i="42"/>
  <c r="J119" i="49"/>
  <c r="AK119" i="42"/>
  <c r="AM119" i="42"/>
  <c r="J85" i="49"/>
  <c r="AK85" i="42"/>
  <c r="AM85" i="42"/>
  <c r="J89" i="49"/>
  <c r="AK89" i="42"/>
  <c r="AM89" i="42"/>
  <c r="J77" i="49"/>
  <c r="AK77" i="42"/>
  <c r="AM77" i="42"/>
  <c r="J80" i="49"/>
  <c r="AK80" i="42"/>
  <c r="AM80" i="42"/>
  <c r="J224" i="49"/>
  <c r="AK224" i="42"/>
  <c r="AM224" i="42"/>
  <c r="J241" i="49"/>
  <c r="AK241" i="42"/>
  <c r="AM241" i="42"/>
  <c r="AK56" i="42"/>
  <c r="J56" i="49"/>
  <c r="AM56" i="42"/>
  <c r="J197" i="49"/>
  <c r="AK197" i="42"/>
  <c r="AM197" i="42"/>
  <c r="J175" i="49"/>
  <c r="AK175" i="42"/>
  <c r="AM175" i="42"/>
  <c r="AK120" i="42"/>
  <c r="J120" i="49"/>
  <c r="AM120" i="42"/>
  <c r="J53" i="49"/>
  <c r="AK53" i="42"/>
  <c r="AM53" i="42"/>
  <c r="J157" i="49"/>
  <c r="AK157" i="42"/>
  <c r="AM157" i="42"/>
  <c r="J52" i="49"/>
  <c r="AK52" i="42"/>
  <c r="AM52" i="42"/>
  <c r="J169" i="49"/>
  <c r="AK169" i="42"/>
  <c r="AM169" i="42"/>
  <c r="J76" i="49"/>
  <c r="AK76" i="42"/>
  <c r="AM76" i="42"/>
  <c r="J213" i="49"/>
  <c r="AK213" i="42"/>
  <c r="AM213" i="42"/>
  <c r="J133" i="49"/>
  <c r="AK133" i="42"/>
  <c r="AM133" i="42"/>
  <c r="J155" i="49"/>
  <c r="AK155" i="42"/>
  <c r="AM155" i="42"/>
  <c r="J220" i="49"/>
  <c r="AK220" i="42"/>
  <c r="AM220" i="42"/>
  <c r="J93" i="49"/>
  <c r="AK93" i="42"/>
  <c r="AM93" i="42"/>
  <c r="J58" i="49"/>
  <c r="AK58" i="42"/>
  <c r="AM58" i="42"/>
  <c r="J266" i="49"/>
  <c r="AK266" i="42"/>
  <c r="AM266" i="42"/>
  <c r="J173" i="49"/>
  <c r="AK173" i="42"/>
  <c r="AM173" i="42"/>
  <c r="J159" i="49"/>
  <c r="AK159" i="42"/>
  <c r="AM159" i="42"/>
  <c r="J42" i="49"/>
  <c r="AK42" i="42"/>
  <c r="AM42" i="42"/>
  <c r="J294" i="49"/>
  <c r="AK294" i="42"/>
  <c r="AM294" i="42"/>
  <c r="J59" i="49"/>
  <c r="AK59" i="42"/>
  <c r="AM59" i="42"/>
  <c r="J229" i="49"/>
  <c r="AK229" i="42"/>
  <c r="AM229" i="42"/>
  <c r="J305" i="49"/>
  <c r="AK305" i="42"/>
  <c r="AM305" i="42"/>
  <c r="J20" i="49"/>
  <c r="AK20" i="42"/>
  <c r="AM20" i="42"/>
  <c r="J297" i="49"/>
  <c r="AK297" i="42"/>
  <c r="AM297" i="42"/>
  <c r="J118" i="49"/>
  <c r="AK118" i="42"/>
  <c r="AM118" i="42"/>
  <c r="J282" i="49"/>
  <c r="AK282" i="42"/>
  <c r="AM282" i="42"/>
  <c r="J131" i="49"/>
  <c r="AK131" i="42"/>
  <c r="AM131" i="42"/>
  <c r="J70" i="49"/>
  <c r="AK70" i="42"/>
  <c r="AM70" i="42"/>
  <c r="J262" i="49"/>
  <c r="AK262" i="42"/>
  <c r="AM262" i="42"/>
  <c r="J252" i="49"/>
  <c r="AK252" i="42"/>
  <c r="AM252" i="42"/>
  <c r="J106" i="49"/>
  <c r="AK106" i="42"/>
  <c r="AM106" i="42"/>
  <c r="J180" i="49"/>
  <c r="AK180" i="42"/>
  <c r="AM180" i="42"/>
  <c r="AK40" i="42"/>
  <c r="J40" i="49"/>
  <c r="AM40" i="42"/>
  <c r="J274" i="49"/>
  <c r="AK274" i="42"/>
  <c r="AM274" i="42"/>
  <c r="J138" i="49"/>
  <c r="AK138" i="42"/>
  <c r="AM138" i="42"/>
  <c r="J236" i="49"/>
  <c r="AK236" i="42"/>
  <c r="AM236" i="42"/>
  <c r="J113" i="49"/>
  <c r="AK113" i="42"/>
  <c r="AM113" i="42"/>
  <c r="J102" i="49"/>
  <c r="AK102" i="42"/>
  <c r="AM102" i="42"/>
  <c r="J31" i="49"/>
  <c r="AK31" i="42"/>
  <c r="AM31" i="42"/>
  <c r="J257" i="49"/>
  <c r="AK257" i="42"/>
  <c r="AM257" i="42"/>
  <c r="J13" i="49"/>
  <c r="AK13" i="42"/>
  <c r="AM13" i="42"/>
  <c r="J73" i="49"/>
  <c r="AK73" i="42"/>
  <c r="AM73" i="42"/>
  <c r="J108" i="49"/>
  <c r="AK108" i="42"/>
  <c r="AM108" i="42"/>
  <c r="J81" i="49"/>
  <c r="AK81" i="42"/>
  <c r="AM81" i="42"/>
  <c r="J189" i="49"/>
  <c r="AK189" i="42"/>
  <c r="AM189" i="42"/>
  <c r="J107" i="49"/>
  <c r="AK107" i="42"/>
  <c r="AM107" i="42"/>
  <c r="J35" i="49"/>
  <c r="AK35" i="42"/>
  <c r="AM35" i="42"/>
  <c r="J121" i="49"/>
  <c r="AK121" i="42"/>
  <c r="AM121" i="42"/>
  <c r="J216" i="49"/>
  <c r="AK216" i="42"/>
  <c r="AM216" i="42"/>
  <c r="J125" i="49"/>
  <c r="AK125" i="42"/>
  <c r="AM125" i="42"/>
  <c r="J161" i="49"/>
  <c r="AK161" i="42"/>
  <c r="AM161" i="42"/>
  <c r="J185" i="49"/>
  <c r="AK185" i="42"/>
  <c r="AM185" i="42"/>
  <c r="J244" i="49"/>
  <c r="AK244" i="42"/>
  <c r="AM244" i="42"/>
  <c r="J301" i="49"/>
  <c r="AK301" i="42"/>
  <c r="AM301" i="42"/>
  <c r="J55" i="49"/>
  <c r="AK55" i="42"/>
  <c r="AM55" i="42"/>
  <c r="J18" i="49"/>
  <c r="AK18" i="42"/>
  <c r="AM18" i="42"/>
  <c r="J291" i="49"/>
  <c r="AK291" i="42"/>
  <c r="AM291" i="42"/>
  <c r="J21" i="49"/>
  <c r="AK21" i="42"/>
  <c r="AM21" i="42"/>
  <c r="J193" i="49"/>
  <c r="AK193" i="42"/>
  <c r="AM193" i="42"/>
  <c r="J94" i="49"/>
  <c r="AK94" i="42"/>
  <c r="AM94" i="42"/>
  <c r="J151" i="49"/>
  <c r="AK151" i="42"/>
  <c r="AM151" i="42"/>
  <c r="J11" i="49"/>
  <c r="AK11" i="42"/>
  <c r="AM11" i="42"/>
  <c r="J115" i="49"/>
  <c r="AK115" i="42"/>
  <c r="AM115" i="42"/>
  <c r="J270" i="49"/>
  <c r="AK270" i="42"/>
  <c r="AM270" i="42"/>
  <c r="J143" i="49"/>
  <c r="AK143" i="42"/>
  <c r="AM143" i="42"/>
  <c r="J23" i="49"/>
  <c r="AK23" i="42"/>
  <c r="AM23" i="42"/>
  <c r="J63" i="49"/>
  <c r="AK63" i="42"/>
  <c r="AM63" i="42"/>
  <c r="J54" i="49"/>
  <c r="AK54" i="42"/>
  <c r="AM54" i="42"/>
  <c r="J212" i="49"/>
  <c r="AK212" i="42"/>
  <c r="AM212" i="42"/>
  <c r="J130" i="49"/>
  <c r="AK130" i="42"/>
  <c r="AM130" i="42"/>
  <c r="J188" i="49"/>
  <c r="AK188" i="42"/>
  <c r="AM188" i="42"/>
  <c r="J279" i="49"/>
  <c r="AK279" i="42"/>
  <c r="AM279" i="42"/>
  <c r="J22" i="49"/>
  <c r="AK22" i="42"/>
  <c r="AM22" i="42"/>
  <c r="J179" i="49"/>
  <c r="AK179" i="42"/>
  <c r="AM179" i="42"/>
  <c r="J95" i="49"/>
  <c r="AK95" i="42"/>
  <c r="AM95" i="42"/>
  <c r="J204" i="49"/>
  <c r="AK204" i="42"/>
  <c r="AM204" i="42"/>
  <c r="J153" i="49"/>
  <c r="AK153" i="42"/>
  <c r="AM153" i="42"/>
  <c r="J122" i="49"/>
  <c r="AK122" i="42"/>
  <c r="AM122" i="42"/>
  <c r="J217" i="49"/>
  <c r="AK217" i="42"/>
  <c r="AM217" i="42"/>
  <c r="J28" i="49"/>
  <c r="AK28" i="42"/>
  <c r="AM28" i="42"/>
  <c r="J12" i="49"/>
  <c r="AK12" i="42"/>
  <c r="AM12" i="42"/>
  <c r="J61" i="49"/>
  <c r="AK61" i="42"/>
  <c r="AM61" i="42"/>
  <c r="J208" i="49"/>
  <c r="AK208" i="42"/>
  <c r="AM208" i="42"/>
  <c r="J98" i="49"/>
  <c r="AK98" i="42"/>
  <c r="AM98" i="42"/>
  <c r="J124" i="49"/>
  <c r="AK124" i="42"/>
  <c r="AM124" i="42"/>
  <c r="J36" i="49"/>
  <c r="AK36" i="42"/>
  <c r="AM36" i="42"/>
  <c r="J68" i="49"/>
  <c r="AK68" i="42"/>
  <c r="AM68" i="42"/>
  <c r="J147" i="49"/>
  <c r="AK147" i="42"/>
  <c r="AM147" i="42"/>
  <c r="J37" i="49"/>
  <c r="AK37" i="42"/>
  <c r="AM37" i="42"/>
  <c r="J15" i="49"/>
  <c r="AK15" i="42"/>
  <c r="AM15" i="42"/>
  <c r="J225" i="49"/>
  <c r="AK225" i="42"/>
  <c r="AM225" i="42"/>
  <c r="J299" i="49"/>
  <c r="AK299" i="42"/>
  <c r="AM299" i="42"/>
  <c r="J30" i="49"/>
  <c r="AK30" i="42"/>
  <c r="AM30" i="42"/>
  <c r="J271" i="49"/>
  <c r="AK271" i="42"/>
  <c r="AM271" i="42"/>
  <c r="J290" i="49"/>
  <c r="AK290" i="42"/>
  <c r="AM290" i="42"/>
  <c r="J100" i="49"/>
  <c r="AK100" i="42"/>
  <c r="AM100" i="42"/>
  <c r="J253" i="49"/>
  <c r="AK253" i="42"/>
  <c r="AM253" i="42"/>
  <c r="J116" i="49"/>
  <c r="AK116" i="42"/>
  <c r="AM116" i="42"/>
  <c r="J165" i="49"/>
  <c r="AK165" i="42"/>
  <c r="AM165" i="42"/>
  <c r="J109" i="49"/>
  <c r="AK109" i="42"/>
  <c r="AM109" i="42"/>
  <c r="J249" i="49"/>
  <c r="AK249" i="42"/>
  <c r="AM249" i="42"/>
  <c r="J192" i="49"/>
  <c r="AK192" i="42"/>
  <c r="AM192" i="42"/>
  <c r="J278" i="49"/>
  <c r="AK278" i="42"/>
  <c r="AM278" i="42"/>
  <c r="J171" i="49"/>
  <c r="AK171" i="42"/>
  <c r="AM171" i="42"/>
  <c r="J123" i="49"/>
  <c r="AK123" i="42"/>
  <c r="AM123" i="42"/>
  <c r="AK104" i="42"/>
  <c r="J104" i="49"/>
  <c r="AM104" i="42"/>
  <c r="J110" i="49"/>
  <c r="AK110" i="42"/>
  <c r="AM110" i="42"/>
  <c r="J51" i="49"/>
  <c r="AK51" i="42"/>
  <c r="AM51" i="42"/>
  <c r="J62" i="49"/>
  <c r="AK62" i="42"/>
  <c r="AM62" i="42"/>
  <c r="J200" i="49"/>
  <c r="AK200" i="42"/>
  <c r="AM200" i="42"/>
  <c r="J134" i="49"/>
  <c r="AK134" i="42"/>
  <c r="AM134" i="42"/>
  <c r="J32" i="49"/>
  <c r="AK32" i="42"/>
  <c r="AM32" i="42"/>
  <c r="J256" i="49"/>
  <c r="AK256" i="42"/>
  <c r="AM256" i="42"/>
  <c r="J46" i="49"/>
  <c r="AK46" i="42"/>
  <c r="AM46" i="42"/>
  <c r="J7" i="49"/>
  <c r="AK7" i="42"/>
  <c r="AM7" i="42"/>
  <c r="J228" i="49"/>
  <c r="AK228" i="42"/>
  <c r="AM228" i="42"/>
  <c r="AC279" i="42"/>
  <c r="AE279" i="42"/>
  <c r="AC192" i="42"/>
  <c r="AE192" i="42"/>
  <c r="AE173" i="42"/>
  <c r="AC173" i="42"/>
  <c r="AC212" i="42"/>
  <c r="AE212" i="42"/>
  <c r="AC200" i="42"/>
  <c r="AE200" i="42"/>
  <c r="AE37" i="42"/>
  <c r="AC37" i="42"/>
  <c r="AE77" i="42"/>
  <c r="AC77" i="42"/>
  <c r="AC220" i="42"/>
  <c r="AE220" i="42"/>
  <c r="AE113" i="42"/>
  <c r="AC113" i="42"/>
  <c r="AE197" i="42"/>
  <c r="AC197" i="42"/>
  <c r="AE137" i="42"/>
  <c r="AC137" i="42"/>
  <c r="AE302" i="42"/>
  <c r="AC302" i="42"/>
  <c r="AE93" i="42"/>
  <c r="AC93" i="42"/>
  <c r="AE11" i="42"/>
  <c r="AC11" i="42"/>
  <c r="AE141" i="42"/>
  <c r="AC141" i="42"/>
  <c r="AC32" i="42"/>
  <c r="AE32" i="42"/>
  <c r="AE189" i="42"/>
  <c r="AC189" i="42"/>
  <c r="AE225" i="42"/>
  <c r="AC225" i="42"/>
  <c r="AE133" i="42"/>
  <c r="AC133" i="42"/>
  <c r="AC228" i="42"/>
  <c r="AE228" i="42"/>
  <c r="AE301" i="42"/>
  <c r="AC301" i="42"/>
  <c r="AE179" i="42"/>
  <c r="AC179" i="42"/>
  <c r="AE13" i="42"/>
  <c r="AC13" i="42"/>
  <c r="AE85" i="42"/>
  <c r="AC85" i="42"/>
  <c r="AC122" i="42"/>
  <c r="AE122" i="42"/>
  <c r="AC12" i="42"/>
  <c r="AE12" i="42"/>
  <c r="AE291" i="42"/>
  <c r="AC291" i="42"/>
  <c r="AC56" i="42"/>
  <c r="AE56" i="42"/>
  <c r="AC104" i="42"/>
  <c r="AE104" i="42"/>
  <c r="AE51" i="42"/>
  <c r="AC51" i="42"/>
  <c r="AE94" i="42"/>
  <c r="AC94" i="42"/>
  <c r="AC39" i="42"/>
  <c r="AE39" i="42"/>
  <c r="AC52" i="42"/>
  <c r="AE52" i="42"/>
  <c r="AE185" i="42"/>
  <c r="AC185" i="42"/>
  <c r="AC303" i="42"/>
  <c r="AE303" i="42"/>
  <c r="AC46" i="42"/>
  <c r="AE46" i="42"/>
  <c r="AE35" i="42"/>
  <c r="AC35" i="42"/>
  <c r="AC216" i="42"/>
  <c r="AE216" i="42"/>
  <c r="AE34" i="42"/>
  <c r="AC34" i="42"/>
  <c r="AE261" i="42"/>
  <c r="AC261" i="42"/>
  <c r="AC30" i="42"/>
  <c r="AE30" i="42"/>
  <c r="AE89" i="42"/>
  <c r="AC89" i="42"/>
  <c r="AE106" i="42"/>
  <c r="AC106" i="42"/>
  <c r="AC80" i="42"/>
  <c r="AE80" i="42"/>
  <c r="AC14" i="42"/>
  <c r="AE14" i="42"/>
  <c r="AE61" i="42"/>
  <c r="AC61" i="42"/>
  <c r="AC159" i="42"/>
  <c r="AE159" i="42"/>
  <c r="AE42" i="42"/>
  <c r="AC42" i="42"/>
  <c r="AC175" i="42"/>
  <c r="AE175" i="42"/>
  <c r="AE10" i="42"/>
  <c r="AC10" i="42"/>
  <c r="AC36" i="42"/>
  <c r="AE36" i="42"/>
  <c r="AE53" i="42"/>
  <c r="AC53" i="42"/>
  <c r="AE157" i="42"/>
  <c r="AC157" i="42"/>
  <c r="AE147" i="42"/>
  <c r="AC147" i="42"/>
  <c r="AC20" i="42"/>
  <c r="AE20" i="42"/>
  <c r="AE237" i="42"/>
  <c r="AC237" i="42"/>
  <c r="AE270" i="42"/>
  <c r="AC270" i="42"/>
  <c r="AC76" i="42"/>
  <c r="AE76" i="42"/>
  <c r="AE130" i="42"/>
  <c r="AC130" i="42"/>
  <c r="AC23" i="42"/>
  <c r="AE23" i="42"/>
  <c r="AE131" i="42"/>
  <c r="AC131" i="42"/>
  <c r="AC100" i="42"/>
  <c r="AE100" i="42"/>
  <c r="AE290" i="42"/>
  <c r="AC290" i="42"/>
  <c r="AE153" i="42"/>
  <c r="AC153" i="42"/>
  <c r="AE109" i="42"/>
  <c r="AC109" i="42"/>
  <c r="AE249" i="42"/>
  <c r="AC249" i="42"/>
  <c r="AE58" i="42"/>
  <c r="AC58" i="42"/>
  <c r="AE165" i="42"/>
  <c r="AC165" i="42"/>
  <c r="AE253" i="42"/>
  <c r="AC253" i="42"/>
  <c r="AE274" i="42"/>
  <c r="AC274" i="42"/>
  <c r="AE266" i="42"/>
  <c r="AC266" i="42"/>
  <c r="AC111" i="42"/>
  <c r="AE111" i="42"/>
  <c r="AE171" i="42"/>
  <c r="AC171" i="42"/>
  <c r="AE123" i="42"/>
  <c r="AC123" i="42"/>
  <c r="AE102" i="42"/>
  <c r="AC102" i="42"/>
  <c r="AC31" i="42"/>
  <c r="AE31" i="42"/>
  <c r="AE294" i="42"/>
  <c r="AC294" i="42"/>
  <c r="AC295" i="42"/>
  <c r="AE295" i="42"/>
  <c r="AE229" i="42"/>
  <c r="AC229" i="42"/>
  <c r="AE169" i="42"/>
  <c r="AC169" i="42"/>
  <c r="AC15" i="42"/>
  <c r="AE15" i="42"/>
  <c r="AE163" i="42"/>
  <c r="AC163" i="42"/>
  <c r="AE299" i="42"/>
  <c r="AC299" i="42"/>
  <c r="AE121" i="42"/>
  <c r="AC121" i="42"/>
  <c r="AC22" i="42"/>
  <c r="AE22" i="42"/>
  <c r="AC119" i="42"/>
  <c r="AE119" i="42"/>
  <c r="AC188" i="42"/>
  <c r="AE188" i="42"/>
  <c r="AC271" i="42"/>
  <c r="AE271" i="42"/>
  <c r="AC55" i="42"/>
  <c r="AE55" i="42"/>
  <c r="AE138" i="42"/>
  <c r="AC138" i="42"/>
  <c r="AC224" i="42"/>
  <c r="AE224" i="42"/>
  <c r="AE43" i="42"/>
  <c r="AC43" i="42"/>
  <c r="AE161" i="42"/>
  <c r="AC161" i="42"/>
  <c r="AC95" i="42"/>
  <c r="AE95" i="42"/>
  <c r="AC120" i="42"/>
  <c r="AE120" i="42"/>
  <c r="AE73" i="42"/>
  <c r="AC73" i="42"/>
  <c r="AE134" i="42"/>
  <c r="AC134" i="42"/>
  <c r="AE81" i="42"/>
  <c r="AC81" i="42"/>
  <c r="AC256" i="42"/>
  <c r="AE256" i="42"/>
  <c r="AC7" i="42"/>
  <c r="AE7" i="42"/>
  <c r="AC260" i="42"/>
  <c r="AE260" i="42"/>
  <c r="AE278" i="42"/>
  <c r="AC278" i="42"/>
  <c r="AC124" i="42"/>
  <c r="AE124" i="42"/>
  <c r="AC143" i="42"/>
  <c r="AE143" i="42"/>
  <c r="AC180" i="42"/>
  <c r="AE180" i="42"/>
  <c r="AE125" i="42"/>
  <c r="AC125" i="42"/>
  <c r="AC116" i="42"/>
  <c r="AE116" i="42"/>
  <c r="AC40" i="42"/>
  <c r="AE40" i="42"/>
  <c r="AE217" i="42"/>
  <c r="AC217" i="42"/>
  <c r="AE18" i="42"/>
  <c r="AC18" i="42"/>
  <c r="AC244" i="42"/>
  <c r="AE244" i="42"/>
  <c r="AE145" i="42"/>
  <c r="AC145" i="42"/>
  <c r="AE262" i="42"/>
  <c r="AC262" i="42"/>
  <c r="AE21" i="42"/>
  <c r="AC21" i="42"/>
  <c r="AE98" i="42"/>
  <c r="AC98" i="42"/>
  <c r="AE257" i="42"/>
  <c r="AC257" i="42"/>
  <c r="AE59" i="42"/>
  <c r="AC59" i="42"/>
  <c r="AC62" i="42"/>
  <c r="AE62" i="42"/>
  <c r="AC151" i="42"/>
  <c r="AE151" i="42"/>
  <c r="AE305" i="42"/>
  <c r="AC305" i="42"/>
  <c r="AE297" i="42"/>
  <c r="AC297" i="42"/>
  <c r="AC252" i="42"/>
  <c r="AE252" i="42"/>
  <c r="AE118" i="42"/>
  <c r="AC118" i="42"/>
  <c r="AE213" i="42"/>
  <c r="AC213" i="42"/>
  <c r="AE201" i="42"/>
  <c r="AC201" i="42"/>
  <c r="AC63" i="42"/>
  <c r="AE63" i="42"/>
  <c r="AC208" i="42"/>
  <c r="AE208" i="42"/>
  <c r="AC70" i="42"/>
  <c r="AE70" i="42"/>
  <c r="AC204" i="42"/>
  <c r="AE204" i="42"/>
  <c r="AC92" i="42"/>
  <c r="AE92" i="42"/>
  <c r="AC54" i="42"/>
  <c r="AE54" i="42"/>
  <c r="AC135" i="42"/>
  <c r="AE135" i="42"/>
  <c r="AE181" i="42"/>
  <c r="AC181" i="42"/>
  <c r="AC28" i="42"/>
  <c r="AE28" i="42"/>
  <c r="AC236" i="42"/>
  <c r="AE236" i="42"/>
  <c r="AE241" i="42"/>
  <c r="AC241" i="42"/>
  <c r="AE149" i="42"/>
  <c r="AC149" i="42"/>
  <c r="AE110" i="42"/>
  <c r="AC110" i="42"/>
  <c r="AE193" i="42"/>
  <c r="AC193" i="42"/>
  <c r="AC68" i="42"/>
  <c r="AE68" i="42"/>
  <c r="AC108" i="42"/>
  <c r="AE108" i="42"/>
  <c r="AE209" i="42"/>
  <c r="AC209" i="42"/>
  <c r="AE115" i="42"/>
  <c r="AC115" i="42"/>
  <c r="AE107" i="42"/>
  <c r="AC107" i="42"/>
  <c r="AE282" i="42"/>
  <c r="AC282" i="42"/>
  <c r="AE97" i="42"/>
  <c r="AC97" i="42"/>
  <c r="AE155" i="42"/>
  <c r="AC155" i="42"/>
  <c r="C61" i="33"/>
  <c r="E61" i="33" s="1"/>
  <c r="D61" i="37" s="1"/>
  <c r="C67" i="9"/>
  <c r="C147" i="33"/>
  <c r="E147" i="33" s="1"/>
  <c r="D147" i="37" s="1"/>
  <c r="C153" i="9"/>
  <c r="C100" i="33"/>
  <c r="E100" i="33" s="1"/>
  <c r="D100" i="37" s="1"/>
  <c r="C106" i="9"/>
  <c r="C58" i="33"/>
  <c r="E58" i="33" s="1"/>
  <c r="D58" i="37" s="1"/>
  <c r="C64" i="9"/>
  <c r="C171" i="9"/>
  <c r="C259" i="9"/>
  <c r="C280" i="9"/>
  <c r="C272" i="9"/>
  <c r="C117" i="9"/>
  <c r="C171" i="33"/>
  <c r="E171" i="33" s="1"/>
  <c r="D171" i="37" s="1"/>
  <c r="C177" i="9"/>
  <c r="C123" i="33"/>
  <c r="E123" i="33" s="1"/>
  <c r="D123" i="37" s="1"/>
  <c r="C129" i="9"/>
  <c r="C108" i="9"/>
  <c r="C31" i="33"/>
  <c r="E31" i="33" s="1"/>
  <c r="D31" i="37" s="1"/>
  <c r="C37" i="9"/>
  <c r="C294" i="33"/>
  <c r="E294" i="33" s="1"/>
  <c r="D294" i="37" s="1"/>
  <c r="C300" i="9"/>
  <c r="C301" i="9"/>
  <c r="C235" i="9"/>
  <c r="C169" i="33"/>
  <c r="E169" i="33" s="1"/>
  <c r="D169" i="37" s="1"/>
  <c r="C175" i="9"/>
  <c r="C15" i="33"/>
  <c r="E15" i="33" s="1"/>
  <c r="D15" i="37" s="1"/>
  <c r="C21" i="9"/>
  <c r="C169" i="9"/>
  <c r="C299" i="33"/>
  <c r="E299" i="33" s="1"/>
  <c r="D299" i="37" s="1"/>
  <c r="C305" i="9"/>
  <c r="C121" i="33"/>
  <c r="E121" i="33" s="1"/>
  <c r="D121" i="37" s="1"/>
  <c r="C127" i="9"/>
  <c r="C249" i="33"/>
  <c r="E249" i="33" s="1"/>
  <c r="D249" i="37" s="1"/>
  <c r="C255" i="9"/>
  <c r="C159" i="33"/>
  <c r="E159" i="33" s="1"/>
  <c r="D159" i="37" s="1"/>
  <c r="C165" i="9"/>
  <c r="C42" i="9"/>
  <c r="C270" i="33"/>
  <c r="E270" i="33" s="1"/>
  <c r="D270" i="37" s="1"/>
  <c r="C276" i="9"/>
  <c r="C188" i="33"/>
  <c r="E188" i="33" s="1"/>
  <c r="D188" i="37" s="1"/>
  <c r="C194" i="9"/>
  <c r="C54" i="33"/>
  <c r="E54" i="33" s="1"/>
  <c r="D54" i="37" s="1"/>
  <c r="C60" i="9"/>
  <c r="C271" i="33"/>
  <c r="E271" i="33" s="1"/>
  <c r="C277" i="9"/>
  <c r="C61" i="9"/>
  <c r="C138" i="33"/>
  <c r="E138" i="33" s="1"/>
  <c r="D138" i="37" s="1"/>
  <c r="C144" i="9"/>
  <c r="C224" i="33"/>
  <c r="E224" i="33" s="1"/>
  <c r="D224" i="37" s="1"/>
  <c r="C230" i="9"/>
  <c r="C49" i="9"/>
  <c r="C167" i="9"/>
  <c r="C95" i="33"/>
  <c r="E95" i="33" s="1"/>
  <c r="D95" i="37" s="1"/>
  <c r="C101" i="9"/>
  <c r="C120" i="33"/>
  <c r="E120" i="33" s="1"/>
  <c r="C126" i="9"/>
  <c r="C73" i="33"/>
  <c r="E73" i="33" s="1"/>
  <c r="D73" i="37" s="1"/>
  <c r="C79" i="9"/>
  <c r="C134" i="33"/>
  <c r="E134" i="33" s="1"/>
  <c r="D134" i="37" s="1"/>
  <c r="C140" i="9"/>
  <c r="C87" i="9"/>
  <c r="C262" i="9"/>
  <c r="C7" i="33"/>
  <c r="E7" i="33" s="1"/>
  <c r="D7" i="37" s="1"/>
  <c r="C13" i="9"/>
  <c r="C266" i="9"/>
  <c r="C109" i="33"/>
  <c r="E109" i="33" s="1"/>
  <c r="D109" i="37" s="1"/>
  <c r="C115" i="9"/>
  <c r="C86" i="9"/>
  <c r="C48" i="9"/>
  <c r="C53" i="33"/>
  <c r="E53" i="33" s="1"/>
  <c r="D53" i="37" s="1"/>
  <c r="C59" i="9"/>
  <c r="C237" i="33"/>
  <c r="E237" i="33" s="1"/>
  <c r="D237" i="37" s="1"/>
  <c r="C243" i="9"/>
  <c r="C125" i="33"/>
  <c r="E125" i="33" s="1"/>
  <c r="D125" i="37" s="1"/>
  <c r="C131" i="9"/>
  <c r="C40" i="33"/>
  <c r="E40" i="33" s="1"/>
  <c r="D40" i="37" s="1"/>
  <c r="C46" i="9"/>
  <c r="C223" i="9"/>
  <c r="C24" i="9"/>
  <c r="C250" i="9"/>
  <c r="C151" i="9"/>
  <c r="C262" i="33"/>
  <c r="E262" i="33" s="1"/>
  <c r="D262" i="37" s="1"/>
  <c r="C268" i="9"/>
  <c r="C27" i="9"/>
  <c r="C104" i="9"/>
  <c r="C257" i="33"/>
  <c r="E257" i="33" s="1"/>
  <c r="D257" i="37" s="1"/>
  <c r="C263" i="9"/>
  <c r="C65" i="9"/>
  <c r="C68" i="9"/>
  <c r="C151" i="33"/>
  <c r="E151" i="33" s="1"/>
  <c r="D151" i="37" s="1"/>
  <c r="C157" i="9"/>
  <c r="C311" i="9"/>
  <c r="C303" i="9"/>
  <c r="C252" i="33"/>
  <c r="E252" i="33" s="1"/>
  <c r="D252" i="37" s="1"/>
  <c r="C258" i="9"/>
  <c r="C118" i="33"/>
  <c r="E118" i="33" s="1"/>
  <c r="D118" i="37" s="1"/>
  <c r="C124" i="9"/>
  <c r="C219" i="9"/>
  <c r="C207" i="9"/>
  <c r="C63" i="33"/>
  <c r="E63" i="33" s="1"/>
  <c r="D63" i="37" s="1"/>
  <c r="C69" i="9"/>
  <c r="C131" i="33"/>
  <c r="E131" i="33" s="1"/>
  <c r="D131" i="37" s="1"/>
  <c r="C137" i="9"/>
  <c r="C122" i="9"/>
  <c r="C141" i="9"/>
  <c r="C181" i="33"/>
  <c r="E181" i="33" s="1"/>
  <c r="D181" i="37" s="1"/>
  <c r="C187" i="9"/>
  <c r="C34" i="9"/>
  <c r="C236" i="33"/>
  <c r="E236" i="33" s="1"/>
  <c r="D236" i="37" s="1"/>
  <c r="C242" i="9"/>
  <c r="C241" i="33"/>
  <c r="E241" i="33" s="1"/>
  <c r="C247" i="9"/>
  <c r="C149" i="33"/>
  <c r="E149" i="33" s="1"/>
  <c r="D149" i="37" s="1"/>
  <c r="C155" i="9"/>
  <c r="C110" i="33"/>
  <c r="E110" i="33" s="1"/>
  <c r="D110" i="37" s="1"/>
  <c r="C116" i="9"/>
  <c r="C193" i="33"/>
  <c r="E193" i="33" s="1"/>
  <c r="D193" i="37" s="1"/>
  <c r="C199" i="9"/>
  <c r="C68" i="33"/>
  <c r="E68" i="33" s="1"/>
  <c r="D68" i="37" s="1"/>
  <c r="C74" i="9"/>
  <c r="C114" i="9"/>
  <c r="C209" i="33"/>
  <c r="E209" i="33" s="1"/>
  <c r="D209" i="37" s="1"/>
  <c r="C215" i="9"/>
  <c r="C115" i="33"/>
  <c r="E115" i="33" s="1"/>
  <c r="D115" i="37" s="1"/>
  <c r="C121" i="9"/>
  <c r="C113" i="9"/>
  <c r="C288" i="9"/>
  <c r="C97" i="33"/>
  <c r="E97" i="33" s="1"/>
  <c r="D97" i="37" s="1"/>
  <c r="C103" i="9"/>
  <c r="C161" i="9"/>
  <c r="C20" i="9"/>
  <c r="C181" i="9"/>
  <c r="C163" i="9"/>
  <c r="C20" i="33"/>
  <c r="E20" i="33" s="1"/>
  <c r="D20" i="37" s="1"/>
  <c r="C26" i="9"/>
  <c r="C130" i="33"/>
  <c r="E130" i="33" s="1"/>
  <c r="D130" i="37" s="1"/>
  <c r="C136" i="9"/>
  <c r="C40" i="9"/>
  <c r="C307" i="9"/>
  <c r="C28" i="9"/>
  <c r="C192" i="33"/>
  <c r="E192" i="33" s="1"/>
  <c r="D192" i="37" s="1"/>
  <c r="C198" i="9"/>
  <c r="C284" i="9"/>
  <c r="C179" i="33"/>
  <c r="E179" i="33" s="1"/>
  <c r="D179" i="37" s="1"/>
  <c r="C185" i="9"/>
  <c r="C173" i="33"/>
  <c r="E173" i="33" s="1"/>
  <c r="D173" i="37" s="1"/>
  <c r="C179" i="9"/>
  <c r="C208" i="33"/>
  <c r="E208" i="33" s="1"/>
  <c r="D208" i="37" s="1"/>
  <c r="C214" i="9"/>
  <c r="C267" i="9"/>
  <c r="C218" i="9"/>
  <c r="C124" i="33"/>
  <c r="E124" i="33" s="1"/>
  <c r="D124" i="37" s="1"/>
  <c r="C130" i="9"/>
  <c r="C19" i="9"/>
  <c r="C296" i="9"/>
  <c r="C200" i="33"/>
  <c r="E200" i="33" s="1"/>
  <c r="D200" i="37" s="1"/>
  <c r="C206" i="9"/>
  <c r="C37" i="33"/>
  <c r="E37" i="33" s="1"/>
  <c r="D37" i="37" s="1"/>
  <c r="C43" i="9"/>
  <c r="C143" i="33"/>
  <c r="E143" i="33" s="1"/>
  <c r="D143" i="37" s="1"/>
  <c r="C149" i="9"/>
  <c r="C30" i="33"/>
  <c r="E30" i="33" s="1"/>
  <c r="D30" i="37" s="1"/>
  <c r="C36" i="9"/>
  <c r="C70" i="33"/>
  <c r="E70" i="33" s="1"/>
  <c r="D70" i="37" s="1"/>
  <c r="C76" i="9"/>
  <c r="C112" i="9"/>
  <c r="C10" i="33"/>
  <c r="E10" i="33" s="1"/>
  <c r="D10" i="37" s="1"/>
  <c r="C16" i="9"/>
  <c r="C82" i="9"/>
  <c r="C83" i="9"/>
  <c r="C226" i="9"/>
  <c r="C113" i="33"/>
  <c r="E113" i="33" s="1"/>
  <c r="D113" i="37" s="1"/>
  <c r="C119" i="9"/>
  <c r="C197" i="33"/>
  <c r="E197" i="33" s="1"/>
  <c r="D197" i="37" s="1"/>
  <c r="C203" i="9"/>
  <c r="C137" i="33"/>
  <c r="E137" i="33" s="1"/>
  <c r="D137" i="37" s="1"/>
  <c r="C143" i="9"/>
  <c r="C302" i="33"/>
  <c r="E302" i="33" s="1"/>
  <c r="D302" i="37" s="1"/>
  <c r="C308" i="9"/>
  <c r="C99" i="9"/>
  <c r="C17" i="9"/>
  <c r="C147" i="9"/>
  <c r="C32" i="33"/>
  <c r="E32" i="33" s="1"/>
  <c r="D32" i="37" s="1"/>
  <c r="C38" i="9"/>
  <c r="C189" i="33"/>
  <c r="E189" i="33" s="1"/>
  <c r="D189" i="37" s="1"/>
  <c r="C195" i="9"/>
  <c r="C231" i="9"/>
  <c r="C133" i="33"/>
  <c r="E133" i="33" s="1"/>
  <c r="D133" i="37" s="1"/>
  <c r="C139" i="9"/>
  <c r="C234" i="9"/>
  <c r="C29" i="9"/>
  <c r="C180" i="33"/>
  <c r="E180" i="33" s="1"/>
  <c r="D180" i="37" s="1"/>
  <c r="C186" i="9"/>
  <c r="C279" i="33"/>
  <c r="E279" i="33" s="1"/>
  <c r="D279" i="37" s="1"/>
  <c r="C285" i="9"/>
  <c r="C119" i="33"/>
  <c r="E119" i="33" s="1"/>
  <c r="D119" i="37" s="1"/>
  <c r="C125" i="9"/>
  <c r="C204" i="33"/>
  <c r="E204" i="33" s="1"/>
  <c r="D204" i="37" s="1"/>
  <c r="C210" i="9"/>
  <c r="C85" i="33"/>
  <c r="E85" i="33" s="1"/>
  <c r="D85" i="37" s="1"/>
  <c r="C91" i="9"/>
  <c r="C153" i="33"/>
  <c r="E153" i="33" s="1"/>
  <c r="D153" i="37" s="1"/>
  <c r="C159" i="9"/>
  <c r="C89" i="33"/>
  <c r="E89" i="33" s="1"/>
  <c r="D89" i="37" s="1"/>
  <c r="C95" i="9"/>
  <c r="C122" i="33"/>
  <c r="E122" i="33" s="1"/>
  <c r="D122" i="37" s="1"/>
  <c r="C128" i="9"/>
  <c r="C98" i="9"/>
  <c r="C18" i="9"/>
  <c r="C291" i="33"/>
  <c r="E291" i="33" s="1"/>
  <c r="D291" i="37" s="1"/>
  <c r="C297" i="9"/>
  <c r="C62" i="9"/>
  <c r="C104" i="33"/>
  <c r="E104" i="33" s="1"/>
  <c r="D104" i="37" s="1"/>
  <c r="C110" i="9"/>
  <c r="C51" i="33"/>
  <c r="E51" i="33" s="1"/>
  <c r="D51" i="37" s="1"/>
  <c r="C57" i="9"/>
  <c r="C100" i="9"/>
  <c r="C39" i="33"/>
  <c r="E39" i="33" s="1"/>
  <c r="D39" i="37" s="1"/>
  <c r="C45" i="9"/>
  <c r="C58" i="9"/>
  <c r="C185" i="33"/>
  <c r="E185" i="33" s="1"/>
  <c r="D185" i="37" s="1"/>
  <c r="C191" i="9"/>
  <c r="C309" i="9"/>
  <c r="C46" i="33"/>
  <c r="E46" i="33" s="1"/>
  <c r="D46" i="37" s="1"/>
  <c r="C52" i="9"/>
  <c r="C35" i="33"/>
  <c r="E35" i="33" s="1"/>
  <c r="D35" i="37" s="1"/>
  <c r="C41" i="9"/>
  <c r="C216" i="33"/>
  <c r="E216" i="33" s="1"/>
  <c r="C222" i="9"/>
  <c r="R103" i="19"/>
  <c r="C103" i="13" s="1"/>
  <c r="R139" i="19"/>
  <c r="E139" i="25" s="1"/>
  <c r="R60" i="19"/>
  <c r="E60" i="25" s="1"/>
  <c r="R196" i="19"/>
  <c r="E196" i="25" s="1"/>
  <c r="R117" i="19"/>
  <c r="E117" i="25" s="1"/>
  <c r="R69" i="19"/>
  <c r="E69" i="25" s="1"/>
  <c r="R71" i="19"/>
  <c r="E71" i="25" s="1"/>
  <c r="C77" i="33"/>
  <c r="C77" i="11" s="1"/>
  <c r="R44" i="19"/>
  <c r="R26" i="19"/>
  <c r="E26" i="25" s="1"/>
  <c r="R27" i="19"/>
  <c r="E27" i="25" s="1"/>
  <c r="R38" i="19"/>
  <c r="E38" i="25" s="1"/>
  <c r="R96" i="19"/>
  <c r="E96" i="25" s="1"/>
  <c r="R240" i="19"/>
  <c r="R286" i="19"/>
  <c r="E286" i="25" s="1"/>
  <c r="R293" i="19"/>
  <c r="E293" i="25" s="1"/>
  <c r="R127" i="19"/>
  <c r="E127" i="25" s="1"/>
  <c r="R79" i="19"/>
  <c r="E79" i="25" s="1"/>
  <c r="R47" i="19"/>
  <c r="E47" i="25" s="1"/>
  <c r="R16" i="19"/>
  <c r="E16" i="25" s="1"/>
  <c r="C161" i="33"/>
  <c r="C201" i="33"/>
  <c r="E201" i="33" s="1"/>
  <c r="R298" i="19"/>
  <c r="E298" i="25" s="1"/>
  <c r="R78" i="19"/>
  <c r="E78" i="25" s="1"/>
  <c r="R72" i="19"/>
  <c r="E72" i="25" s="1"/>
  <c r="R50" i="19"/>
  <c r="E50" i="25" s="1"/>
  <c r="R24" i="19"/>
  <c r="E24" i="25" s="1"/>
  <c r="R29" i="19"/>
  <c r="E29" i="25" s="1"/>
  <c r="R177" i="19"/>
  <c r="R64" i="19"/>
  <c r="E64" i="25" s="1"/>
  <c r="C107" i="33"/>
  <c r="C155" i="33"/>
  <c r="R65" i="19"/>
  <c r="E65" i="25" s="1"/>
  <c r="R289" i="19"/>
  <c r="E289" i="25" s="1"/>
  <c r="R233" i="19"/>
  <c r="E233" i="25" s="1"/>
  <c r="R263" i="19"/>
  <c r="E263" i="25" s="1"/>
  <c r="R101" i="19"/>
  <c r="E101" i="25" s="1"/>
  <c r="R129" i="19"/>
  <c r="E129" i="25" s="1"/>
  <c r="R48" i="19"/>
  <c r="E48" i="25" s="1"/>
  <c r="R45" i="19"/>
  <c r="E45" i="25" s="1"/>
  <c r="R221" i="19"/>
  <c r="E221" i="25" s="1"/>
  <c r="R105" i="19"/>
  <c r="E105" i="25" s="1"/>
  <c r="R126" i="19"/>
  <c r="E126" i="25" s="1"/>
  <c r="R205" i="19"/>
  <c r="E205" i="25" s="1"/>
  <c r="R167" i="19"/>
  <c r="E167" i="25" s="1"/>
  <c r="R19" i="19"/>
  <c r="E19" i="25" s="1"/>
  <c r="R8" i="19"/>
  <c r="E8" i="25" s="1"/>
  <c r="R114" i="19"/>
  <c r="E114" i="25" s="1"/>
  <c r="R99" i="19"/>
  <c r="E99" i="25" s="1"/>
  <c r="C225" i="33"/>
  <c r="C231" i="34" s="1"/>
  <c r="C52" i="33"/>
  <c r="C92" i="33"/>
  <c r="R211" i="19"/>
  <c r="E211" i="25" s="1"/>
  <c r="R187" i="19"/>
  <c r="E187" i="25" s="1"/>
  <c r="R285" i="19"/>
  <c r="E285" i="25" s="1"/>
  <c r="R84" i="19"/>
  <c r="E84" i="25" s="1"/>
  <c r="R158" i="19"/>
  <c r="E158" i="25" s="1"/>
  <c r="R184" i="19"/>
  <c r="E184" i="25" s="1"/>
  <c r="R243" i="19"/>
  <c r="E243" i="25" s="1"/>
  <c r="R67" i="19"/>
  <c r="E67" i="25" s="1"/>
  <c r="R245" i="19"/>
  <c r="E245" i="25" s="1"/>
  <c r="R248" i="19"/>
  <c r="E248" i="25" s="1"/>
  <c r="C102" i="33"/>
  <c r="C295" i="33"/>
  <c r="C229" i="33"/>
  <c r="C111" i="33"/>
  <c r="C76" i="33"/>
  <c r="C12" i="33"/>
  <c r="C56" i="33"/>
  <c r="C11" i="33"/>
  <c r="R25" i="19"/>
  <c r="E25" i="25" s="1"/>
  <c r="R87" i="19"/>
  <c r="E87" i="25" s="1"/>
  <c r="R232" i="19"/>
  <c r="E232" i="25" s="1"/>
  <c r="R215" i="19"/>
  <c r="E215" i="25" s="1"/>
  <c r="R199" i="19"/>
  <c r="E199" i="25" s="1"/>
  <c r="R83" i="19"/>
  <c r="E83" i="25" s="1"/>
  <c r="R273" i="19"/>
  <c r="E273" i="25" s="1"/>
  <c r="R75" i="19"/>
  <c r="E75" i="25" s="1"/>
  <c r="R259" i="19"/>
  <c r="E259" i="25" s="1"/>
  <c r="R223" i="19"/>
  <c r="E223" i="25" s="1"/>
  <c r="R207" i="19"/>
  <c r="E207" i="25" s="1"/>
  <c r="R191" i="19"/>
  <c r="E191" i="25" s="1"/>
  <c r="R49" i="19"/>
  <c r="E49" i="25" s="1"/>
  <c r="C145" i="33"/>
  <c r="C59" i="33"/>
  <c r="C13" i="33"/>
  <c r="C290" i="33"/>
  <c r="C108" i="33"/>
  <c r="C81" i="33"/>
  <c r="C244" i="33"/>
  <c r="R296" i="19"/>
  <c r="E296" i="25" s="1"/>
  <c r="R152" i="19"/>
  <c r="E152" i="25" s="1"/>
  <c r="R276" i="19"/>
  <c r="E276" i="25" s="1"/>
  <c r="R230" i="19"/>
  <c r="E230" i="25" s="1"/>
  <c r="R214" i="19"/>
  <c r="E214" i="25" s="1"/>
  <c r="R198" i="19"/>
  <c r="E198" i="25" s="1"/>
  <c r="R272" i="19"/>
  <c r="E272" i="25" s="1"/>
  <c r="R74" i="19"/>
  <c r="E74" i="25" s="1"/>
  <c r="R210" i="19"/>
  <c r="E210" i="25" s="1"/>
  <c r="R242" i="19"/>
  <c r="E242" i="25" s="1"/>
  <c r="R174" i="19"/>
  <c r="E174" i="25" s="1"/>
  <c r="C282" i="33"/>
  <c r="R142" i="19"/>
  <c r="E142" i="25" s="1"/>
  <c r="R275" i="19"/>
  <c r="E275" i="25" s="1"/>
  <c r="R283" i="19"/>
  <c r="E283" i="25" s="1"/>
  <c r="R168" i="19"/>
  <c r="E168" i="25" s="1"/>
  <c r="R90" i="19"/>
  <c r="E90" i="25" s="1"/>
  <c r="R146" i="19"/>
  <c r="E146" i="25" s="1"/>
  <c r="R288" i="19"/>
  <c r="E288" i="25" s="1"/>
  <c r="R238" i="19"/>
  <c r="E238" i="25" s="1"/>
  <c r="R166" i="19"/>
  <c r="E166" i="25" s="1"/>
  <c r="R292" i="19"/>
  <c r="E292" i="25" s="1"/>
  <c r="R194" i="19"/>
  <c r="E194" i="25" s="1"/>
  <c r="R304" i="19"/>
  <c r="E304" i="25" s="1"/>
  <c r="R251" i="19"/>
  <c r="E251" i="25" s="1"/>
  <c r="R235" i="19"/>
  <c r="E235" i="25" s="1"/>
  <c r="R91" i="19"/>
  <c r="E91" i="25" s="1"/>
  <c r="R128" i="19"/>
  <c r="E128" i="25" s="1"/>
  <c r="R17" i="19"/>
  <c r="E17" i="25" s="1"/>
  <c r="R176" i="19"/>
  <c r="E176" i="25" s="1"/>
  <c r="R162" i="19"/>
  <c r="E162" i="25" s="1"/>
  <c r="R226" i="19"/>
  <c r="E226" i="25" s="1"/>
  <c r="R160" i="19"/>
  <c r="E160" i="25" s="1"/>
  <c r="R234" i="19"/>
  <c r="E234" i="25" s="1"/>
  <c r="R218" i="19"/>
  <c r="E218" i="25" s="1"/>
  <c r="R186" i="19"/>
  <c r="E186" i="25" s="1"/>
  <c r="C305" i="33"/>
  <c r="C305" i="11" s="1"/>
  <c r="C256" i="33"/>
  <c r="C297" i="33"/>
  <c r="C106" i="33"/>
  <c r="C98" i="33"/>
  <c r="C14" i="33"/>
  <c r="E14" i="33" s="1"/>
  <c r="D14" i="37" s="1"/>
  <c r="C261" i="33"/>
  <c r="C135" i="33"/>
  <c r="C42" i="33"/>
  <c r="C93" i="33"/>
  <c r="C274" i="33"/>
  <c r="C28" i="33"/>
  <c r="C253" i="33"/>
  <c r="R86" i="19"/>
  <c r="E86" i="25" s="1"/>
  <c r="C23" i="33"/>
  <c r="C228" i="33"/>
  <c r="C18" i="33"/>
  <c r="C217" i="33"/>
  <c r="C80" i="33"/>
  <c r="C213" i="33"/>
  <c r="C94" i="33"/>
  <c r="R88" i="19"/>
  <c r="E88" i="25" s="1"/>
  <c r="C278" i="33"/>
  <c r="C266" i="33"/>
  <c r="C55" i="33"/>
  <c r="C220" i="33"/>
  <c r="C21" i="33"/>
  <c r="C303" i="33"/>
  <c r="C301" i="33"/>
  <c r="C212" i="33"/>
  <c r="C22" i="33"/>
  <c r="C34" i="33"/>
  <c r="C43" i="33"/>
  <c r="C116" i="33"/>
  <c r="C260" i="33"/>
  <c r="C141" i="33"/>
  <c r="C165" i="33"/>
  <c r="C171" i="34" s="1"/>
  <c r="C62" i="33"/>
  <c r="C163" i="33"/>
  <c r="C157" i="33"/>
  <c r="C175" i="33"/>
  <c r="R269" i="19"/>
  <c r="E269" i="25" s="1"/>
  <c r="R140" i="19"/>
  <c r="E140" i="25" s="1"/>
  <c r="C299" i="13"/>
  <c r="C299" i="12"/>
  <c r="C299" i="39"/>
  <c r="E299" i="39" s="1"/>
  <c r="C279" i="13"/>
  <c r="C279" i="39"/>
  <c r="E279" i="39" s="1"/>
  <c r="C279" i="12"/>
  <c r="C32" i="13"/>
  <c r="C32" i="39"/>
  <c r="E32" i="39" s="1"/>
  <c r="C32" i="12"/>
  <c r="C224" i="13"/>
  <c r="C224" i="12"/>
  <c r="C224" i="39"/>
  <c r="E224" i="39" s="1"/>
  <c r="C21" i="13"/>
  <c r="C21" i="39"/>
  <c r="E21" i="39" s="1"/>
  <c r="C21" i="12"/>
  <c r="C192" i="13"/>
  <c r="C192" i="12"/>
  <c r="C192" i="39"/>
  <c r="E192" i="39" s="1"/>
  <c r="C133" i="13"/>
  <c r="C133" i="39"/>
  <c r="E133" i="39" s="1"/>
  <c r="C133" i="12"/>
  <c r="C121" i="13"/>
  <c r="C121" i="12"/>
  <c r="C121" i="39"/>
  <c r="E121" i="39" s="1"/>
  <c r="C208" i="13"/>
  <c r="C208" i="12"/>
  <c r="C208" i="39"/>
  <c r="E208" i="39" s="1"/>
  <c r="C252" i="13"/>
  <c r="C252" i="39"/>
  <c r="E252" i="39" s="1"/>
  <c r="C252" i="12"/>
  <c r="C151" i="13"/>
  <c r="C151" i="39"/>
  <c r="E151" i="39" s="1"/>
  <c r="C151" i="12"/>
  <c r="C46" i="39"/>
  <c r="E46" i="39" s="1"/>
  <c r="C46" i="12"/>
  <c r="C46" i="13"/>
  <c r="C301" i="13"/>
  <c r="C301" i="39"/>
  <c r="E301" i="39" s="1"/>
  <c r="C301" i="12"/>
  <c r="C109" i="13"/>
  <c r="C109" i="39"/>
  <c r="E109" i="39" s="1"/>
  <c r="C109" i="12"/>
  <c r="C53" i="13"/>
  <c r="C53" i="39"/>
  <c r="E53" i="39" s="1"/>
  <c r="C53" i="12"/>
  <c r="C120" i="13"/>
  <c r="C120" i="39"/>
  <c r="E120" i="39" s="1"/>
  <c r="C120" i="12"/>
  <c r="C89" i="39"/>
  <c r="E89" i="39" s="1"/>
  <c r="C89" i="13"/>
  <c r="C89" i="12"/>
  <c r="C104" i="13"/>
  <c r="C104" i="39"/>
  <c r="E104" i="39" s="1"/>
  <c r="C104" i="12"/>
  <c r="C70" i="13"/>
  <c r="C70" i="39"/>
  <c r="E70" i="39" s="1"/>
  <c r="C70" i="12"/>
  <c r="C143" i="13"/>
  <c r="C143" i="39"/>
  <c r="E143" i="39" s="1"/>
  <c r="C143" i="12"/>
  <c r="C123" i="13"/>
  <c r="C123" i="39"/>
  <c r="E123" i="39" s="1"/>
  <c r="C123" i="12"/>
  <c r="C291" i="13"/>
  <c r="C291" i="12"/>
  <c r="C291" i="39"/>
  <c r="E291" i="39" s="1"/>
  <c r="C122" i="13"/>
  <c r="C122" i="39"/>
  <c r="E122" i="39" s="1"/>
  <c r="C122" i="12"/>
  <c r="C115" i="13"/>
  <c r="C115" i="12"/>
  <c r="C115" i="39"/>
  <c r="E115" i="39" s="1"/>
  <c r="C15" i="13"/>
  <c r="C15" i="39"/>
  <c r="E15" i="39" s="1"/>
  <c r="C15" i="12"/>
  <c r="C73" i="39"/>
  <c r="E73" i="39" s="1"/>
  <c r="C73" i="13"/>
  <c r="C73" i="12"/>
  <c r="C106" i="13"/>
  <c r="C106" i="39"/>
  <c r="E106" i="39" s="1"/>
  <c r="C106" i="12"/>
  <c r="C138" i="13"/>
  <c r="C138" i="39"/>
  <c r="E138" i="39" s="1"/>
  <c r="C138" i="12"/>
  <c r="C98" i="13"/>
  <c r="C98" i="39"/>
  <c r="E98" i="39" s="1"/>
  <c r="C98" i="12"/>
  <c r="C18" i="39"/>
  <c r="E18" i="39" s="1"/>
  <c r="C18" i="13"/>
  <c r="C18" i="12"/>
  <c r="R9" i="19"/>
  <c r="E9" i="25" s="1"/>
  <c r="R287" i="19"/>
  <c r="E287" i="25" s="1"/>
  <c r="C274" i="13"/>
  <c r="C274" i="39"/>
  <c r="E274" i="39" s="1"/>
  <c r="C274" i="12"/>
  <c r="C58" i="39"/>
  <c r="E58" i="39" s="1"/>
  <c r="C58" i="12"/>
  <c r="C58" i="13"/>
  <c r="C270" i="13"/>
  <c r="C270" i="12"/>
  <c r="C270" i="39"/>
  <c r="E270" i="39" s="1"/>
  <c r="C244" i="13"/>
  <c r="C244" i="39"/>
  <c r="E244" i="39" s="1"/>
  <c r="C244" i="12"/>
  <c r="C36" i="39"/>
  <c r="E36" i="39" s="1"/>
  <c r="C36" i="13"/>
  <c r="C36" i="12"/>
  <c r="R183" i="19"/>
  <c r="E183" i="25" s="1"/>
  <c r="R33" i="19"/>
  <c r="E33" i="25" s="1"/>
  <c r="C260" i="13"/>
  <c r="C260" i="39"/>
  <c r="E260" i="39" s="1"/>
  <c r="C260" i="12"/>
  <c r="C305" i="13"/>
  <c r="C305" i="39"/>
  <c r="E305" i="39" s="1"/>
  <c r="C305" i="12"/>
  <c r="C125" i="13"/>
  <c r="C125" i="39"/>
  <c r="E125" i="39" s="1"/>
  <c r="C125" i="12"/>
  <c r="C85" i="39"/>
  <c r="E85" i="39" s="1"/>
  <c r="C85" i="13"/>
  <c r="C85" i="12"/>
  <c r="C35" i="13"/>
  <c r="C35" i="39"/>
  <c r="E35" i="39" s="1"/>
  <c r="C35" i="12"/>
  <c r="C220" i="13"/>
  <c r="C220" i="39"/>
  <c r="E220" i="39" s="1"/>
  <c r="C220" i="12"/>
  <c r="C134" i="13"/>
  <c r="C134" i="12"/>
  <c r="C134" i="39"/>
  <c r="E134" i="39" s="1"/>
  <c r="C62" i="39"/>
  <c r="E62" i="39" s="1"/>
  <c r="C62" i="12"/>
  <c r="C62" i="13"/>
  <c r="C256" i="13"/>
  <c r="C256" i="12"/>
  <c r="C256" i="39"/>
  <c r="E256" i="39" s="1"/>
  <c r="C229" i="13"/>
  <c r="C229" i="39"/>
  <c r="E229" i="39" s="1"/>
  <c r="C229" i="12"/>
  <c r="C179" i="13"/>
  <c r="C179" i="12"/>
  <c r="C179" i="39"/>
  <c r="E179" i="39" s="1"/>
  <c r="C54" i="39"/>
  <c r="E54" i="39" s="1"/>
  <c r="C54" i="12"/>
  <c r="C54" i="13"/>
  <c r="C171" i="13"/>
  <c r="C171" i="12"/>
  <c r="C171" i="39"/>
  <c r="E171" i="39" s="1"/>
  <c r="C7" i="13"/>
  <c r="C7" i="39"/>
  <c r="E7" i="39" s="1"/>
  <c r="C7" i="12"/>
  <c r="C107" i="13"/>
  <c r="C107" i="12"/>
  <c r="C107" i="39"/>
  <c r="E107" i="39" s="1"/>
  <c r="C63" i="13"/>
  <c r="C63" i="39"/>
  <c r="E63" i="39" s="1"/>
  <c r="C63" i="12"/>
  <c r="C197" i="13"/>
  <c r="C197" i="39"/>
  <c r="E197" i="39" s="1"/>
  <c r="C197" i="12"/>
  <c r="C297" i="13"/>
  <c r="C297" i="39"/>
  <c r="E297" i="39" s="1"/>
  <c r="C297" i="12"/>
  <c r="C216" i="13"/>
  <c r="C216" i="39"/>
  <c r="E216" i="39" s="1"/>
  <c r="C216" i="12"/>
  <c r="C81" i="39"/>
  <c r="E81" i="39" s="1"/>
  <c r="C81" i="13"/>
  <c r="C81" i="12"/>
  <c r="C37" i="13"/>
  <c r="C37" i="39"/>
  <c r="E37" i="39" s="1"/>
  <c r="C37" i="12"/>
  <c r="C217" i="39"/>
  <c r="E217" i="39" s="1"/>
  <c r="C217" i="13"/>
  <c r="C217" i="12"/>
  <c r="C181" i="39"/>
  <c r="E181" i="39" s="1"/>
  <c r="C181" i="13"/>
  <c r="C181" i="12"/>
  <c r="C110" i="13"/>
  <c r="C110" i="12"/>
  <c r="C110" i="39"/>
  <c r="E110" i="39" s="1"/>
  <c r="C43" i="13"/>
  <c r="C43" i="12"/>
  <c r="C43" i="39"/>
  <c r="E43" i="39" s="1"/>
  <c r="C257" i="13"/>
  <c r="C257" i="39"/>
  <c r="E257" i="39" s="1"/>
  <c r="C257" i="12"/>
  <c r="C124" i="13"/>
  <c r="C124" i="39"/>
  <c r="E124" i="39" s="1"/>
  <c r="C124" i="12"/>
  <c r="C10" i="39"/>
  <c r="E10" i="39" s="1"/>
  <c r="C10" i="13"/>
  <c r="C10" i="12"/>
  <c r="C290" i="13"/>
  <c r="C290" i="39"/>
  <c r="E290" i="39" s="1"/>
  <c r="C290" i="12"/>
  <c r="C141" i="13"/>
  <c r="C141" i="39"/>
  <c r="E141" i="39" s="1"/>
  <c r="C141" i="12"/>
  <c r="C131" i="13"/>
  <c r="C131" i="39"/>
  <c r="E131" i="39" s="1"/>
  <c r="C131" i="12"/>
  <c r="R112" i="19"/>
  <c r="E112" i="25" s="1"/>
  <c r="R247" i="19"/>
  <c r="E247" i="25" s="1"/>
  <c r="R246" i="19"/>
  <c r="E246" i="25" s="1"/>
  <c r="R132" i="19"/>
  <c r="E132" i="25" s="1"/>
  <c r="C200" i="13"/>
  <c r="C200" i="39"/>
  <c r="E200" i="39" s="1"/>
  <c r="C200" i="12"/>
  <c r="C94" i="13"/>
  <c r="C94" i="39"/>
  <c r="E94" i="39" s="1"/>
  <c r="C94" i="12"/>
  <c r="C42" i="39"/>
  <c r="E42" i="39" s="1"/>
  <c r="C42" i="13"/>
  <c r="C42" i="12"/>
  <c r="C213" i="39"/>
  <c r="E213" i="39" s="1"/>
  <c r="C213" i="13"/>
  <c r="C213" i="12"/>
  <c r="C236" i="13"/>
  <c r="C236" i="39"/>
  <c r="E236" i="39" s="1"/>
  <c r="C236" i="12"/>
  <c r="C261" i="13"/>
  <c r="C261" i="39"/>
  <c r="E261" i="39" s="1"/>
  <c r="C261" i="12"/>
  <c r="C180" i="13"/>
  <c r="C180" i="39"/>
  <c r="E180" i="39" s="1"/>
  <c r="C180" i="12"/>
  <c r="R264" i="19"/>
  <c r="E264" i="25" s="1"/>
  <c r="R227" i="19"/>
  <c r="E227" i="25" s="1"/>
  <c r="R195" i="19"/>
  <c r="E195" i="25" s="1"/>
  <c r="R136" i="19"/>
  <c r="E136" i="25" s="1"/>
  <c r="C39" i="13"/>
  <c r="C39" i="39"/>
  <c r="E39" i="39" s="1"/>
  <c r="C39" i="12"/>
  <c r="C204" i="13"/>
  <c r="C204" i="39"/>
  <c r="E204" i="39" s="1"/>
  <c r="C204" i="12"/>
  <c r="C169" i="39"/>
  <c r="E169" i="39" s="1"/>
  <c r="C169" i="12"/>
  <c r="C169" i="13"/>
  <c r="C28" i="39"/>
  <c r="E28" i="39" s="1"/>
  <c r="C28" i="13"/>
  <c r="C28" i="12"/>
  <c r="C118" i="13"/>
  <c r="C118" i="12"/>
  <c r="C118" i="39"/>
  <c r="E118" i="39" s="1"/>
  <c r="C282" i="13"/>
  <c r="C282" i="39"/>
  <c r="E282" i="39" s="1"/>
  <c r="C282" i="12"/>
  <c r="C97" i="39"/>
  <c r="E97" i="39" s="1"/>
  <c r="C97" i="13"/>
  <c r="C97" i="12"/>
  <c r="C80" i="13"/>
  <c r="C80" i="39"/>
  <c r="E80" i="39" s="1"/>
  <c r="C80" i="12"/>
  <c r="C201" i="39"/>
  <c r="E201" i="39" s="1"/>
  <c r="C201" i="12"/>
  <c r="C201" i="13"/>
  <c r="C188" i="13"/>
  <c r="C188" i="39"/>
  <c r="E188" i="39" s="1"/>
  <c r="C188" i="12"/>
  <c r="C137" i="13"/>
  <c r="C137" i="12"/>
  <c r="C137" i="39"/>
  <c r="E137" i="39" s="1"/>
  <c r="C51" i="13"/>
  <c r="C51" i="12"/>
  <c r="C51" i="39"/>
  <c r="E51" i="39" s="1"/>
  <c r="C228" i="13"/>
  <c r="C228" i="39"/>
  <c r="E228" i="39" s="1"/>
  <c r="C228" i="12"/>
  <c r="C262" i="13"/>
  <c r="C262" i="12"/>
  <c r="C262" i="39"/>
  <c r="E262" i="39" s="1"/>
  <c r="C153" i="13"/>
  <c r="C153" i="12"/>
  <c r="C153" i="39"/>
  <c r="E153" i="39" s="1"/>
  <c r="C113" i="13"/>
  <c r="C113" i="39"/>
  <c r="E113" i="39" s="1"/>
  <c r="C113" i="12"/>
  <c r="C135" i="13"/>
  <c r="C135" i="39"/>
  <c r="E135" i="39" s="1"/>
  <c r="C135" i="12"/>
  <c r="C149" i="13"/>
  <c r="C149" i="39"/>
  <c r="E149" i="39" s="1"/>
  <c r="C149" i="12"/>
  <c r="C93" i="39"/>
  <c r="E93" i="39" s="1"/>
  <c r="C93" i="13"/>
  <c r="C93" i="12"/>
  <c r="C30" i="39"/>
  <c r="E30" i="39" s="1"/>
  <c r="C30" i="12"/>
  <c r="C30" i="13"/>
  <c r="C253" i="13"/>
  <c r="C253" i="39"/>
  <c r="E253" i="39" s="1"/>
  <c r="C253" i="12"/>
  <c r="C302" i="13"/>
  <c r="C302" i="12"/>
  <c r="C302" i="39"/>
  <c r="E302" i="39" s="1"/>
  <c r="C40" i="13"/>
  <c r="C40" i="39"/>
  <c r="E40" i="39" s="1"/>
  <c r="C40" i="12"/>
  <c r="C159" i="13"/>
  <c r="C159" i="39"/>
  <c r="E159" i="39" s="1"/>
  <c r="C159" i="12"/>
  <c r="C55" i="13"/>
  <c r="C55" i="39"/>
  <c r="E55" i="39" s="1"/>
  <c r="C55" i="12"/>
  <c r="C249" i="13"/>
  <c r="C249" i="39"/>
  <c r="E249" i="39" s="1"/>
  <c r="C249" i="12"/>
  <c r="C155" i="13"/>
  <c r="C155" i="12"/>
  <c r="C155" i="39"/>
  <c r="E155" i="39" s="1"/>
  <c r="C77" i="39"/>
  <c r="E77" i="39" s="1"/>
  <c r="C77" i="13"/>
  <c r="C77" i="12"/>
  <c r="C145" i="13"/>
  <c r="C145" i="12"/>
  <c r="C145" i="39"/>
  <c r="E145" i="39" s="1"/>
  <c r="C12" i="13"/>
  <c r="C12" i="39"/>
  <c r="E12" i="39" s="1"/>
  <c r="C12" i="12"/>
  <c r="C266" i="13"/>
  <c r="C266" i="39"/>
  <c r="E266" i="39" s="1"/>
  <c r="C266" i="12"/>
  <c r="C31" i="13"/>
  <c r="C31" i="39"/>
  <c r="E31" i="39" s="1"/>
  <c r="C31" i="12"/>
  <c r="C278" i="13"/>
  <c r="C278" i="12"/>
  <c r="C278" i="39"/>
  <c r="E278" i="39" s="1"/>
  <c r="C52" i="39"/>
  <c r="E52" i="39" s="1"/>
  <c r="C52" i="13"/>
  <c r="C52" i="12"/>
  <c r="C111" i="13"/>
  <c r="C111" i="39"/>
  <c r="E111" i="39" s="1"/>
  <c r="C111" i="12"/>
  <c r="R82" i="19"/>
  <c r="E82" i="25" s="1"/>
  <c r="R219" i="19"/>
  <c r="E219" i="25" s="1"/>
  <c r="R57" i="19"/>
  <c r="E57" i="25" s="1"/>
  <c r="R280" i="19"/>
  <c r="E280" i="25" s="1"/>
  <c r="R156" i="19"/>
  <c r="E156" i="25" s="1"/>
  <c r="C23" i="13"/>
  <c r="C23" i="39"/>
  <c r="E23" i="39" s="1"/>
  <c r="C23" i="12"/>
  <c r="C185" i="39"/>
  <c r="E185" i="39" s="1"/>
  <c r="C185" i="12"/>
  <c r="C185" i="13"/>
  <c r="C61" i="13"/>
  <c r="C61" i="39"/>
  <c r="E61" i="39" s="1"/>
  <c r="C61" i="12"/>
  <c r="C68" i="39"/>
  <c r="E68" i="39" s="1"/>
  <c r="C68" i="13"/>
  <c r="C68" i="12"/>
  <c r="R267" i="19"/>
  <c r="E267" i="25" s="1"/>
  <c r="C119" i="13"/>
  <c r="C119" i="39"/>
  <c r="E119" i="39" s="1"/>
  <c r="C119" i="12"/>
  <c r="C13" i="13"/>
  <c r="C13" i="39"/>
  <c r="E13" i="39" s="1"/>
  <c r="C13" i="12"/>
  <c r="R255" i="19"/>
  <c r="E255" i="25" s="1"/>
  <c r="R239" i="19"/>
  <c r="E239" i="25" s="1"/>
  <c r="R41" i="19"/>
  <c r="E41" i="25" s="1"/>
  <c r="C36" i="33"/>
  <c r="C212" i="13"/>
  <c r="C212" i="39"/>
  <c r="E212" i="39" s="1"/>
  <c r="C212" i="12"/>
  <c r="C173" i="13"/>
  <c r="C173" i="39"/>
  <c r="E173" i="39" s="1"/>
  <c r="C173" i="12"/>
  <c r="C303" i="13"/>
  <c r="C303" i="39"/>
  <c r="E303" i="39" s="1"/>
  <c r="C303" i="12"/>
  <c r="C165" i="13"/>
  <c r="C165" i="39"/>
  <c r="E165" i="39" s="1"/>
  <c r="C165" i="12"/>
  <c r="C34" i="39"/>
  <c r="E34" i="39" s="1"/>
  <c r="C34" i="12"/>
  <c r="C34" i="13"/>
  <c r="C189" i="13"/>
  <c r="C189" i="39"/>
  <c r="E189" i="39" s="1"/>
  <c r="C189" i="12"/>
  <c r="C295" i="13"/>
  <c r="C295" i="39"/>
  <c r="E295" i="39" s="1"/>
  <c r="C295" i="12"/>
  <c r="C241" i="13"/>
  <c r="C241" i="39"/>
  <c r="E241" i="39" s="1"/>
  <c r="C241" i="12"/>
  <c r="C157" i="13"/>
  <c r="C157" i="39"/>
  <c r="E157" i="39" s="1"/>
  <c r="C157" i="12"/>
  <c r="C100" i="39"/>
  <c r="E100" i="39" s="1"/>
  <c r="C100" i="13"/>
  <c r="C100" i="12"/>
  <c r="C108" i="13"/>
  <c r="C108" i="39"/>
  <c r="E108" i="39" s="1"/>
  <c r="C108" i="12"/>
  <c r="C116" i="13"/>
  <c r="C116" i="39"/>
  <c r="E116" i="39" s="1"/>
  <c r="C116" i="12"/>
  <c r="C237" i="13"/>
  <c r="C237" i="39"/>
  <c r="E237" i="39" s="1"/>
  <c r="C237" i="12"/>
  <c r="C76" i="39"/>
  <c r="E76" i="39" s="1"/>
  <c r="C76" i="13"/>
  <c r="C76" i="12"/>
  <c r="C225" i="39"/>
  <c r="E225" i="39" s="1"/>
  <c r="C225" i="13"/>
  <c r="C225" i="12"/>
  <c r="C175" i="13"/>
  <c r="C175" i="39"/>
  <c r="E175" i="39" s="1"/>
  <c r="C175" i="12"/>
  <c r="C95" i="13"/>
  <c r="C95" i="39"/>
  <c r="E95" i="39" s="1"/>
  <c r="C95" i="12"/>
  <c r="C92" i="39"/>
  <c r="E92" i="39" s="1"/>
  <c r="C92" i="13"/>
  <c r="C92" i="12"/>
  <c r="C163" i="13"/>
  <c r="C163" i="12"/>
  <c r="C163" i="39"/>
  <c r="E163" i="39" s="1"/>
  <c r="C102" i="13"/>
  <c r="C102" i="39"/>
  <c r="E102" i="39" s="1"/>
  <c r="C102" i="12"/>
  <c r="C22" i="39"/>
  <c r="E22" i="39" s="1"/>
  <c r="C22" i="12"/>
  <c r="C22" i="13"/>
  <c r="C130" i="13"/>
  <c r="C130" i="39"/>
  <c r="E130" i="39" s="1"/>
  <c r="C130" i="12"/>
  <c r="C271" i="13"/>
  <c r="C271" i="39"/>
  <c r="E271" i="39" s="1"/>
  <c r="C271" i="12"/>
  <c r="C14" i="39"/>
  <c r="E14" i="39" s="1"/>
  <c r="C14" i="13"/>
  <c r="C14" i="12"/>
  <c r="C193" i="39"/>
  <c r="E193" i="39" s="1"/>
  <c r="C193" i="13"/>
  <c r="C193" i="12"/>
  <c r="C161" i="39"/>
  <c r="E161" i="39" s="1"/>
  <c r="C161" i="13"/>
  <c r="C161" i="12"/>
  <c r="C11" i="13"/>
  <c r="C11" i="39"/>
  <c r="E11" i="39" s="1"/>
  <c r="C11" i="12"/>
  <c r="C294" i="13"/>
  <c r="C294" i="39"/>
  <c r="E294" i="39" s="1"/>
  <c r="C294" i="12"/>
  <c r="C147" i="13"/>
  <c r="C147" i="12"/>
  <c r="C147" i="39"/>
  <c r="E147" i="39" s="1"/>
  <c r="C56" i="13"/>
  <c r="C56" i="39"/>
  <c r="E56" i="39" s="1"/>
  <c r="C56" i="12"/>
  <c r="C209" i="39"/>
  <c r="E209" i="39" s="1"/>
  <c r="C209" i="12"/>
  <c r="C209" i="13"/>
  <c r="C20" i="13"/>
  <c r="C20" i="39"/>
  <c r="E20" i="39" s="1"/>
  <c r="C20" i="12"/>
  <c r="C59" i="13"/>
  <c r="C59" i="12"/>
  <c r="C59" i="39"/>
  <c r="E59" i="39" s="1"/>
  <c r="C95" i="11"/>
  <c r="C7" i="11"/>
  <c r="C241" i="11"/>
  <c r="C51" i="11"/>
  <c r="C271" i="11"/>
  <c r="C224" i="11"/>
  <c r="C300" i="34"/>
  <c r="C38" i="34"/>
  <c r="D201" i="37"/>
  <c r="D241" i="37"/>
  <c r="D271" i="37"/>
  <c r="C277" i="34"/>
  <c r="C177" i="34"/>
  <c r="C230" i="34"/>
  <c r="C179" i="34"/>
  <c r="D120" i="37"/>
  <c r="C126" i="34"/>
  <c r="C76" i="34"/>
  <c r="C215" i="34"/>
  <c r="C129" i="34"/>
  <c r="C37" i="34"/>
  <c r="D216" i="37"/>
  <c r="C194" i="34" l="1"/>
  <c r="C124" i="34"/>
  <c r="C188" i="11"/>
  <c r="C171" i="11"/>
  <c r="C181" i="11"/>
  <c r="C137" i="11"/>
  <c r="C139" i="12"/>
  <c r="C139" i="39"/>
  <c r="E139" i="39" s="1"/>
  <c r="C291" i="11"/>
  <c r="C297" i="34"/>
  <c r="C57" i="34"/>
  <c r="C74" i="34"/>
  <c r="C187" i="34"/>
  <c r="C95" i="34"/>
  <c r="C143" i="11"/>
  <c r="C247" i="34"/>
  <c r="C193" i="11"/>
  <c r="C285" i="34"/>
  <c r="C130" i="11"/>
  <c r="C177" i="13"/>
  <c r="E177" i="25"/>
  <c r="G155" i="12"/>
  <c r="F155" i="39" s="1"/>
  <c r="C44" i="12"/>
  <c r="E44" i="25"/>
  <c r="C103" i="39"/>
  <c r="E103" i="39" s="1"/>
  <c r="E103" i="25"/>
  <c r="C240" i="33"/>
  <c r="E240" i="33" s="1"/>
  <c r="D240" i="37" s="1"/>
  <c r="E240" i="25"/>
  <c r="C103" i="34"/>
  <c r="C128" i="34"/>
  <c r="C143" i="34"/>
  <c r="C258" i="34"/>
  <c r="C206" i="34"/>
  <c r="C59" i="34"/>
  <c r="C149" i="11"/>
  <c r="C155" i="34"/>
  <c r="C200" i="11"/>
  <c r="C109" i="11"/>
  <c r="C97" i="11"/>
  <c r="C122" i="11"/>
  <c r="C53" i="11"/>
  <c r="C10" i="11"/>
  <c r="C35" i="11"/>
  <c r="C21" i="34"/>
  <c r="C15" i="11"/>
  <c r="C124" i="11"/>
  <c r="C130" i="34"/>
  <c r="C252" i="11"/>
  <c r="C127" i="34"/>
  <c r="C68" i="11"/>
  <c r="C294" i="11"/>
  <c r="C58" i="11"/>
  <c r="C192" i="11"/>
  <c r="C165" i="34"/>
  <c r="C195" i="34"/>
  <c r="C85" i="11"/>
  <c r="C173" i="11"/>
  <c r="C198" i="34"/>
  <c r="C120" i="11"/>
  <c r="C123" i="11"/>
  <c r="C189" i="11"/>
  <c r="C91" i="34"/>
  <c r="C64" i="34"/>
  <c r="C159" i="11"/>
  <c r="C131" i="34"/>
  <c r="C67" i="34"/>
  <c r="C149" i="34"/>
  <c r="C16" i="34"/>
  <c r="C191" i="34"/>
  <c r="C305" i="34"/>
  <c r="C125" i="34"/>
  <c r="C36" i="34"/>
  <c r="C279" i="11"/>
  <c r="C199" i="34"/>
  <c r="C52" i="34"/>
  <c r="C175" i="34"/>
  <c r="C299" i="11"/>
  <c r="C137" i="34"/>
  <c r="C136" i="34"/>
  <c r="C147" i="11"/>
  <c r="C209" i="11"/>
  <c r="C61" i="11"/>
  <c r="C89" i="11"/>
  <c r="C119" i="11"/>
  <c r="C30" i="11"/>
  <c r="C169" i="11"/>
  <c r="C125" i="11"/>
  <c r="C131" i="11"/>
  <c r="C153" i="34"/>
  <c r="C140" i="34"/>
  <c r="C41" i="34"/>
  <c r="C46" i="34"/>
  <c r="C121" i="34"/>
  <c r="C203" i="34"/>
  <c r="C115" i="34"/>
  <c r="C54" i="11"/>
  <c r="C40" i="11"/>
  <c r="C197" i="11"/>
  <c r="C185" i="11"/>
  <c r="C115" i="11"/>
  <c r="C46" i="11"/>
  <c r="C121" i="11"/>
  <c r="C134" i="11"/>
  <c r="C257" i="11"/>
  <c r="J235" i="49"/>
  <c r="AK235" i="42"/>
  <c r="AM235" i="42"/>
  <c r="J211" i="49"/>
  <c r="AK211" i="42"/>
  <c r="AM211" i="42"/>
  <c r="J49" i="49"/>
  <c r="AK49" i="42"/>
  <c r="AM49" i="42"/>
  <c r="J16" i="49"/>
  <c r="AK16" i="42"/>
  <c r="AM16" i="42"/>
  <c r="J195" i="49"/>
  <c r="AK195" i="42"/>
  <c r="AM195" i="42"/>
  <c r="J132" i="49"/>
  <c r="AK132" i="42"/>
  <c r="AM132" i="42"/>
  <c r="J226" i="49"/>
  <c r="AK226" i="42"/>
  <c r="AM226" i="42"/>
  <c r="AK304" i="42"/>
  <c r="J304" i="49"/>
  <c r="AM304" i="42"/>
  <c r="AK168" i="42"/>
  <c r="J168" i="49"/>
  <c r="AM168" i="42"/>
  <c r="J74" i="49"/>
  <c r="AK74" i="42"/>
  <c r="AM74" i="42"/>
  <c r="J191" i="49"/>
  <c r="AK191" i="42"/>
  <c r="AM191" i="42"/>
  <c r="J215" i="49"/>
  <c r="AK215" i="42"/>
  <c r="AM215" i="42"/>
  <c r="AK184" i="42"/>
  <c r="J184" i="49"/>
  <c r="AM184" i="42"/>
  <c r="J126" i="49"/>
  <c r="AK126" i="42"/>
  <c r="AM126" i="42"/>
  <c r="J233" i="49"/>
  <c r="AK233" i="42"/>
  <c r="AM233" i="42"/>
  <c r="J24" i="49"/>
  <c r="AK24" i="42"/>
  <c r="AM24" i="42"/>
  <c r="J47" i="49"/>
  <c r="AK47" i="42"/>
  <c r="AM47" i="42"/>
  <c r="J27" i="49"/>
  <c r="AK27" i="42"/>
  <c r="AM27" i="42"/>
  <c r="J60" i="49"/>
  <c r="AK60" i="42"/>
  <c r="AM60" i="42"/>
  <c r="J9" i="49"/>
  <c r="AK9" i="42"/>
  <c r="AM9" i="42"/>
  <c r="J152" i="49"/>
  <c r="AK152" i="42"/>
  <c r="AM152" i="42"/>
  <c r="J67" i="49"/>
  <c r="AK67" i="42"/>
  <c r="AM67" i="42"/>
  <c r="J96" i="49"/>
  <c r="AK96" i="42"/>
  <c r="AM96" i="42"/>
  <c r="J160" i="49"/>
  <c r="AK160" i="42"/>
  <c r="AM160" i="42"/>
  <c r="AK296" i="42"/>
  <c r="J296" i="49"/>
  <c r="AM296" i="42"/>
  <c r="J196" i="49"/>
  <c r="AK196" i="42"/>
  <c r="AM196" i="42"/>
  <c r="C119" i="34"/>
  <c r="J156" i="49"/>
  <c r="AK156" i="42"/>
  <c r="AM156" i="42"/>
  <c r="J227" i="49"/>
  <c r="AK227" i="42"/>
  <c r="AM227" i="42"/>
  <c r="J246" i="49"/>
  <c r="AK246" i="42"/>
  <c r="AM246" i="42"/>
  <c r="J140" i="49"/>
  <c r="AK140" i="42"/>
  <c r="AM140" i="42"/>
  <c r="J162" i="49"/>
  <c r="AK162" i="42"/>
  <c r="AM162" i="42"/>
  <c r="J194" i="49"/>
  <c r="AK194" i="42"/>
  <c r="AM194" i="42"/>
  <c r="J283" i="49"/>
  <c r="AK283" i="42"/>
  <c r="AM283" i="42"/>
  <c r="J272" i="49"/>
  <c r="AK272" i="42"/>
  <c r="AM272" i="42"/>
  <c r="J207" i="49"/>
  <c r="AK207" i="42"/>
  <c r="AM207" i="42"/>
  <c r="AK232" i="42"/>
  <c r="J232" i="49"/>
  <c r="AM232" i="42"/>
  <c r="J105" i="49"/>
  <c r="AK105" i="42"/>
  <c r="AM105" i="42"/>
  <c r="J289" i="49"/>
  <c r="AK289" i="42"/>
  <c r="AM289" i="42"/>
  <c r="J50" i="49"/>
  <c r="AK50" i="42"/>
  <c r="AM50" i="42"/>
  <c r="J79" i="49"/>
  <c r="AK79" i="42"/>
  <c r="AM79" i="42"/>
  <c r="J26" i="49"/>
  <c r="AK26" i="42"/>
  <c r="AM26" i="42"/>
  <c r="J139" i="49"/>
  <c r="AK139" i="42"/>
  <c r="AM139" i="42"/>
  <c r="J234" i="49"/>
  <c r="AK234" i="42"/>
  <c r="AM234" i="42"/>
  <c r="J101" i="49"/>
  <c r="AK101" i="42"/>
  <c r="AM101" i="42"/>
  <c r="J117" i="49"/>
  <c r="AK117" i="42"/>
  <c r="AM117" i="42"/>
  <c r="J251" i="49"/>
  <c r="AK251" i="42"/>
  <c r="AM251" i="42"/>
  <c r="J199" i="49"/>
  <c r="AK199" i="42"/>
  <c r="AM199" i="42"/>
  <c r="J263" i="49"/>
  <c r="AK263" i="42"/>
  <c r="AM263" i="42"/>
  <c r="J280" i="49"/>
  <c r="AK280" i="42"/>
  <c r="AM280" i="42"/>
  <c r="J264" i="49"/>
  <c r="AK264" i="42"/>
  <c r="AM264" i="42"/>
  <c r="J247" i="49"/>
  <c r="AK247" i="42"/>
  <c r="AM247" i="42"/>
  <c r="J269" i="49"/>
  <c r="AK269" i="42"/>
  <c r="AM269" i="42"/>
  <c r="AK176" i="42"/>
  <c r="J176" i="49"/>
  <c r="AM176" i="42"/>
  <c r="J292" i="49"/>
  <c r="AK292" i="42"/>
  <c r="AM292" i="42"/>
  <c r="J275" i="49"/>
  <c r="AK275" i="42"/>
  <c r="AM275" i="42"/>
  <c r="J198" i="49"/>
  <c r="AK198" i="42"/>
  <c r="AM198" i="42"/>
  <c r="J223" i="49"/>
  <c r="AK223" i="42"/>
  <c r="AM223" i="42"/>
  <c r="J87" i="49"/>
  <c r="AK87" i="42"/>
  <c r="AM87" i="42"/>
  <c r="J158" i="49"/>
  <c r="AK158" i="42"/>
  <c r="AM158" i="42"/>
  <c r="J99" i="49"/>
  <c r="AK99" i="42"/>
  <c r="AM99" i="42"/>
  <c r="J221" i="49"/>
  <c r="AK221" i="42"/>
  <c r="AM221" i="42"/>
  <c r="J65" i="49"/>
  <c r="AK65" i="42"/>
  <c r="AM65" i="42"/>
  <c r="J72" i="49"/>
  <c r="AK72" i="42"/>
  <c r="AM72" i="42"/>
  <c r="J127" i="49"/>
  <c r="AK127" i="42"/>
  <c r="AM127" i="42"/>
  <c r="J44" i="49"/>
  <c r="AK44" i="42"/>
  <c r="AM44" i="42"/>
  <c r="J103" i="49"/>
  <c r="AK103" i="42"/>
  <c r="AM103" i="42"/>
  <c r="J86" i="49"/>
  <c r="AK86" i="42"/>
  <c r="AM86" i="42"/>
  <c r="J136" i="49"/>
  <c r="AK136" i="42"/>
  <c r="AM136" i="42"/>
  <c r="J205" i="49"/>
  <c r="AK205" i="42"/>
  <c r="AM205" i="42"/>
  <c r="J41" i="49"/>
  <c r="AK41" i="42"/>
  <c r="AM41" i="42"/>
  <c r="J57" i="49"/>
  <c r="AK57" i="42"/>
  <c r="AM57" i="42"/>
  <c r="AK112" i="42"/>
  <c r="J112" i="49"/>
  <c r="AM112" i="42"/>
  <c r="J33" i="49"/>
  <c r="AK33" i="42"/>
  <c r="AM33" i="42"/>
  <c r="J17" i="49"/>
  <c r="AK17" i="42"/>
  <c r="AM17" i="42"/>
  <c r="J166" i="49"/>
  <c r="AK166" i="42"/>
  <c r="AM166" i="42"/>
  <c r="J142" i="49"/>
  <c r="AK142" i="42"/>
  <c r="AM142" i="42"/>
  <c r="J214" i="49"/>
  <c r="AK214" i="42"/>
  <c r="AM214" i="42"/>
  <c r="J259" i="49"/>
  <c r="AK259" i="42"/>
  <c r="AM259" i="42"/>
  <c r="J25" i="49"/>
  <c r="AK25" i="42"/>
  <c r="AM25" i="42"/>
  <c r="J84" i="49"/>
  <c r="AK84" i="42"/>
  <c r="AM84" i="42"/>
  <c r="J114" i="49"/>
  <c r="AK114" i="42"/>
  <c r="AM114" i="42"/>
  <c r="J45" i="49"/>
  <c r="AK45" i="42"/>
  <c r="AM45" i="42"/>
  <c r="J78" i="49"/>
  <c r="AK78" i="42"/>
  <c r="AM78" i="42"/>
  <c r="J293" i="49"/>
  <c r="AK293" i="42"/>
  <c r="AM293" i="42"/>
  <c r="J88" i="49"/>
  <c r="AK88" i="42"/>
  <c r="AM88" i="42"/>
  <c r="J242" i="49"/>
  <c r="AK242" i="42"/>
  <c r="AM242" i="42"/>
  <c r="J167" i="49"/>
  <c r="AK167" i="42"/>
  <c r="AM167" i="42"/>
  <c r="C302" i="11"/>
  <c r="J210" i="49"/>
  <c r="AK210" i="42"/>
  <c r="AM210" i="42"/>
  <c r="J243" i="49"/>
  <c r="AK243" i="42"/>
  <c r="AM243" i="42"/>
  <c r="J38" i="49"/>
  <c r="AK38" i="42"/>
  <c r="AM38" i="42"/>
  <c r="C116" i="34"/>
  <c r="C159" i="34"/>
  <c r="J239" i="49"/>
  <c r="AK239" i="42"/>
  <c r="AM239" i="42"/>
  <c r="J267" i="49"/>
  <c r="AK267" i="42"/>
  <c r="AM267" i="42"/>
  <c r="J219" i="49"/>
  <c r="AK219" i="42"/>
  <c r="AM219" i="42"/>
  <c r="J183" i="49"/>
  <c r="AK183" i="42"/>
  <c r="AM183" i="42"/>
  <c r="J186" i="49"/>
  <c r="AK186" i="42"/>
  <c r="AM186" i="42"/>
  <c r="J128" i="49"/>
  <c r="AK128" i="42"/>
  <c r="AM128" i="42"/>
  <c r="J238" i="49"/>
  <c r="AK238" i="42"/>
  <c r="AM238" i="42"/>
  <c r="J230" i="49"/>
  <c r="AK230" i="42"/>
  <c r="AM230" i="42"/>
  <c r="J75" i="49"/>
  <c r="AK75" i="42"/>
  <c r="AM75" i="42"/>
  <c r="AK248" i="42"/>
  <c r="J248" i="49"/>
  <c r="AM248" i="42"/>
  <c r="J285" i="49"/>
  <c r="AK285" i="42"/>
  <c r="AM285" i="42"/>
  <c r="J8" i="49"/>
  <c r="AK8" i="42"/>
  <c r="AM8" i="42"/>
  <c r="AK48" i="42"/>
  <c r="J48" i="49"/>
  <c r="AM48" i="42"/>
  <c r="J298" i="49"/>
  <c r="AK298" i="42"/>
  <c r="AM298" i="42"/>
  <c r="J286" i="49"/>
  <c r="AK286" i="42"/>
  <c r="AM286" i="42"/>
  <c r="J71" i="49"/>
  <c r="AK71" i="42"/>
  <c r="AM71" i="42"/>
  <c r="J146" i="49"/>
  <c r="AK146" i="42"/>
  <c r="AM146" i="42"/>
  <c r="J83" i="49"/>
  <c r="AK83" i="42"/>
  <c r="AM83" i="42"/>
  <c r="J177" i="49"/>
  <c r="AK177" i="42"/>
  <c r="AM177" i="42"/>
  <c r="J90" i="49"/>
  <c r="AK90" i="42"/>
  <c r="AM90" i="42"/>
  <c r="J29" i="49"/>
  <c r="AK29" i="42"/>
  <c r="AM29" i="42"/>
  <c r="J255" i="49"/>
  <c r="AK255" i="42"/>
  <c r="AM255" i="42"/>
  <c r="J82" i="49"/>
  <c r="AK82" i="42"/>
  <c r="AM82" i="42"/>
  <c r="J287" i="49"/>
  <c r="AK287" i="42"/>
  <c r="AM287" i="42"/>
  <c r="J218" i="49"/>
  <c r="AK218" i="42"/>
  <c r="AM218" i="42"/>
  <c r="J91" i="49"/>
  <c r="AK91" i="42"/>
  <c r="AM91" i="42"/>
  <c r="J288" i="49"/>
  <c r="AK288" i="42"/>
  <c r="AM288" i="42"/>
  <c r="J174" i="49"/>
  <c r="AK174" i="42"/>
  <c r="AM174" i="42"/>
  <c r="J276" i="49"/>
  <c r="AK276" i="42"/>
  <c r="AM276" i="42"/>
  <c r="J273" i="49"/>
  <c r="AK273" i="42"/>
  <c r="AM273" i="42"/>
  <c r="J245" i="49"/>
  <c r="AK245" i="42"/>
  <c r="AM245" i="42"/>
  <c r="J187" i="49"/>
  <c r="AK187" i="42"/>
  <c r="AM187" i="42"/>
  <c r="J19" i="49"/>
  <c r="AK19" i="42"/>
  <c r="AM19" i="42"/>
  <c r="J129" i="49"/>
  <c r="AK129" i="42"/>
  <c r="AM129" i="42"/>
  <c r="J64" i="49"/>
  <c r="AK64" i="42"/>
  <c r="AM64" i="42"/>
  <c r="AK240" i="42"/>
  <c r="J240" i="49"/>
  <c r="AM240" i="42"/>
  <c r="J69" i="49"/>
  <c r="AK69" i="42"/>
  <c r="AM69" i="42"/>
  <c r="AE99" i="42"/>
  <c r="AC99" i="42"/>
  <c r="C222" i="34"/>
  <c r="C185" i="34"/>
  <c r="C101" i="34"/>
  <c r="C32" i="11"/>
  <c r="C39" i="11"/>
  <c r="AE82" i="42"/>
  <c r="AC82" i="42"/>
  <c r="AE269" i="42"/>
  <c r="AC269" i="42"/>
  <c r="AE226" i="42"/>
  <c r="AC226" i="42"/>
  <c r="AC128" i="42"/>
  <c r="AE128" i="42"/>
  <c r="AE283" i="42"/>
  <c r="AC283" i="42"/>
  <c r="AE198" i="42"/>
  <c r="AC198" i="42"/>
  <c r="AC296" i="42"/>
  <c r="AE296" i="42"/>
  <c r="AE49" i="42"/>
  <c r="AC49" i="42"/>
  <c r="AC215" i="42"/>
  <c r="AE215" i="42"/>
  <c r="AE245" i="42"/>
  <c r="AC245" i="42"/>
  <c r="AE114" i="42"/>
  <c r="AC114" i="42"/>
  <c r="AE29" i="42"/>
  <c r="AC29" i="42"/>
  <c r="AE78" i="42"/>
  <c r="AC78" i="42"/>
  <c r="AC16" i="42"/>
  <c r="AE16" i="42"/>
  <c r="AE27" i="42"/>
  <c r="AC27" i="42"/>
  <c r="AC196" i="42"/>
  <c r="AE196" i="42"/>
  <c r="AE17" i="42"/>
  <c r="AC17" i="42"/>
  <c r="AC199" i="42"/>
  <c r="AE199" i="42"/>
  <c r="AC38" i="42"/>
  <c r="AE38" i="42"/>
  <c r="C204" i="11"/>
  <c r="AC255" i="42"/>
  <c r="AE255" i="42"/>
  <c r="AE195" i="42"/>
  <c r="AC195" i="42"/>
  <c r="AE33" i="42"/>
  <c r="AC33" i="42"/>
  <c r="AC287" i="42"/>
  <c r="AE287" i="42"/>
  <c r="AC88" i="42"/>
  <c r="AE88" i="42"/>
  <c r="AE162" i="42"/>
  <c r="AC162" i="42"/>
  <c r="AE91" i="42"/>
  <c r="AC91" i="42"/>
  <c r="AE275" i="42"/>
  <c r="AC275" i="42"/>
  <c r="AE174" i="42"/>
  <c r="AC174" i="42"/>
  <c r="AE214" i="42"/>
  <c r="AC214" i="42"/>
  <c r="AC232" i="42"/>
  <c r="AE232" i="42"/>
  <c r="AE158" i="42"/>
  <c r="AC158" i="42"/>
  <c r="AE126" i="42"/>
  <c r="AC126" i="42"/>
  <c r="AE45" i="42"/>
  <c r="AC45" i="42"/>
  <c r="AC24" i="42"/>
  <c r="AE24" i="42"/>
  <c r="AC71" i="42"/>
  <c r="AE71" i="42"/>
  <c r="AC60" i="42"/>
  <c r="AE60" i="42"/>
  <c r="AC136" i="42"/>
  <c r="AE136" i="42"/>
  <c r="AE194" i="42"/>
  <c r="AC194" i="42"/>
  <c r="C268" i="34"/>
  <c r="C255" i="34"/>
  <c r="C110" i="34"/>
  <c r="C270" i="11"/>
  <c r="AC280" i="42"/>
  <c r="AE280" i="42"/>
  <c r="AC183" i="42"/>
  <c r="AE183" i="42"/>
  <c r="AE186" i="42"/>
  <c r="AC186" i="42"/>
  <c r="AC176" i="42"/>
  <c r="AE176" i="42"/>
  <c r="AE238" i="42"/>
  <c r="AC238" i="42"/>
  <c r="AE142" i="42"/>
  <c r="AC142" i="42"/>
  <c r="AE242" i="42"/>
  <c r="AC242" i="42"/>
  <c r="AE74" i="42"/>
  <c r="AC74" i="42"/>
  <c r="AE230" i="42"/>
  <c r="AC230" i="42"/>
  <c r="AC191" i="42"/>
  <c r="AE191" i="42"/>
  <c r="AC84" i="42"/>
  <c r="AE84" i="42"/>
  <c r="AC48" i="42"/>
  <c r="AE48" i="42"/>
  <c r="AE233" i="42"/>
  <c r="AC233" i="42"/>
  <c r="AE69" i="42"/>
  <c r="AC69" i="42"/>
  <c r="AE205" i="42"/>
  <c r="AC205" i="42"/>
  <c r="C179" i="11"/>
  <c r="C133" i="11"/>
  <c r="C216" i="11"/>
  <c r="C70" i="11"/>
  <c r="AE267" i="42"/>
  <c r="AC267" i="42"/>
  <c r="AC132" i="42"/>
  <c r="AE132" i="42"/>
  <c r="AE9" i="42"/>
  <c r="AC9" i="42"/>
  <c r="AE86" i="42"/>
  <c r="AC86" i="42"/>
  <c r="AE235" i="42"/>
  <c r="AC235" i="42"/>
  <c r="AC292" i="42"/>
  <c r="AE292" i="42"/>
  <c r="AC207" i="42"/>
  <c r="AE207" i="42"/>
  <c r="AE75" i="42"/>
  <c r="AC75" i="42"/>
  <c r="AC87" i="42"/>
  <c r="AE87" i="42"/>
  <c r="AE67" i="42"/>
  <c r="AC67" i="42"/>
  <c r="AE285" i="42"/>
  <c r="AC285" i="42"/>
  <c r="AE129" i="42"/>
  <c r="AC129" i="42"/>
  <c r="AE50" i="42"/>
  <c r="AC50" i="42"/>
  <c r="AE298" i="42"/>
  <c r="AC298" i="42"/>
  <c r="AC47" i="42"/>
  <c r="AE47" i="42"/>
  <c r="AC26" i="42"/>
  <c r="AE26" i="42"/>
  <c r="AC103" i="42"/>
  <c r="AE103" i="42"/>
  <c r="C139" i="34"/>
  <c r="C100" i="11"/>
  <c r="C104" i="11"/>
  <c r="AE57" i="42"/>
  <c r="AC57" i="42"/>
  <c r="AE227" i="42"/>
  <c r="AC227" i="42"/>
  <c r="AE246" i="42"/>
  <c r="AC246" i="42"/>
  <c r="AE218" i="42"/>
  <c r="AC218" i="42"/>
  <c r="AE251" i="42"/>
  <c r="AC251" i="42"/>
  <c r="AC288" i="42"/>
  <c r="AE288" i="42"/>
  <c r="AC210" i="42"/>
  <c r="AE210" i="42"/>
  <c r="AC272" i="42"/>
  <c r="AE272" i="42"/>
  <c r="AC276" i="42"/>
  <c r="AE276" i="42"/>
  <c r="AC223" i="42"/>
  <c r="AE223" i="42"/>
  <c r="AE273" i="42"/>
  <c r="AC273" i="42"/>
  <c r="AE25" i="42"/>
  <c r="AC25" i="42"/>
  <c r="AE243" i="42"/>
  <c r="AC243" i="42"/>
  <c r="AE187" i="42"/>
  <c r="AC187" i="42"/>
  <c r="AC8" i="42"/>
  <c r="AE8" i="42"/>
  <c r="AE105" i="42"/>
  <c r="AC105" i="42"/>
  <c r="AC72" i="42"/>
  <c r="AE72" i="42"/>
  <c r="AC79" i="42"/>
  <c r="AE79" i="42"/>
  <c r="AC240" i="42"/>
  <c r="AE240" i="42"/>
  <c r="AC44" i="42"/>
  <c r="AE44" i="42"/>
  <c r="AC239" i="42"/>
  <c r="AE239" i="42"/>
  <c r="AC112" i="42"/>
  <c r="AE112" i="42"/>
  <c r="AC160" i="42"/>
  <c r="AE160" i="42"/>
  <c r="AE221" i="42"/>
  <c r="AC221" i="42"/>
  <c r="AE286" i="42"/>
  <c r="AC286" i="42"/>
  <c r="C13" i="34"/>
  <c r="C106" i="34"/>
  <c r="C118" i="11"/>
  <c r="C262" i="11"/>
  <c r="AE41" i="42"/>
  <c r="AC41" i="42"/>
  <c r="AC264" i="42"/>
  <c r="AE264" i="42"/>
  <c r="AC247" i="42"/>
  <c r="AE247" i="42"/>
  <c r="AC234" i="42"/>
  <c r="AE234" i="42"/>
  <c r="AE146" i="42"/>
  <c r="AC146" i="42"/>
  <c r="AE259" i="42"/>
  <c r="AC259" i="42"/>
  <c r="AE83" i="42"/>
  <c r="AC83" i="42"/>
  <c r="AE211" i="42"/>
  <c r="AC211" i="42"/>
  <c r="AE19" i="42"/>
  <c r="AC19" i="42"/>
  <c r="AE101" i="42"/>
  <c r="AC101" i="42"/>
  <c r="AE289" i="42"/>
  <c r="AC289" i="42"/>
  <c r="AC64" i="42"/>
  <c r="AE64" i="42"/>
  <c r="AC127" i="42"/>
  <c r="AE127" i="42"/>
  <c r="AE117" i="42"/>
  <c r="AC117" i="42"/>
  <c r="AC168" i="42"/>
  <c r="AE168" i="42"/>
  <c r="AC248" i="42"/>
  <c r="AE248" i="42"/>
  <c r="C276" i="34"/>
  <c r="C210" i="34"/>
  <c r="C45" i="34"/>
  <c r="C249" i="11"/>
  <c r="C31" i="11"/>
  <c r="AC156" i="42"/>
  <c r="AE156" i="42"/>
  <c r="AE219" i="42"/>
  <c r="AC219" i="42"/>
  <c r="AC140" i="42"/>
  <c r="AE140" i="42"/>
  <c r="AC304" i="42"/>
  <c r="AE304" i="42"/>
  <c r="AE166" i="42"/>
  <c r="AC166" i="42"/>
  <c r="AC90" i="42"/>
  <c r="AE90" i="42"/>
  <c r="AC152" i="42"/>
  <c r="AE152" i="42"/>
  <c r="AC184" i="42"/>
  <c r="AE184" i="42"/>
  <c r="AC167" i="42"/>
  <c r="AE167" i="42"/>
  <c r="AC263" i="42"/>
  <c r="AE263" i="42"/>
  <c r="AE65" i="42"/>
  <c r="AC65" i="42"/>
  <c r="AE177" i="42"/>
  <c r="AC177" i="42"/>
  <c r="AE293" i="42"/>
  <c r="AC293" i="42"/>
  <c r="AC96" i="42"/>
  <c r="AE96" i="42"/>
  <c r="C139" i="13"/>
  <c r="AE139" i="42"/>
  <c r="AC139" i="42"/>
  <c r="C26" i="34"/>
  <c r="C20" i="11"/>
  <c r="C69" i="34"/>
  <c r="C243" i="34"/>
  <c r="C308" i="34"/>
  <c r="C263" i="34"/>
  <c r="C196" i="13"/>
  <c r="C63" i="11"/>
  <c r="C27" i="39"/>
  <c r="E27" i="39" s="1"/>
  <c r="C43" i="34"/>
  <c r="C186" i="34"/>
  <c r="C180" i="11"/>
  <c r="C37" i="11"/>
  <c r="C110" i="11"/>
  <c r="C237" i="11"/>
  <c r="C71" i="39"/>
  <c r="E71" i="39" s="1"/>
  <c r="C144" i="34"/>
  <c r="C79" i="34"/>
  <c r="C214" i="34"/>
  <c r="C208" i="11"/>
  <c r="C153" i="11"/>
  <c r="C151" i="11"/>
  <c r="C138" i="11"/>
  <c r="C245" i="9"/>
  <c r="C195" i="33"/>
  <c r="E195" i="33" s="1"/>
  <c r="D195" i="37" s="1"/>
  <c r="C201" i="9"/>
  <c r="C146" i="9"/>
  <c r="C304" i="33"/>
  <c r="E304" i="33" s="1"/>
  <c r="D304" i="37" s="1"/>
  <c r="C310" i="9"/>
  <c r="C172" i="9"/>
  <c r="C96" i="9"/>
  <c r="C152" i="33"/>
  <c r="E152" i="33" s="1"/>
  <c r="D152" i="37" s="1"/>
  <c r="C158" i="9"/>
  <c r="C184" i="33"/>
  <c r="C190" i="9"/>
  <c r="C167" i="33"/>
  <c r="E167" i="33" s="1"/>
  <c r="D167" i="37" s="1"/>
  <c r="C173" i="9"/>
  <c r="C269" i="9"/>
  <c r="C65" i="33"/>
  <c r="C71" i="34" s="1"/>
  <c r="C71" i="9"/>
  <c r="C177" i="33"/>
  <c r="C183" i="9"/>
  <c r="C293" i="33"/>
  <c r="C299" i="9"/>
  <c r="C96" i="33"/>
  <c r="C102" i="9"/>
  <c r="C139" i="33"/>
  <c r="C145" i="9"/>
  <c r="C236" i="11"/>
  <c r="C73" i="11"/>
  <c r="C113" i="11"/>
  <c r="C57" i="33"/>
  <c r="E57" i="33" s="1"/>
  <c r="D57" i="37" s="1"/>
  <c r="C63" i="9"/>
  <c r="C166" i="9"/>
  <c r="C17" i="33"/>
  <c r="E17" i="33" s="1"/>
  <c r="D17" i="37" s="1"/>
  <c r="C23" i="9"/>
  <c r="C194" i="33"/>
  <c r="E194" i="33" s="1"/>
  <c r="D194" i="37" s="1"/>
  <c r="C200" i="9"/>
  <c r="C174" i="9"/>
  <c r="C199" i="33"/>
  <c r="E199" i="33" s="1"/>
  <c r="D199" i="37" s="1"/>
  <c r="C205" i="9"/>
  <c r="C248" i="39"/>
  <c r="E248" i="39" s="1"/>
  <c r="C254" i="9"/>
  <c r="C105" i="9"/>
  <c r="C205" i="33"/>
  <c r="E205" i="33" s="1"/>
  <c r="D205" i="37" s="1"/>
  <c r="C211" i="9"/>
  <c r="C227" i="9"/>
  <c r="C286" i="33"/>
  <c r="E286" i="33" s="1"/>
  <c r="D286" i="37" s="1"/>
  <c r="C292" i="9"/>
  <c r="C38" i="33"/>
  <c r="C44" i="34" s="1"/>
  <c r="C44" i="9"/>
  <c r="C280" i="33"/>
  <c r="E280" i="33" s="1"/>
  <c r="D280" i="37" s="1"/>
  <c r="C286" i="9"/>
  <c r="C255" i="33"/>
  <c r="E255" i="33" s="1"/>
  <c r="D255" i="37" s="1"/>
  <c r="C261" i="9"/>
  <c r="C287" i="33"/>
  <c r="E287" i="33" s="1"/>
  <c r="D287" i="37" s="1"/>
  <c r="C293" i="9"/>
  <c r="C269" i="33"/>
  <c r="E269" i="33" s="1"/>
  <c r="D269" i="37" s="1"/>
  <c r="C275" i="9"/>
  <c r="C226" i="33"/>
  <c r="E226" i="33" s="1"/>
  <c r="D226" i="37" s="1"/>
  <c r="C232" i="9"/>
  <c r="C134" i="9"/>
  <c r="C289" i="9"/>
  <c r="C198" i="33"/>
  <c r="E198" i="33" s="1"/>
  <c r="D198" i="37" s="1"/>
  <c r="C204" i="9"/>
  <c r="C296" i="33"/>
  <c r="E296" i="33" s="1"/>
  <c r="D296" i="37" s="1"/>
  <c r="C302" i="9"/>
  <c r="C49" i="33"/>
  <c r="E49" i="33" s="1"/>
  <c r="D49" i="37" s="1"/>
  <c r="C55" i="9"/>
  <c r="C221" i="9"/>
  <c r="C251" i="9"/>
  <c r="C114" i="33"/>
  <c r="C120" i="9"/>
  <c r="C29" i="33"/>
  <c r="C29" i="11" s="1"/>
  <c r="C35" i="9"/>
  <c r="C84" i="9"/>
  <c r="C22" i="9"/>
  <c r="C27" i="13"/>
  <c r="C33" i="9"/>
  <c r="C196" i="33"/>
  <c r="C202" i="9"/>
  <c r="C51" i="9"/>
  <c r="C88" i="39"/>
  <c r="E88" i="39" s="1"/>
  <c r="C94" i="9"/>
  <c r="C168" i="9"/>
  <c r="C174" i="33"/>
  <c r="E174" i="33" s="1"/>
  <c r="D174" i="37" s="1"/>
  <c r="C180" i="9"/>
  <c r="C66" i="9"/>
  <c r="C273" i="9"/>
  <c r="C264" i="33"/>
  <c r="E264" i="33" s="1"/>
  <c r="D264" i="37" s="1"/>
  <c r="C270" i="9"/>
  <c r="C246" i="33"/>
  <c r="E246" i="33" s="1"/>
  <c r="D246" i="37" s="1"/>
  <c r="C252" i="9"/>
  <c r="C45" i="39"/>
  <c r="E45" i="39" s="1"/>
  <c r="C15" i="9"/>
  <c r="C192" i="9"/>
  <c r="C176" i="33"/>
  <c r="E176" i="33" s="1"/>
  <c r="D176" i="37" s="1"/>
  <c r="C182" i="9"/>
  <c r="C244" i="9"/>
  <c r="C148" i="9"/>
  <c r="C242" i="33"/>
  <c r="E242" i="33" s="1"/>
  <c r="D242" i="37" s="1"/>
  <c r="C248" i="9"/>
  <c r="C74" i="33"/>
  <c r="E74" i="33" s="1"/>
  <c r="D74" i="37" s="1"/>
  <c r="C80" i="9"/>
  <c r="C230" i="33"/>
  <c r="E230" i="33" s="1"/>
  <c r="D230" i="37" s="1"/>
  <c r="C236" i="9"/>
  <c r="C191" i="33"/>
  <c r="E191" i="33" s="1"/>
  <c r="D191" i="37" s="1"/>
  <c r="C197" i="9"/>
  <c r="C84" i="13"/>
  <c r="C90" i="9"/>
  <c r="C48" i="33"/>
  <c r="C54" i="34" s="1"/>
  <c r="C54" i="9"/>
  <c r="C233" i="33"/>
  <c r="E233" i="33" s="1"/>
  <c r="D233" i="37" s="1"/>
  <c r="C239" i="9"/>
  <c r="C69" i="39"/>
  <c r="E69" i="39" s="1"/>
  <c r="C75" i="9"/>
  <c r="C156" i="33"/>
  <c r="E156" i="33" s="1"/>
  <c r="D156" i="37" s="1"/>
  <c r="C162" i="9"/>
  <c r="C97" i="9"/>
  <c r="C281" i="9"/>
  <c r="C220" i="9"/>
  <c r="C238" i="9"/>
  <c r="C126" i="33"/>
  <c r="E126" i="33" s="1"/>
  <c r="D126" i="37" s="1"/>
  <c r="C132" i="9"/>
  <c r="C30" i="9"/>
  <c r="C242" i="34"/>
  <c r="C60" i="34"/>
  <c r="C126" i="39"/>
  <c r="E126" i="39" s="1"/>
  <c r="C88" i="9"/>
  <c r="C247" i="33"/>
  <c r="E247" i="33" s="1"/>
  <c r="D247" i="37" s="1"/>
  <c r="C253" i="9"/>
  <c r="C45" i="13"/>
  <c r="C86" i="33"/>
  <c r="C86" i="11" s="1"/>
  <c r="C92" i="9"/>
  <c r="C241" i="9"/>
  <c r="C298" i="9"/>
  <c r="C207" i="33"/>
  <c r="E207" i="33" s="1"/>
  <c r="D207" i="37" s="1"/>
  <c r="C213" i="9"/>
  <c r="C81" i="9"/>
  <c r="C93" i="9"/>
  <c r="C67" i="33"/>
  <c r="E67" i="33" s="1"/>
  <c r="D67" i="37" s="1"/>
  <c r="C73" i="9"/>
  <c r="C291" i="9"/>
  <c r="C135" i="9"/>
  <c r="C56" i="9"/>
  <c r="C298" i="13"/>
  <c r="C304" i="9"/>
  <c r="C53" i="9"/>
  <c r="C26" i="33"/>
  <c r="C32" i="34" s="1"/>
  <c r="C32" i="9"/>
  <c r="C103" i="33"/>
  <c r="C109" i="34" s="1"/>
  <c r="C109" i="9"/>
  <c r="C227" i="33"/>
  <c r="E227" i="33" s="1"/>
  <c r="D227" i="37" s="1"/>
  <c r="C233" i="9"/>
  <c r="C132" i="33"/>
  <c r="E132" i="33" s="1"/>
  <c r="D132" i="37" s="1"/>
  <c r="C138" i="9"/>
  <c r="C164" i="9"/>
  <c r="C71" i="33"/>
  <c r="C77" i="9"/>
  <c r="C157" i="34"/>
  <c r="C41" i="33"/>
  <c r="E41" i="33" s="1"/>
  <c r="D41" i="37" s="1"/>
  <c r="C47" i="9"/>
  <c r="C126" i="12"/>
  <c r="C136" i="33"/>
  <c r="E136" i="33" s="1"/>
  <c r="D136" i="37" s="1"/>
  <c r="C142" i="9"/>
  <c r="C60" i="12"/>
  <c r="C33" i="33"/>
  <c r="E33" i="33" s="1"/>
  <c r="D33" i="37" s="1"/>
  <c r="C39" i="9"/>
  <c r="C71" i="13"/>
  <c r="C224" i="9"/>
  <c r="C257" i="9"/>
  <c r="C288" i="33"/>
  <c r="E288" i="33" s="1"/>
  <c r="D288" i="37" s="1"/>
  <c r="C294" i="9"/>
  <c r="C210" i="33"/>
  <c r="E210" i="33" s="1"/>
  <c r="D210" i="37" s="1"/>
  <c r="C216" i="9"/>
  <c r="C272" i="33"/>
  <c r="E272" i="33" s="1"/>
  <c r="D272" i="37" s="1"/>
  <c r="C278" i="9"/>
  <c r="C276" i="33"/>
  <c r="E276" i="33" s="1"/>
  <c r="D276" i="37" s="1"/>
  <c r="C282" i="9"/>
  <c r="C229" i="9"/>
  <c r="C273" i="33"/>
  <c r="E273" i="33" s="1"/>
  <c r="D273" i="37" s="1"/>
  <c r="C279" i="9"/>
  <c r="C31" i="9"/>
  <c r="C243" i="33"/>
  <c r="E243" i="33" s="1"/>
  <c r="D243" i="37" s="1"/>
  <c r="C249" i="9"/>
  <c r="C187" i="33"/>
  <c r="E187" i="33" s="1"/>
  <c r="D187" i="37" s="1"/>
  <c r="C193" i="9"/>
  <c r="C14" i="9"/>
  <c r="C105" i="33"/>
  <c r="C111" i="34" s="1"/>
  <c r="C111" i="9"/>
  <c r="C72" i="33"/>
  <c r="C78" i="34" s="1"/>
  <c r="C78" i="9"/>
  <c r="C79" i="33"/>
  <c r="E79" i="33" s="1"/>
  <c r="D79" i="37" s="1"/>
  <c r="C85" i="9"/>
  <c r="C246" i="9"/>
  <c r="C44" i="33"/>
  <c r="C50" i="9"/>
  <c r="C219" i="33"/>
  <c r="E219" i="33" s="1"/>
  <c r="D219" i="37" s="1"/>
  <c r="C225" i="9"/>
  <c r="C126" i="13"/>
  <c r="C112" i="33"/>
  <c r="E112" i="33" s="1"/>
  <c r="D112" i="37" s="1"/>
  <c r="C118" i="9"/>
  <c r="C60" i="13"/>
  <c r="C183" i="33"/>
  <c r="E183" i="33" s="1"/>
  <c r="D183" i="37" s="1"/>
  <c r="C189" i="9"/>
  <c r="C234" i="33"/>
  <c r="E234" i="33" s="1"/>
  <c r="D234" i="37" s="1"/>
  <c r="C240" i="9"/>
  <c r="C152" i="9"/>
  <c r="C259" i="33"/>
  <c r="E259" i="33" s="1"/>
  <c r="D259" i="37" s="1"/>
  <c r="C265" i="9"/>
  <c r="C83" i="33"/>
  <c r="E83" i="33" s="1"/>
  <c r="D83" i="37" s="1"/>
  <c r="C89" i="9"/>
  <c r="C211" i="33"/>
  <c r="E211" i="33" s="1"/>
  <c r="D211" i="37" s="1"/>
  <c r="C217" i="9"/>
  <c r="C25" i="9"/>
  <c r="C101" i="33"/>
  <c r="C107" i="34" s="1"/>
  <c r="C107" i="9"/>
  <c r="C289" i="33"/>
  <c r="C289" i="11" s="1"/>
  <c r="C295" i="9"/>
  <c r="C64" i="33"/>
  <c r="C70" i="9"/>
  <c r="C133" i="9"/>
  <c r="C117" i="33"/>
  <c r="E117" i="33" s="1"/>
  <c r="D117" i="37" s="1"/>
  <c r="C123" i="9"/>
  <c r="C20" i="34"/>
  <c r="C82" i="34"/>
  <c r="E165" i="33"/>
  <c r="D165" i="37" s="1"/>
  <c r="E301" i="33"/>
  <c r="D301" i="37" s="1"/>
  <c r="C61" i="34"/>
  <c r="E55" i="33"/>
  <c r="D55" i="37" s="1"/>
  <c r="C217" i="11"/>
  <c r="E217" i="33"/>
  <c r="D217" i="37" s="1"/>
  <c r="E28" i="33"/>
  <c r="D28" i="37" s="1"/>
  <c r="E106" i="33"/>
  <c r="D106" i="37" s="1"/>
  <c r="E13" i="33"/>
  <c r="D13" i="37" s="1"/>
  <c r="E295" i="33"/>
  <c r="D295" i="37" s="1"/>
  <c r="E141" i="33"/>
  <c r="D141" i="37" s="1"/>
  <c r="C272" i="34"/>
  <c r="E266" i="33"/>
  <c r="D266" i="37" s="1"/>
  <c r="E18" i="33"/>
  <c r="D18" i="37" s="1"/>
  <c r="C280" i="34"/>
  <c r="E274" i="33"/>
  <c r="D274" i="37" s="1"/>
  <c r="E297" i="33"/>
  <c r="D297" i="37" s="1"/>
  <c r="C65" i="34"/>
  <c r="E59" i="33"/>
  <c r="D59" i="37" s="1"/>
  <c r="E102" i="33"/>
  <c r="D102" i="37" s="1"/>
  <c r="E92" i="33"/>
  <c r="D92" i="37" s="1"/>
  <c r="E260" i="33"/>
  <c r="D260" i="37" s="1"/>
  <c r="C284" i="34"/>
  <c r="E278" i="33"/>
  <c r="D278" i="37" s="1"/>
  <c r="E228" i="33"/>
  <c r="D228" i="37" s="1"/>
  <c r="E93" i="33"/>
  <c r="D93" i="37" s="1"/>
  <c r="E256" i="33"/>
  <c r="D256" i="37" s="1"/>
  <c r="E145" i="33"/>
  <c r="D145" i="37" s="1"/>
  <c r="E11" i="33"/>
  <c r="D11" i="37" s="1"/>
  <c r="E52" i="33"/>
  <c r="D52" i="37" s="1"/>
  <c r="C83" i="34"/>
  <c r="E77" i="33"/>
  <c r="D77" i="37" s="1"/>
  <c r="C76" i="11"/>
  <c r="E116" i="33"/>
  <c r="D116" i="37" s="1"/>
  <c r="E23" i="33"/>
  <c r="D23" i="37" s="1"/>
  <c r="E42" i="33"/>
  <c r="D42" i="37" s="1"/>
  <c r="C288" i="34"/>
  <c r="E282" i="33"/>
  <c r="D282" i="37" s="1"/>
  <c r="E56" i="33"/>
  <c r="D56" i="37" s="1"/>
  <c r="E225" i="33"/>
  <c r="D225" i="37" s="1"/>
  <c r="C207" i="34"/>
  <c r="C14" i="11"/>
  <c r="C175" i="11"/>
  <c r="E175" i="33"/>
  <c r="D175" i="37" s="1"/>
  <c r="E43" i="33"/>
  <c r="D43" i="37" s="1"/>
  <c r="E303" i="33"/>
  <c r="D303" i="37" s="1"/>
  <c r="E135" i="33"/>
  <c r="D135" i="37" s="1"/>
  <c r="C311" i="34"/>
  <c r="E305" i="33"/>
  <c r="D305" i="37" s="1"/>
  <c r="E244" i="33"/>
  <c r="D244" i="37" s="1"/>
  <c r="E12" i="33"/>
  <c r="D12" i="37" s="1"/>
  <c r="E36" i="33"/>
  <c r="D36" i="37" s="1"/>
  <c r="E157" i="33"/>
  <c r="D157" i="37" s="1"/>
  <c r="C34" i="11"/>
  <c r="E34" i="33"/>
  <c r="D34" i="37" s="1"/>
  <c r="E21" i="33"/>
  <c r="D21" i="37" s="1"/>
  <c r="E94" i="33"/>
  <c r="D94" i="37" s="1"/>
  <c r="C267" i="34"/>
  <c r="E261" i="33"/>
  <c r="D261" i="37" s="1"/>
  <c r="E81" i="33"/>
  <c r="D81" i="37" s="1"/>
  <c r="E76" i="33"/>
  <c r="D76" i="37" s="1"/>
  <c r="E155" i="33"/>
  <c r="D155" i="37" s="1"/>
  <c r="C169" i="34"/>
  <c r="E163" i="33"/>
  <c r="D163" i="37" s="1"/>
  <c r="E22" i="33"/>
  <c r="D22" i="37" s="1"/>
  <c r="E213" i="33"/>
  <c r="D213" i="37" s="1"/>
  <c r="E108" i="33"/>
  <c r="D108" i="37" s="1"/>
  <c r="E111" i="33"/>
  <c r="D111" i="37" s="1"/>
  <c r="E107" i="33"/>
  <c r="D107" i="37" s="1"/>
  <c r="C201" i="11"/>
  <c r="C62" i="11"/>
  <c r="E62" i="33"/>
  <c r="D62" i="37" s="1"/>
  <c r="E212" i="33"/>
  <c r="D212" i="37" s="1"/>
  <c r="E220" i="33"/>
  <c r="D220" i="37" s="1"/>
  <c r="E80" i="33"/>
  <c r="D80" i="37" s="1"/>
  <c r="E253" i="33"/>
  <c r="D253" i="37" s="1"/>
  <c r="E98" i="33"/>
  <c r="D98" i="37" s="1"/>
  <c r="E290" i="33"/>
  <c r="D290" i="37" s="1"/>
  <c r="E229" i="33"/>
  <c r="D229" i="37" s="1"/>
  <c r="E161" i="33"/>
  <c r="D161" i="37" s="1"/>
  <c r="C17" i="34"/>
  <c r="C27" i="12"/>
  <c r="C196" i="12"/>
  <c r="C165" i="11"/>
  <c r="C196" i="39"/>
  <c r="E196" i="39" s="1"/>
  <c r="C44" i="13"/>
  <c r="C114" i="12"/>
  <c r="C114" i="13"/>
  <c r="C69" i="13"/>
  <c r="C98" i="34"/>
  <c r="C102" i="11"/>
  <c r="C108" i="34"/>
  <c r="C92" i="11"/>
  <c r="C184" i="12"/>
  <c r="C177" i="39"/>
  <c r="E177" i="39" s="1"/>
  <c r="C248" i="13"/>
  <c r="C45" i="33"/>
  <c r="C51" i="34" s="1"/>
  <c r="C248" i="12"/>
  <c r="C250" i="34"/>
  <c r="C13" i="11"/>
  <c r="C19" i="34"/>
  <c r="C244" i="11"/>
  <c r="C141" i="11"/>
  <c r="C44" i="39"/>
  <c r="E44" i="39" s="1"/>
  <c r="C293" i="12"/>
  <c r="C96" i="12"/>
  <c r="C60" i="39"/>
  <c r="E60" i="39" s="1"/>
  <c r="C293" i="39"/>
  <c r="E293" i="39" s="1"/>
  <c r="C96" i="39"/>
  <c r="E96" i="39" s="1"/>
  <c r="C205" i="39"/>
  <c r="E205" i="39" s="1"/>
  <c r="C103" i="12"/>
  <c r="C38" i="39"/>
  <c r="E38" i="39" s="1"/>
  <c r="C293" i="13"/>
  <c r="C96" i="13"/>
  <c r="C167" i="13"/>
  <c r="C60" i="33"/>
  <c r="E60" i="33" s="1"/>
  <c r="C65" i="12"/>
  <c r="C263" i="12"/>
  <c r="C274" i="11"/>
  <c r="C65" i="13"/>
  <c r="C263" i="13"/>
  <c r="C58" i="34"/>
  <c r="C55" i="11"/>
  <c r="C65" i="39"/>
  <c r="E65" i="39" s="1"/>
  <c r="C72" i="12"/>
  <c r="C38" i="12"/>
  <c r="C117" i="13"/>
  <c r="C286" i="12"/>
  <c r="C72" i="39"/>
  <c r="E72" i="39" s="1"/>
  <c r="C38" i="13"/>
  <c r="C84" i="12"/>
  <c r="C205" i="12"/>
  <c r="C141" i="34"/>
  <c r="C297" i="11"/>
  <c r="C263" i="33"/>
  <c r="C135" i="11"/>
  <c r="C303" i="34"/>
  <c r="C266" i="11"/>
  <c r="C234" i="34"/>
  <c r="C16" i="12"/>
  <c r="C228" i="11"/>
  <c r="C27" i="33"/>
  <c r="E27" i="33" s="1"/>
  <c r="R300" i="19"/>
  <c r="E300" i="25" s="1"/>
  <c r="C99" i="13"/>
  <c r="C19" i="12"/>
  <c r="C16" i="33"/>
  <c r="C16" i="11" s="1"/>
  <c r="C16" i="13"/>
  <c r="C117" i="12"/>
  <c r="C301" i="34"/>
  <c r="C117" i="39"/>
  <c r="E117" i="39" s="1"/>
  <c r="C99" i="33"/>
  <c r="C18" i="34"/>
  <c r="C295" i="11"/>
  <c r="C286" i="39"/>
  <c r="E286" i="39" s="1"/>
  <c r="C69" i="33"/>
  <c r="C64" i="12"/>
  <c r="C225" i="11"/>
  <c r="R172" i="19"/>
  <c r="C64" i="39"/>
  <c r="E64" i="39" s="1"/>
  <c r="C12" i="11"/>
  <c r="R66" i="19"/>
  <c r="E66" i="25" s="1"/>
  <c r="C221" i="13"/>
  <c r="C184" i="13"/>
  <c r="C286" i="13"/>
  <c r="C45" i="12"/>
  <c r="C69" i="12"/>
  <c r="C71" i="12"/>
  <c r="C205" i="13"/>
  <c r="C163" i="11"/>
  <c r="C232" i="12"/>
  <c r="C26" i="39"/>
  <c r="E26" i="39" s="1"/>
  <c r="C24" i="12"/>
  <c r="C107" i="11"/>
  <c r="C24" i="39"/>
  <c r="E24" i="39" s="1"/>
  <c r="C127" i="33"/>
  <c r="C127" i="39"/>
  <c r="E127" i="39" s="1"/>
  <c r="C261" i="11"/>
  <c r="C256" i="11"/>
  <c r="C129" i="39"/>
  <c r="E129" i="39" s="1"/>
  <c r="C127" i="13"/>
  <c r="C129" i="12"/>
  <c r="C24" i="34"/>
  <c r="C108" i="11"/>
  <c r="C18" i="11"/>
  <c r="C88" i="12"/>
  <c r="C29" i="39"/>
  <c r="E29" i="39" s="1"/>
  <c r="C88" i="13"/>
  <c r="C223" i="33"/>
  <c r="C117" i="34"/>
  <c r="C151" i="34"/>
  <c r="C21" i="11"/>
  <c r="C111" i="11"/>
  <c r="C232" i="39"/>
  <c r="E232" i="39" s="1"/>
  <c r="C24" i="13"/>
  <c r="C161" i="34"/>
  <c r="C28" i="34"/>
  <c r="C145" i="11"/>
  <c r="C282" i="11"/>
  <c r="C78" i="12"/>
  <c r="C232" i="13"/>
  <c r="C27" i="34"/>
  <c r="C155" i="11"/>
  <c r="C47" i="12"/>
  <c r="C78" i="39"/>
  <c r="E78" i="39" s="1"/>
  <c r="C79" i="12"/>
  <c r="C78" i="33"/>
  <c r="C167" i="34"/>
  <c r="C22" i="11"/>
  <c r="C229" i="11"/>
  <c r="C47" i="39"/>
  <c r="E47" i="39" s="1"/>
  <c r="C78" i="13"/>
  <c r="C48" i="39"/>
  <c r="E48" i="39" s="1"/>
  <c r="C233" i="13"/>
  <c r="C79" i="13"/>
  <c r="R144" i="19"/>
  <c r="E144" i="25" s="1"/>
  <c r="C262" i="34"/>
  <c r="C114" i="34"/>
  <c r="C161" i="11"/>
  <c r="C47" i="13"/>
  <c r="C26" i="13"/>
  <c r="C48" i="13"/>
  <c r="C233" i="39"/>
  <c r="E233" i="39" s="1"/>
  <c r="C240" i="12"/>
  <c r="C29" i="13"/>
  <c r="C235" i="34"/>
  <c r="C26" i="12"/>
  <c r="C240" i="13"/>
  <c r="R231" i="19"/>
  <c r="E231" i="25" s="1"/>
  <c r="C42" i="34"/>
  <c r="R178" i="19"/>
  <c r="E178" i="25" s="1"/>
  <c r="C127" i="12"/>
  <c r="C240" i="39"/>
  <c r="E240" i="39" s="1"/>
  <c r="C48" i="12"/>
  <c r="C29" i="12"/>
  <c r="C99" i="12"/>
  <c r="C233" i="12"/>
  <c r="C79" i="39"/>
  <c r="E79" i="39" s="1"/>
  <c r="C263" i="39"/>
  <c r="E263" i="39" s="1"/>
  <c r="C177" i="12"/>
  <c r="C16" i="39"/>
  <c r="E16" i="39" s="1"/>
  <c r="C64" i="13"/>
  <c r="C184" i="39"/>
  <c r="E184" i="39" s="1"/>
  <c r="C245" i="13"/>
  <c r="C72" i="13"/>
  <c r="R150" i="19"/>
  <c r="E150" i="25" s="1"/>
  <c r="R250" i="19"/>
  <c r="E250" i="25" s="1"/>
  <c r="C221" i="39"/>
  <c r="E221" i="39" s="1"/>
  <c r="C47" i="33"/>
  <c r="E47" i="33" s="1"/>
  <c r="C129" i="33"/>
  <c r="C24" i="33"/>
  <c r="R222" i="19"/>
  <c r="E222" i="25" s="1"/>
  <c r="C221" i="12"/>
  <c r="C75" i="33"/>
  <c r="C289" i="12"/>
  <c r="C84" i="39"/>
  <c r="E84" i="39" s="1"/>
  <c r="R148" i="19"/>
  <c r="E148" i="25" s="1"/>
  <c r="C8" i="12"/>
  <c r="C19" i="39"/>
  <c r="E19" i="39" s="1"/>
  <c r="C113" i="34"/>
  <c r="C259" i="34"/>
  <c r="C289" i="39"/>
  <c r="E289" i="39" s="1"/>
  <c r="R182" i="19"/>
  <c r="E182" i="25" s="1"/>
  <c r="R268" i="19"/>
  <c r="E268" i="25" s="1"/>
  <c r="C8" i="13"/>
  <c r="C19" i="13"/>
  <c r="C50" i="12"/>
  <c r="C147" i="34"/>
  <c r="C56" i="11"/>
  <c r="C101" i="12"/>
  <c r="R258" i="19"/>
  <c r="E258" i="25" s="1"/>
  <c r="C289" i="13"/>
  <c r="C298" i="12"/>
  <c r="C105" i="12"/>
  <c r="C50" i="13"/>
  <c r="C253" i="11"/>
  <c r="C101" i="13"/>
  <c r="C298" i="39"/>
  <c r="E298" i="39" s="1"/>
  <c r="C105" i="13"/>
  <c r="R265" i="19"/>
  <c r="E265" i="25" s="1"/>
  <c r="C50" i="33"/>
  <c r="C50" i="39"/>
  <c r="E50" i="39" s="1"/>
  <c r="C52" i="11"/>
  <c r="C62" i="34"/>
  <c r="C101" i="39"/>
  <c r="E101" i="39" s="1"/>
  <c r="R254" i="19"/>
  <c r="E254" i="25" s="1"/>
  <c r="C298" i="33"/>
  <c r="E298" i="33" s="1"/>
  <c r="C167" i="12"/>
  <c r="C275" i="33"/>
  <c r="C251" i="33"/>
  <c r="C87" i="33"/>
  <c r="R154" i="19"/>
  <c r="E154" i="25" s="1"/>
  <c r="C99" i="39"/>
  <c r="E99" i="39" s="1"/>
  <c r="C8" i="39"/>
  <c r="E8" i="39" s="1"/>
  <c r="R203" i="19"/>
  <c r="E203" i="25" s="1"/>
  <c r="C114" i="39"/>
  <c r="E114" i="39" s="1"/>
  <c r="C8" i="33"/>
  <c r="E8" i="33" s="1"/>
  <c r="C221" i="33"/>
  <c r="E221" i="33" s="1"/>
  <c r="C129" i="13"/>
  <c r="C105" i="39"/>
  <c r="E105" i="39" s="1"/>
  <c r="C167" i="39"/>
  <c r="E167" i="39" s="1"/>
  <c r="R281" i="19"/>
  <c r="E281" i="25" s="1"/>
  <c r="R202" i="19"/>
  <c r="E202" i="25" s="1"/>
  <c r="C19" i="33"/>
  <c r="E19" i="33" s="1"/>
  <c r="C285" i="33"/>
  <c r="R170" i="19"/>
  <c r="E170" i="25" s="1"/>
  <c r="R284" i="19"/>
  <c r="E284" i="25" s="1"/>
  <c r="R206" i="19"/>
  <c r="E206" i="25" s="1"/>
  <c r="C248" i="33"/>
  <c r="E248" i="33" s="1"/>
  <c r="C245" i="33"/>
  <c r="E245" i="33" s="1"/>
  <c r="R277" i="19"/>
  <c r="E277" i="25" s="1"/>
  <c r="C245" i="12"/>
  <c r="C84" i="33"/>
  <c r="E84" i="33" s="1"/>
  <c r="C245" i="39"/>
  <c r="E245" i="39" s="1"/>
  <c r="C162" i="33"/>
  <c r="C128" i="33"/>
  <c r="C168" i="33"/>
  <c r="C214" i="33"/>
  <c r="C87" i="34"/>
  <c r="R190" i="19"/>
  <c r="E190" i="25" s="1"/>
  <c r="R164" i="19"/>
  <c r="E164" i="25" s="1"/>
  <c r="C232" i="33"/>
  <c r="E232" i="33" s="1"/>
  <c r="C59" i="11"/>
  <c r="C81" i="11"/>
  <c r="C36" i="11"/>
  <c r="C98" i="11"/>
  <c r="C11" i="11"/>
  <c r="C104" i="34"/>
  <c r="C218" i="33"/>
  <c r="C238" i="33"/>
  <c r="C235" i="33"/>
  <c r="C292" i="33"/>
  <c r="C166" i="33"/>
  <c r="C186" i="33"/>
  <c r="C91" i="33"/>
  <c r="C301" i="11"/>
  <c r="C307" i="34"/>
  <c r="C296" i="34"/>
  <c r="C290" i="11"/>
  <c r="C142" i="33"/>
  <c r="C90" i="33"/>
  <c r="C23" i="11"/>
  <c r="C226" i="34"/>
  <c r="C220" i="11"/>
  <c r="C48" i="34"/>
  <c r="C223" i="34"/>
  <c r="C181" i="34"/>
  <c r="C99" i="34"/>
  <c r="C34" i="34"/>
  <c r="C82" i="33"/>
  <c r="C88" i="34" s="1"/>
  <c r="C93" i="11"/>
  <c r="C25" i="33"/>
  <c r="C9" i="33"/>
  <c r="C80" i="11"/>
  <c r="C68" i="34"/>
  <c r="C43" i="11"/>
  <c r="C28" i="11"/>
  <c r="C86" i="34"/>
  <c r="C42" i="11"/>
  <c r="C49" i="34"/>
  <c r="C278" i="11"/>
  <c r="C215" i="33"/>
  <c r="C218" i="34"/>
  <c r="C100" i="34"/>
  <c r="C106" i="11"/>
  <c r="C157" i="11"/>
  <c r="C163" i="34"/>
  <c r="C94" i="11"/>
  <c r="C112" i="34"/>
  <c r="C212" i="11"/>
  <c r="C122" i="34"/>
  <c r="C40" i="34"/>
  <c r="C29" i="34"/>
  <c r="C116" i="11"/>
  <c r="C86" i="12"/>
  <c r="C86" i="39"/>
  <c r="E86" i="39" s="1"/>
  <c r="C213" i="11"/>
  <c r="C86" i="13"/>
  <c r="C219" i="34"/>
  <c r="C309" i="34"/>
  <c r="C158" i="33"/>
  <c r="C303" i="11"/>
  <c r="C267" i="33"/>
  <c r="C239" i="33"/>
  <c r="C88" i="33"/>
  <c r="E88" i="33" s="1"/>
  <c r="C266" i="34"/>
  <c r="C260" i="11"/>
  <c r="C132" i="13"/>
  <c r="C132" i="39"/>
  <c r="E132" i="39" s="1"/>
  <c r="C132" i="12"/>
  <c r="C283" i="13"/>
  <c r="C283" i="12"/>
  <c r="C283" i="39"/>
  <c r="E283" i="39" s="1"/>
  <c r="C49" i="39"/>
  <c r="E49" i="39" s="1"/>
  <c r="C49" i="13"/>
  <c r="C49" i="12"/>
  <c r="C207" i="13"/>
  <c r="C207" i="39"/>
  <c r="E207" i="39" s="1"/>
  <c r="C207" i="12"/>
  <c r="C187" i="13"/>
  <c r="C187" i="12"/>
  <c r="C187" i="39"/>
  <c r="E187" i="39" s="1"/>
  <c r="C174" i="13"/>
  <c r="C174" i="39"/>
  <c r="E174" i="39" s="1"/>
  <c r="C174" i="12"/>
  <c r="C242" i="13"/>
  <c r="C242" i="39"/>
  <c r="E242" i="39" s="1"/>
  <c r="C242" i="12"/>
  <c r="C57" i="39"/>
  <c r="E57" i="39" s="1"/>
  <c r="C57" i="13"/>
  <c r="C57" i="12"/>
  <c r="C82" i="13"/>
  <c r="C82" i="39"/>
  <c r="E82" i="39" s="1"/>
  <c r="C82" i="12"/>
  <c r="C273" i="13"/>
  <c r="C273" i="39"/>
  <c r="E273" i="39" s="1"/>
  <c r="C273" i="12"/>
  <c r="C259" i="13"/>
  <c r="C259" i="12"/>
  <c r="C259" i="39"/>
  <c r="E259" i="39" s="1"/>
  <c r="C33" i="39"/>
  <c r="E33" i="39" s="1"/>
  <c r="C33" i="13"/>
  <c r="C33" i="12"/>
  <c r="C285" i="13"/>
  <c r="C285" i="39"/>
  <c r="E285" i="39" s="1"/>
  <c r="C285" i="12"/>
  <c r="C17" i="39"/>
  <c r="E17" i="39" s="1"/>
  <c r="C17" i="13"/>
  <c r="C17" i="12"/>
  <c r="C83" i="13"/>
  <c r="C83" i="12"/>
  <c r="C83" i="39"/>
  <c r="E83" i="39" s="1"/>
  <c r="C146" i="13"/>
  <c r="C146" i="39"/>
  <c r="E146" i="39" s="1"/>
  <c r="C146" i="12"/>
  <c r="C272" i="13"/>
  <c r="C272" i="39"/>
  <c r="E272" i="39" s="1"/>
  <c r="C272" i="12"/>
  <c r="C198" i="13"/>
  <c r="C198" i="12"/>
  <c r="C198" i="39"/>
  <c r="E198" i="39" s="1"/>
  <c r="C276" i="13"/>
  <c r="C276" i="39"/>
  <c r="E276" i="39" s="1"/>
  <c r="C276" i="12"/>
  <c r="C296" i="12"/>
  <c r="C296" i="13"/>
  <c r="C296" i="39"/>
  <c r="E296" i="39" s="1"/>
  <c r="C112" i="13"/>
  <c r="C112" i="39"/>
  <c r="E112" i="39" s="1"/>
  <c r="C112" i="12"/>
  <c r="C218" i="13"/>
  <c r="C218" i="39"/>
  <c r="E218" i="39" s="1"/>
  <c r="C218" i="12"/>
  <c r="C9" i="39"/>
  <c r="E9" i="39" s="1"/>
  <c r="C9" i="13"/>
  <c r="C9" i="12"/>
  <c r="C140" i="13"/>
  <c r="C140" i="39"/>
  <c r="E140" i="39" s="1"/>
  <c r="C140" i="12"/>
  <c r="C140" i="33"/>
  <c r="E140" i="33" s="1"/>
  <c r="C160" i="13"/>
  <c r="C160" i="12"/>
  <c r="C160" i="39"/>
  <c r="E160" i="39" s="1"/>
  <c r="C146" i="33"/>
  <c r="C75" i="13"/>
  <c r="C75" i="39"/>
  <c r="E75" i="39" s="1"/>
  <c r="C75" i="12"/>
  <c r="C223" i="13"/>
  <c r="C223" i="39"/>
  <c r="E223" i="39" s="1"/>
  <c r="C223" i="12"/>
  <c r="C251" i="13"/>
  <c r="C251" i="12"/>
  <c r="C251" i="39"/>
  <c r="E251" i="39" s="1"/>
  <c r="C156" i="13"/>
  <c r="C156" i="39"/>
  <c r="E156" i="39" s="1"/>
  <c r="C156" i="12"/>
  <c r="C194" i="13"/>
  <c r="C194" i="39"/>
  <c r="E194" i="39" s="1"/>
  <c r="C194" i="12"/>
  <c r="C176" i="13"/>
  <c r="C176" i="39"/>
  <c r="E176" i="39" s="1"/>
  <c r="C176" i="12"/>
  <c r="C219" i="13"/>
  <c r="C219" i="12"/>
  <c r="C219" i="39"/>
  <c r="E219" i="39" s="1"/>
  <c r="C238" i="13"/>
  <c r="C238" i="12"/>
  <c r="C238" i="39"/>
  <c r="E238" i="39" s="1"/>
  <c r="C195" i="13"/>
  <c r="C195" i="12"/>
  <c r="C195" i="39"/>
  <c r="E195" i="39" s="1"/>
  <c r="C264" i="13"/>
  <c r="C264" i="39"/>
  <c r="E264" i="39" s="1"/>
  <c r="C264" i="12"/>
  <c r="C183" i="13"/>
  <c r="C183" i="39"/>
  <c r="E183" i="39" s="1"/>
  <c r="C183" i="12"/>
  <c r="C128" i="13"/>
  <c r="C128" i="39"/>
  <c r="E128" i="39" s="1"/>
  <c r="C128" i="12"/>
  <c r="C235" i="13"/>
  <c r="C235" i="12"/>
  <c r="C235" i="39"/>
  <c r="E235" i="39" s="1"/>
  <c r="C160" i="33"/>
  <c r="C214" i="13"/>
  <c r="C214" i="12"/>
  <c r="C214" i="39"/>
  <c r="E214" i="39" s="1"/>
  <c r="C215" i="13"/>
  <c r="C215" i="39"/>
  <c r="E215" i="39" s="1"/>
  <c r="C215" i="12"/>
  <c r="C158" i="13"/>
  <c r="C158" i="12"/>
  <c r="C158" i="39"/>
  <c r="E158" i="39" s="1"/>
  <c r="C234" i="13"/>
  <c r="C234" i="39"/>
  <c r="E234" i="39" s="1"/>
  <c r="C234" i="12"/>
  <c r="C246" i="13"/>
  <c r="C246" i="39"/>
  <c r="E246" i="39" s="1"/>
  <c r="C246" i="12"/>
  <c r="C41" i="39"/>
  <c r="E41" i="39" s="1"/>
  <c r="C41" i="13"/>
  <c r="C41" i="12"/>
  <c r="C239" i="13"/>
  <c r="C239" i="39"/>
  <c r="E239" i="39" s="1"/>
  <c r="C239" i="12"/>
  <c r="C267" i="13"/>
  <c r="C267" i="12"/>
  <c r="C267" i="39"/>
  <c r="E267" i="39" s="1"/>
  <c r="C304" i="13"/>
  <c r="C304" i="39"/>
  <c r="E304" i="39" s="1"/>
  <c r="C304" i="12"/>
  <c r="C210" i="13"/>
  <c r="C210" i="39"/>
  <c r="E210" i="39" s="1"/>
  <c r="C210" i="12"/>
  <c r="C162" i="13"/>
  <c r="C162" i="39"/>
  <c r="E162" i="39" s="1"/>
  <c r="C162" i="12"/>
  <c r="C280" i="13"/>
  <c r="C280" i="12"/>
  <c r="C280" i="39"/>
  <c r="E280" i="39" s="1"/>
  <c r="C67" i="13"/>
  <c r="C67" i="39"/>
  <c r="E67" i="39" s="1"/>
  <c r="C67" i="12"/>
  <c r="C211" i="13"/>
  <c r="C211" i="12"/>
  <c r="C211" i="39"/>
  <c r="E211" i="39" s="1"/>
  <c r="C166" i="13"/>
  <c r="C166" i="12"/>
  <c r="C166" i="39"/>
  <c r="E166" i="39" s="1"/>
  <c r="C199" i="13"/>
  <c r="C199" i="39"/>
  <c r="E199" i="39" s="1"/>
  <c r="C199" i="12"/>
  <c r="C90" i="13"/>
  <c r="C90" i="39"/>
  <c r="E90" i="39" s="1"/>
  <c r="C90" i="12"/>
  <c r="C287" i="13"/>
  <c r="C287" i="39"/>
  <c r="E287" i="39" s="1"/>
  <c r="C287" i="12"/>
  <c r="C275" i="13"/>
  <c r="C275" i="12"/>
  <c r="C275" i="39"/>
  <c r="E275" i="39" s="1"/>
  <c r="C91" i="13"/>
  <c r="C91" i="12"/>
  <c r="C91" i="39"/>
  <c r="E91" i="39" s="1"/>
  <c r="C283" i="33"/>
  <c r="C74" i="13"/>
  <c r="C74" i="39"/>
  <c r="E74" i="39" s="1"/>
  <c r="C74" i="12"/>
  <c r="C230" i="13"/>
  <c r="C230" i="39"/>
  <c r="E230" i="39" s="1"/>
  <c r="C230" i="12"/>
  <c r="C152" i="13"/>
  <c r="C152" i="39"/>
  <c r="E152" i="39" s="1"/>
  <c r="C152" i="12"/>
  <c r="C247" i="13"/>
  <c r="C247" i="39"/>
  <c r="E247" i="39" s="1"/>
  <c r="C247" i="12"/>
  <c r="C186" i="13"/>
  <c r="C186" i="39"/>
  <c r="E186" i="39" s="1"/>
  <c r="C186" i="12"/>
  <c r="C168" i="13"/>
  <c r="C168" i="12"/>
  <c r="C168" i="39"/>
  <c r="E168" i="39" s="1"/>
  <c r="C191" i="13"/>
  <c r="C191" i="39"/>
  <c r="E191" i="39" s="1"/>
  <c r="C191" i="12"/>
  <c r="C255" i="13"/>
  <c r="C255" i="39"/>
  <c r="E255" i="39" s="1"/>
  <c r="C255" i="12"/>
  <c r="C142" i="13"/>
  <c r="C142" i="12"/>
  <c r="C142" i="39"/>
  <c r="E142" i="39" s="1"/>
  <c r="C226" i="13"/>
  <c r="C226" i="39"/>
  <c r="E226" i="39" s="1"/>
  <c r="C226" i="12"/>
  <c r="C243" i="13"/>
  <c r="C243" i="12"/>
  <c r="C243" i="39"/>
  <c r="E243" i="39" s="1"/>
  <c r="C136" i="13"/>
  <c r="C136" i="39"/>
  <c r="E136" i="39" s="1"/>
  <c r="C136" i="12"/>
  <c r="C227" i="13"/>
  <c r="C227" i="12"/>
  <c r="C227" i="39"/>
  <c r="E227" i="39" s="1"/>
  <c r="C288" i="13"/>
  <c r="C288" i="39"/>
  <c r="E288" i="39" s="1"/>
  <c r="C288" i="12"/>
  <c r="C25" i="39"/>
  <c r="E25" i="39" s="1"/>
  <c r="C25" i="13"/>
  <c r="C25" i="12"/>
  <c r="C292" i="39"/>
  <c r="E292" i="39" s="1"/>
  <c r="C292" i="12"/>
  <c r="C292" i="13"/>
  <c r="C87" i="13"/>
  <c r="C87" i="39"/>
  <c r="E87" i="39" s="1"/>
  <c r="C87" i="12"/>
  <c r="C269" i="13"/>
  <c r="C269" i="39"/>
  <c r="E269" i="39" s="1"/>
  <c r="C269" i="12"/>
  <c r="C216" i="34" l="1"/>
  <c r="C286" i="34"/>
  <c r="C296" i="11"/>
  <c r="C246" i="34"/>
  <c r="C287" i="11"/>
  <c r="C293" i="34"/>
  <c r="C240" i="11"/>
  <c r="C117" i="11"/>
  <c r="C272" i="11"/>
  <c r="C253" i="34"/>
  <c r="C279" i="34"/>
  <c r="C17" i="11"/>
  <c r="E29" i="33"/>
  <c r="D29" i="37" s="1"/>
  <c r="C193" i="34"/>
  <c r="C249" i="34"/>
  <c r="C187" i="11"/>
  <c r="C278" i="34"/>
  <c r="C273" i="11"/>
  <c r="C45" i="11"/>
  <c r="C72" i="11"/>
  <c r="C231" i="12"/>
  <c r="C172" i="39"/>
  <c r="E172" i="39" s="1"/>
  <c r="E172" i="25"/>
  <c r="C33" i="11"/>
  <c r="E72" i="33"/>
  <c r="D72" i="37" s="1"/>
  <c r="C23" i="34"/>
  <c r="C205" i="34"/>
  <c r="C219" i="11"/>
  <c r="C276" i="11"/>
  <c r="C79" i="11"/>
  <c r="C252" i="34"/>
  <c r="C189" i="34"/>
  <c r="C49" i="11"/>
  <c r="C205" i="11"/>
  <c r="C199" i="11"/>
  <c r="C55" i="34"/>
  <c r="C162" i="34"/>
  <c r="C242" i="11"/>
  <c r="C269" i="11"/>
  <c r="C92" i="34"/>
  <c r="C275" i="34"/>
  <c r="C248" i="34"/>
  <c r="C232" i="34"/>
  <c r="C63" i="34"/>
  <c r="C226" i="11"/>
  <c r="C167" i="11"/>
  <c r="C194" i="11"/>
  <c r="C280" i="11"/>
  <c r="C57" i="11"/>
  <c r="C200" i="34"/>
  <c r="C173" i="34"/>
  <c r="C183" i="11"/>
  <c r="C259" i="11"/>
  <c r="C85" i="34"/>
  <c r="C265" i="34"/>
  <c r="C282" i="34"/>
  <c r="C225" i="34"/>
  <c r="C156" i="11"/>
  <c r="C204" i="34"/>
  <c r="C74" i="11"/>
  <c r="C39" i="34"/>
  <c r="C264" i="11"/>
  <c r="C210" i="11"/>
  <c r="C136" i="11"/>
  <c r="C292" i="34"/>
  <c r="C261" i="34"/>
  <c r="C47" i="34"/>
  <c r="C126" i="11"/>
  <c r="C288" i="11"/>
  <c r="C236" i="34"/>
  <c r="C302" i="34"/>
  <c r="C80" i="34"/>
  <c r="C67" i="11"/>
  <c r="C152" i="11"/>
  <c r="C255" i="11"/>
  <c r="C211" i="11"/>
  <c r="C286" i="11"/>
  <c r="C239" i="34"/>
  <c r="C201" i="34"/>
  <c r="C195" i="11"/>
  <c r="C198" i="11"/>
  <c r="C233" i="11"/>
  <c r="C35" i="34"/>
  <c r="C158" i="34"/>
  <c r="C73" i="34"/>
  <c r="C270" i="34"/>
  <c r="C294" i="34"/>
  <c r="C217" i="34"/>
  <c r="C123" i="34"/>
  <c r="C243" i="11"/>
  <c r="C41" i="11"/>
  <c r="C48" i="11"/>
  <c r="J164" i="49"/>
  <c r="AK164" i="42"/>
  <c r="AM164" i="42"/>
  <c r="J300" i="49"/>
  <c r="AK300" i="42"/>
  <c r="AM300" i="42"/>
  <c r="J190" i="49"/>
  <c r="AK190" i="42"/>
  <c r="AM190" i="42"/>
  <c r="J172" i="49"/>
  <c r="AK172" i="42"/>
  <c r="AM172" i="42"/>
  <c r="J277" i="49"/>
  <c r="AK277" i="42"/>
  <c r="AM277" i="42"/>
  <c r="J202" i="49"/>
  <c r="AK202" i="42"/>
  <c r="AM202" i="42"/>
  <c r="J203" i="49"/>
  <c r="AK203" i="42"/>
  <c r="AM203" i="42"/>
  <c r="J281" i="49"/>
  <c r="AK281" i="42"/>
  <c r="AM281" i="42"/>
  <c r="J254" i="49"/>
  <c r="AK254" i="42"/>
  <c r="AM254" i="42"/>
  <c r="J265" i="49"/>
  <c r="AK265" i="42"/>
  <c r="AM265" i="42"/>
  <c r="J268" i="49"/>
  <c r="AK268" i="42"/>
  <c r="AM268" i="42"/>
  <c r="J250" i="49"/>
  <c r="AK250" i="42"/>
  <c r="AM250" i="42"/>
  <c r="J178" i="49"/>
  <c r="AK178" i="42"/>
  <c r="AM178" i="42"/>
  <c r="J258" i="49"/>
  <c r="AK258" i="42"/>
  <c r="AM258" i="42"/>
  <c r="J182" i="49"/>
  <c r="AK182" i="42"/>
  <c r="AM182" i="42"/>
  <c r="J148" i="49"/>
  <c r="AK148" i="42"/>
  <c r="AM148" i="42"/>
  <c r="J150" i="49"/>
  <c r="AK150" i="42"/>
  <c r="AM150" i="42"/>
  <c r="J206" i="49"/>
  <c r="AK206" i="42"/>
  <c r="AM206" i="42"/>
  <c r="J154" i="49"/>
  <c r="AK154" i="42"/>
  <c r="AM154" i="42"/>
  <c r="J231" i="49"/>
  <c r="AK231" i="42"/>
  <c r="AM231" i="42"/>
  <c r="J144" i="49"/>
  <c r="AK144" i="42"/>
  <c r="AM144" i="42"/>
  <c r="J284" i="49"/>
  <c r="AK284" i="42"/>
  <c r="AM284" i="42"/>
  <c r="J222" i="49"/>
  <c r="AK222" i="42"/>
  <c r="AM222" i="42"/>
  <c r="J66" i="49"/>
  <c r="AK66" i="42"/>
  <c r="AM66" i="42"/>
  <c r="J170" i="49"/>
  <c r="AK170" i="42"/>
  <c r="AM170" i="42"/>
  <c r="C246" i="11"/>
  <c r="C247" i="11"/>
  <c r="C227" i="11"/>
  <c r="AE190" i="42"/>
  <c r="AC190" i="42"/>
  <c r="AE206" i="42"/>
  <c r="AC206" i="42"/>
  <c r="AE202" i="42"/>
  <c r="AC202" i="42"/>
  <c r="AC148" i="42"/>
  <c r="AE148" i="42"/>
  <c r="AE222" i="42"/>
  <c r="AC222" i="42"/>
  <c r="AC231" i="42"/>
  <c r="AE231" i="42"/>
  <c r="AC144" i="42"/>
  <c r="AE144" i="42"/>
  <c r="C184" i="11"/>
  <c r="AC164" i="42"/>
  <c r="AE164" i="42"/>
  <c r="C213" i="34"/>
  <c r="C142" i="34"/>
  <c r="C197" i="34"/>
  <c r="AC284" i="42"/>
  <c r="AE284" i="42"/>
  <c r="AE281" i="42"/>
  <c r="AC281" i="42"/>
  <c r="AE250" i="42"/>
  <c r="AC250" i="42"/>
  <c r="C64" i="11"/>
  <c r="C207" i="11"/>
  <c r="C191" i="11"/>
  <c r="AE277" i="42"/>
  <c r="AC277" i="42"/>
  <c r="AC66" i="42"/>
  <c r="AE66" i="42"/>
  <c r="AE258" i="42"/>
  <c r="AC258" i="42"/>
  <c r="AE170" i="42"/>
  <c r="AC170" i="42"/>
  <c r="AC172" i="42"/>
  <c r="AE172" i="42"/>
  <c r="E65" i="33"/>
  <c r="D65" i="37" s="1"/>
  <c r="C138" i="34"/>
  <c r="AE203" i="42"/>
  <c r="AC203" i="42"/>
  <c r="AE265" i="42"/>
  <c r="AC265" i="42"/>
  <c r="AE150" i="42"/>
  <c r="AC150" i="42"/>
  <c r="C233" i="34"/>
  <c r="C182" i="34"/>
  <c r="C176" i="11"/>
  <c r="C132" i="11"/>
  <c r="C230" i="11"/>
  <c r="AC154" i="42"/>
  <c r="AE154" i="42"/>
  <c r="AC268" i="42"/>
  <c r="AE268" i="42"/>
  <c r="AC178" i="42"/>
  <c r="AE178" i="42"/>
  <c r="AE254" i="42"/>
  <c r="AC254" i="42"/>
  <c r="AE182" i="42"/>
  <c r="AC182" i="42"/>
  <c r="AC300" i="42"/>
  <c r="AE300" i="42"/>
  <c r="C295" i="34"/>
  <c r="C89" i="34"/>
  <c r="C174" i="11"/>
  <c r="E48" i="33"/>
  <c r="D48" i="37" s="1"/>
  <c r="C180" i="34"/>
  <c r="C240" i="34"/>
  <c r="C118" i="34"/>
  <c r="C304" i="11"/>
  <c r="C234" i="11"/>
  <c r="C310" i="34"/>
  <c r="C112" i="11"/>
  <c r="C83" i="11"/>
  <c r="C172" i="12"/>
  <c r="C65" i="11"/>
  <c r="E38" i="33"/>
  <c r="D38" i="37" s="1"/>
  <c r="E184" i="33"/>
  <c r="D184" i="37" s="1"/>
  <c r="C38" i="11"/>
  <c r="C190" i="34"/>
  <c r="C172" i="33"/>
  <c r="C178" i="34" s="1"/>
  <c r="C101" i="11"/>
  <c r="C26" i="11"/>
  <c r="C211" i="34"/>
  <c r="E289" i="33"/>
  <c r="D289" i="37" s="1"/>
  <c r="E105" i="33"/>
  <c r="D105" i="37" s="1"/>
  <c r="C105" i="11"/>
  <c r="E101" i="33"/>
  <c r="D101" i="37" s="1"/>
  <c r="E26" i="33"/>
  <c r="D26" i="37" s="1"/>
  <c r="C258" i="33"/>
  <c r="C264" i="9"/>
  <c r="C148" i="33"/>
  <c r="C154" i="9"/>
  <c r="E71" i="33"/>
  <c r="D71" i="37" s="1"/>
  <c r="C77" i="34"/>
  <c r="C71" i="11"/>
  <c r="E293" i="33"/>
  <c r="D293" i="37" s="1"/>
  <c r="C293" i="11"/>
  <c r="C299" i="34"/>
  <c r="C164" i="33"/>
  <c r="C170" i="9"/>
  <c r="C254" i="33"/>
  <c r="E254" i="33" s="1"/>
  <c r="D254" i="37" s="1"/>
  <c r="C260" i="9"/>
  <c r="C66" i="33"/>
  <c r="C66" i="11" s="1"/>
  <c r="C72" i="9"/>
  <c r="C190" i="33"/>
  <c r="C196" i="34" s="1"/>
  <c r="C196" i="9"/>
  <c r="C206" i="33"/>
  <c r="E206" i="33" s="1"/>
  <c r="D206" i="37" s="1"/>
  <c r="C212" i="9"/>
  <c r="C202" i="39"/>
  <c r="E202" i="39" s="1"/>
  <c r="C208" i="9"/>
  <c r="C222" i="33"/>
  <c r="C222" i="11" s="1"/>
  <c r="C228" i="9"/>
  <c r="C237" i="9"/>
  <c r="C144" i="33"/>
  <c r="C150" i="34" s="1"/>
  <c r="C150" i="9"/>
  <c r="E103" i="33"/>
  <c r="D103" i="37" s="1"/>
  <c r="C103" i="11"/>
  <c r="C132" i="34"/>
  <c r="E139" i="33"/>
  <c r="D139" i="37" s="1"/>
  <c r="C145" i="34"/>
  <c r="C139" i="11"/>
  <c r="C250" i="33"/>
  <c r="C256" i="34" s="1"/>
  <c r="C256" i="9"/>
  <c r="C306" i="9"/>
  <c r="E114" i="33"/>
  <c r="D114" i="37" s="1"/>
  <c r="C120" i="34"/>
  <c r="C114" i="11"/>
  <c r="E177" i="33"/>
  <c r="D177" i="37" s="1"/>
  <c r="C183" i="34"/>
  <c r="C177" i="11"/>
  <c r="C203" i="33"/>
  <c r="C203" i="11" s="1"/>
  <c r="C209" i="9"/>
  <c r="C274" i="9"/>
  <c r="C150" i="33"/>
  <c r="C156" i="9"/>
  <c r="C70" i="34"/>
  <c r="E86" i="33"/>
  <c r="D86" i="37" s="1"/>
  <c r="C284" i="12"/>
  <c r="C290" i="9"/>
  <c r="C283" i="9"/>
  <c r="C265" i="13"/>
  <c r="C271" i="9"/>
  <c r="C182" i="33"/>
  <c r="C182" i="11" s="1"/>
  <c r="C188" i="9"/>
  <c r="E64" i="33"/>
  <c r="D64" i="37" s="1"/>
  <c r="E44" i="33"/>
  <c r="D44" i="37" s="1"/>
  <c r="C44" i="11"/>
  <c r="C50" i="34"/>
  <c r="E96" i="33"/>
  <c r="D96" i="37" s="1"/>
  <c r="C102" i="34"/>
  <c r="C96" i="11"/>
  <c r="C281" i="33"/>
  <c r="C287" i="34" s="1"/>
  <c r="C287" i="9"/>
  <c r="C170" i="33"/>
  <c r="E170" i="33" s="1"/>
  <c r="D170" i="37" s="1"/>
  <c r="C176" i="9"/>
  <c r="C178" i="9"/>
  <c r="E196" i="33"/>
  <c r="D196" i="37" s="1"/>
  <c r="C202" i="34"/>
  <c r="C196" i="11"/>
  <c r="C154" i="33"/>
  <c r="C160" i="9"/>
  <c r="C184" i="9"/>
  <c r="C267" i="11"/>
  <c r="E267" i="33"/>
  <c r="D267" i="37" s="1"/>
  <c r="E9" i="33"/>
  <c r="D9" i="37" s="1"/>
  <c r="E218" i="33"/>
  <c r="D218" i="37" s="1"/>
  <c r="E87" i="33"/>
  <c r="D87" i="37" s="1"/>
  <c r="E45" i="33"/>
  <c r="D45" i="37" s="1"/>
  <c r="E146" i="33"/>
  <c r="D146" i="37" s="1"/>
  <c r="E215" i="33"/>
  <c r="D215" i="37" s="1"/>
  <c r="E251" i="33"/>
  <c r="D251" i="37" s="1"/>
  <c r="C22" i="34"/>
  <c r="E16" i="33"/>
  <c r="D16" i="37" s="1"/>
  <c r="E158" i="33"/>
  <c r="D158" i="37" s="1"/>
  <c r="E25" i="33"/>
  <c r="D25" i="37" s="1"/>
  <c r="C91" i="11"/>
  <c r="E91" i="33"/>
  <c r="D91" i="37" s="1"/>
  <c r="C281" i="34"/>
  <c r="E275" i="33"/>
  <c r="D275" i="37" s="1"/>
  <c r="E75" i="33"/>
  <c r="D75" i="37" s="1"/>
  <c r="E99" i="33"/>
  <c r="D99" i="37" s="1"/>
  <c r="C186" i="11"/>
  <c r="E186" i="33"/>
  <c r="D186" i="37" s="1"/>
  <c r="E50" i="33"/>
  <c r="D50" i="37" s="1"/>
  <c r="E127" i="33"/>
  <c r="D127" i="37" s="1"/>
  <c r="C69" i="11"/>
  <c r="E69" i="33"/>
  <c r="D69" i="37" s="1"/>
  <c r="E283" i="33"/>
  <c r="D283" i="37" s="1"/>
  <c r="E160" i="33"/>
  <c r="D160" i="37" s="1"/>
  <c r="C166" i="11"/>
  <c r="E166" i="33"/>
  <c r="D166" i="37" s="1"/>
  <c r="E214" i="33"/>
  <c r="D214" i="37" s="1"/>
  <c r="E82" i="33"/>
  <c r="D82" i="37" s="1"/>
  <c r="E292" i="33"/>
  <c r="D292" i="37" s="1"/>
  <c r="E168" i="33"/>
  <c r="D168" i="37" s="1"/>
  <c r="C223" i="11"/>
  <c r="E223" i="33"/>
  <c r="D223" i="37" s="1"/>
  <c r="C90" i="11"/>
  <c r="E90" i="33"/>
  <c r="D90" i="37" s="1"/>
  <c r="E235" i="33"/>
  <c r="D235" i="37" s="1"/>
  <c r="C128" i="11"/>
  <c r="E128" i="33"/>
  <c r="D128" i="37" s="1"/>
  <c r="E24" i="33"/>
  <c r="D24" i="37" s="1"/>
  <c r="E263" i="33"/>
  <c r="D263" i="37" s="1"/>
  <c r="E239" i="33"/>
  <c r="D239" i="37" s="1"/>
  <c r="E142" i="33"/>
  <c r="D142" i="37" s="1"/>
  <c r="E162" i="33"/>
  <c r="C291" i="34"/>
  <c r="E285" i="33"/>
  <c r="D285" i="37" s="1"/>
  <c r="E129" i="33"/>
  <c r="D129" i="37" s="1"/>
  <c r="E238" i="33"/>
  <c r="D238" i="37" s="1"/>
  <c r="E78" i="33"/>
  <c r="D78" i="37" s="1"/>
  <c r="C105" i="34"/>
  <c r="C222" i="13"/>
  <c r="C99" i="11"/>
  <c r="C148" i="34"/>
  <c r="C229" i="34"/>
  <c r="C170" i="13"/>
  <c r="C251" i="11"/>
  <c r="D60" i="37"/>
  <c r="C66" i="34"/>
  <c r="C60" i="11"/>
  <c r="C214" i="11"/>
  <c r="C269" i="34"/>
  <c r="C300" i="13"/>
  <c r="C239" i="11"/>
  <c r="C168" i="11"/>
  <c r="C66" i="12"/>
  <c r="C300" i="12"/>
  <c r="C300" i="39"/>
  <c r="E300" i="39" s="1"/>
  <c r="C263" i="11"/>
  <c r="C75" i="34"/>
  <c r="C87" i="11"/>
  <c r="C82" i="11"/>
  <c r="C66" i="39"/>
  <c r="E66" i="39" s="1"/>
  <c r="C150" i="12"/>
  <c r="C144" i="39"/>
  <c r="E144" i="39" s="1"/>
  <c r="C133" i="34"/>
  <c r="C150" i="13"/>
  <c r="C148" i="13"/>
  <c r="C144" i="13"/>
  <c r="C127" i="11"/>
  <c r="C81" i="34"/>
  <c r="C75" i="11"/>
  <c r="C281" i="12"/>
  <c r="C172" i="13"/>
  <c r="C66" i="13"/>
  <c r="C235" i="11"/>
  <c r="C97" i="34"/>
  <c r="C241" i="34"/>
  <c r="C178" i="13"/>
  <c r="C250" i="12"/>
  <c r="C206" i="12"/>
  <c r="C33" i="34"/>
  <c r="C27" i="11"/>
  <c r="D27" i="37"/>
  <c r="C238" i="11"/>
  <c r="C281" i="39"/>
  <c r="E281" i="39" s="1"/>
  <c r="C300" i="33"/>
  <c r="C84" i="34"/>
  <c r="C231" i="33"/>
  <c r="C281" i="13"/>
  <c r="C222" i="39"/>
  <c r="E222" i="39" s="1"/>
  <c r="C170" i="39"/>
  <c r="E170" i="39" s="1"/>
  <c r="C144" i="12"/>
  <c r="C174" i="34"/>
  <c r="C220" i="34"/>
  <c r="C285" i="11"/>
  <c r="C148" i="12"/>
  <c r="C168" i="34"/>
  <c r="C231" i="39"/>
  <c r="E231" i="39" s="1"/>
  <c r="C231" i="13"/>
  <c r="C268" i="33"/>
  <c r="C218" i="11"/>
  <c r="C162" i="11"/>
  <c r="C224" i="34"/>
  <c r="C202" i="33"/>
  <c r="C268" i="12"/>
  <c r="C202" i="12"/>
  <c r="C268" i="39"/>
  <c r="E268" i="39" s="1"/>
  <c r="C202" i="13"/>
  <c r="C25" i="11"/>
  <c r="C154" i="12"/>
  <c r="C154" i="13"/>
  <c r="C190" i="12"/>
  <c r="C250" i="13"/>
  <c r="C78" i="11"/>
  <c r="C275" i="11"/>
  <c r="C178" i="12"/>
  <c r="C257" i="34"/>
  <c r="D162" i="37"/>
  <c r="C250" i="39"/>
  <c r="E250" i="39" s="1"/>
  <c r="C268" i="13"/>
  <c r="C222" i="12"/>
  <c r="C258" i="13"/>
  <c r="C277" i="33"/>
  <c r="C142" i="11"/>
  <c r="C150" i="39"/>
  <c r="E150" i="39" s="1"/>
  <c r="C148" i="39"/>
  <c r="E148" i="39" s="1"/>
  <c r="C178" i="39"/>
  <c r="E178" i="39" s="1"/>
  <c r="C254" i="13"/>
  <c r="C154" i="39"/>
  <c r="E154" i="39" s="1"/>
  <c r="C178" i="33"/>
  <c r="C24" i="11"/>
  <c r="C30" i="34"/>
  <c r="D47" i="37"/>
  <c r="C47" i="11"/>
  <c r="C53" i="34"/>
  <c r="C135" i="34"/>
  <c r="C129" i="11"/>
  <c r="C164" i="39"/>
  <c r="E164" i="39" s="1"/>
  <c r="C182" i="12"/>
  <c r="C190" i="13"/>
  <c r="C164" i="13"/>
  <c r="C182" i="13"/>
  <c r="C265" i="33"/>
  <c r="E265" i="33" s="1"/>
  <c r="C164" i="12"/>
  <c r="C277" i="12"/>
  <c r="C284" i="39"/>
  <c r="E284" i="39" s="1"/>
  <c r="C304" i="34"/>
  <c r="D298" i="37"/>
  <c r="C298" i="11"/>
  <c r="C182" i="39"/>
  <c r="E182" i="39" s="1"/>
  <c r="C245" i="34"/>
  <c r="C244" i="34"/>
  <c r="C203" i="39"/>
  <c r="E203" i="39" s="1"/>
  <c r="C254" i="39"/>
  <c r="E254" i="39" s="1"/>
  <c r="C265" i="12"/>
  <c r="C258" i="12"/>
  <c r="C56" i="34"/>
  <c r="C206" i="13"/>
  <c r="C164" i="34"/>
  <c r="C203" i="12"/>
  <c r="C254" i="12"/>
  <c r="C265" i="39"/>
  <c r="E265" i="39" s="1"/>
  <c r="C258" i="39"/>
  <c r="E258" i="39" s="1"/>
  <c r="C50" i="11"/>
  <c r="C134" i="34"/>
  <c r="C206" i="39"/>
  <c r="E206" i="39" s="1"/>
  <c r="C203" i="13"/>
  <c r="C277" i="39"/>
  <c r="E277" i="39" s="1"/>
  <c r="C284" i="13"/>
  <c r="C221" i="11"/>
  <c r="C227" i="34"/>
  <c r="D221" i="37"/>
  <c r="D8" i="37"/>
  <c r="C8" i="11"/>
  <c r="C14" i="34"/>
  <c r="C158" i="11"/>
  <c r="C93" i="34"/>
  <c r="C9" i="11"/>
  <c r="C25" i="34"/>
  <c r="C19" i="11"/>
  <c r="D19" i="37"/>
  <c r="C192" i="34"/>
  <c r="C31" i="34"/>
  <c r="C172" i="34"/>
  <c r="C170" i="12"/>
  <c r="C277" i="13"/>
  <c r="C190" i="39"/>
  <c r="E190" i="39" s="1"/>
  <c r="C248" i="11"/>
  <c r="C254" i="34"/>
  <c r="D248" i="37"/>
  <c r="C284" i="33"/>
  <c r="E284" i="33" s="1"/>
  <c r="C251" i="34"/>
  <c r="D245" i="37"/>
  <c r="C245" i="11"/>
  <c r="D84" i="37"/>
  <c r="C90" i="34"/>
  <c r="C84" i="11"/>
  <c r="C298" i="34"/>
  <c r="C232" i="11"/>
  <c r="C238" i="34"/>
  <c r="D232" i="37"/>
  <c r="C292" i="11"/>
  <c r="C166" i="34"/>
  <c r="C96" i="34"/>
  <c r="C289" i="34"/>
  <c r="C152" i="34"/>
  <c r="C221" i="34"/>
  <c r="C15" i="34"/>
  <c r="C146" i="11"/>
  <c r="C215" i="11"/>
  <c r="C273" i="34"/>
  <c r="C160" i="11"/>
  <c r="C88" i="11"/>
  <c r="D88" i="37"/>
  <c r="C94" i="34"/>
  <c r="C283" i="11"/>
  <c r="C140" i="11"/>
  <c r="C146" i="34"/>
  <c r="D140" i="37"/>
  <c r="M275" i="42"/>
  <c r="T275" i="42" s="1"/>
  <c r="E203" i="33" l="1"/>
  <c r="D203" i="37" s="1"/>
  <c r="C144" i="11"/>
  <c r="C264" i="34"/>
  <c r="C228" i="34"/>
  <c r="C160" i="34"/>
  <c r="C150" i="11"/>
  <c r="C188" i="34"/>
  <c r="C212" i="34"/>
  <c r="C172" i="11"/>
  <c r="E150" i="33"/>
  <c r="D150" i="37" s="1"/>
  <c r="E172" i="33"/>
  <c r="D172" i="37" s="1"/>
  <c r="E164" i="33"/>
  <c r="D164" i="37" s="1"/>
  <c r="C164" i="11"/>
  <c r="C170" i="34"/>
  <c r="C281" i="11"/>
  <c r="C156" i="34"/>
  <c r="E222" i="33"/>
  <c r="D222" i="37" s="1"/>
  <c r="C258" i="11"/>
  <c r="C209" i="34"/>
  <c r="C260" i="34"/>
  <c r="C254" i="11"/>
  <c r="C148" i="11"/>
  <c r="E148" i="33"/>
  <c r="D148" i="37" s="1"/>
  <c r="C72" i="34"/>
  <c r="E66" i="33"/>
  <c r="D66" i="37" s="1"/>
  <c r="C250" i="11"/>
  <c r="E250" i="33"/>
  <c r="D250" i="37" s="1"/>
  <c r="C170" i="11"/>
  <c r="C154" i="11"/>
  <c r="E154" i="33"/>
  <c r="D154" i="37" s="1"/>
  <c r="E190" i="33"/>
  <c r="D190" i="37" s="1"/>
  <c r="E144" i="33"/>
  <c r="D144" i="37" s="1"/>
  <c r="C190" i="11"/>
  <c r="C176" i="34"/>
  <c r="E182" i="33"/>
  <c r="D182" i="37" s="1"/>
  <c r="E258" i="33"/>
  <c r="D258" i="37" s="1"/>
  <c r="C154" i="34"/>
  <c r="C206" i="11"/>
  <c r="E281" i="33"/>
  <c r="D281" i="37" s="1"/>
  <c r="E268" i="33"/>
  <c r="D268" i="37" s="1"/>
  <c r="C178" i="11"/>
  <c r="E178" i="33"/>
  <c r="D178" i="37" s="1"/>
  <c r="E231" i="33"/>
  <c r="D231" i="37" s="1"/>
  <c r="E300" i="33"/>
  <c r="D300" i="37" s="1"/>
  <c r="C277" i="11"/>
  <c r="E277" i="33"/>
  <c r="D277" i="37" s="1"/>
  <c r="E202" i="33"/>
  <c r="D202" i="37" s="1"/>
  <c r="C184" i="34"/>
  <c r="C208" i="34"/>
  <c r="C202" i="11"/>
  <c r="C231" i="11"/>
  <c r="C237" i="34"/>
  <c r="C300" i="11"/>
  <c r="C306" i="34"/>
  <c r="C268" i="11"/>
  <c r="C274" i="34"/>
  <c r="C283" i="34"/>
  <c r="C271" i="34"/>
  <c r="D265" i="37"/>
  <c r="C265" i="11"/>
  <c r="D284" i="37"/>
  <c r="C290" i="34"/>
  <c r="C284" i="11"/>
  <c r="M235" i="42" l="1"/>
  <c r="T235" i="42" s="1"/>
  <c r="M68" i="42"/>
  <c r="T68" i="42" s="1"/>
  <c r="M155" i="42"/>
  <c r="T155" i="42" s="1"/>
  <c r="M21" i="42" l="1"/>
  <c r="T21" i="42" s="1"/>
  <c r="F59" i="48" l="1"/>
  <c r="E59" i="48"/>
  <c r="D59" i="48"/>
  <c r="C59" i="48" l="1"/>
  <c r="S306" i="42" l="1"/>
  <c r="H306" i="42"/>
  <c r="I306" i="42"/>
  <c r="J306" i="42"/>
  <c r="N306" i="42" l="1"/>
  <c r="J5" i="12" l="1"/>
  <c r="G306" i="42" l="1"/>
  <c r="K306" i="42"/>
  <c r="L306" i="42"/>
  <c r="D306" i="42"/>
  <c r="E306" i="42"/>
  <c r="C306" i="42"/>
  <c r="D6" i="19" l="1"/>
  <c r="H5" i="33"/>
  <c r="I5" i="33"/>
  <c r="J5" i="33"/>
  <c r="K5" i="33"/>
  <c r="H4" i="33"/>
  <c r="I4" i="33"/>
  <c r="J4" i="33"/>
  <c r="K4" i="33"/>
  <c r="M162" i="42" l="1"/>
  <c r="T162" i="42" s="1"/>
  <c r="F6" i="37" l="1"/>
  <c r="Q6" i="19"/>
  <c r="C6" i="25" s="1"/>
  <c r="Z5" i="42" l="1"/>
  <c r="U306" i="42" l="1"/>
  <c r="V306" i="42"/>
  <c r="W306" i="42"/>
  <c r="A236" i="49" l="1"/>
  <c r="A237" i="49"/>
  <c r="A238" i="49"/>
  <c r="A239" i="49"/>
  <c r="B236" i="49" l="1"/>
  <c r="A6" i="11" l="1"/>
  <c r="M236" i="42" l="1"/>
  <c r="T236" i="42" s="1"/>
  <c r="K6" i="19" l="1"/>
  <c r="N6" i="19"/>
  <c r="G6" i="19"/>
  <c r="F6" i="19"/>
  <c r="M6" i="19"/>
  <c r="E6" i="19"/>
  <c r="M230" i="42"/>
  <c r="T230" i="42" s="1"/>
  <c r="M237" i="42" l="1"/>
  <c r="T237" i="42" s="1"/>
  <c r="M212" i="42"/>
  <c r="T212" i="42" s="1"/>
  <c r="M163" i="42"/>
  <c r="T163" i="42" s="1"/>
  <c r="A212" i="49" l="1"/>
  <c r="B212" i="49"/>
  <c r="A163" i="49"/>
  <c r="B163" i="49"/>
  <c r="L5" i="11" l="1"/>
  <c r="G5" i="11"/>
  <c r="F88" i="11" l="1"/>
  <c r="G88" i="11" s="1"/>
  <c r="F60" i="11"/>
  <c r="G60" i="11" s="1"/>
  <c r="F50" i="11"/>
  <c r="G50" i="11" s="1"/>
  <c r="F233" i="11"/>
  <c r="G233" i="11" s="1"/>
  <c r="F171" i="11"/>
  <c r="G171" i="11" s="1"/>
  <c r="F256" i="11"/>
  <c r="G256" i="11" s="1"/>
  <c r="F134" i="11"/>
  <c r="G134" i="11" s="1"/>
  <c r="F279" i="11"/>
  <c r="G279" i="11" s="1"/>
  <c r="F135" i="11"/>
  <c r="G135" i="11" s="1"/>
  <c r="F76" i="11"/>
  <c r="G76" i="11" s="1"/>
  <c r="F289" i="11"/>
  <c r="G289" i="11" s="1"/>
  <c r="F261" i="11"/>
  <c r="G261" i="11" s="1"/>
  <c r="F36" i="11"/>
  <c r="G36" i="11" s="1"/>
  <c r="F263" i="11"/>
  <c r="G263" i="11" s="1"/>
  <c r="F252" i="11"/>
  <c r="G252" i="11" s="1"/>
  <c r="F62" i="11"/>
  <c r="G62" i="11" s="1"/>
  <c r="F221" i="11"/>
  <c r="G221" i="11" s="1"/>
  <c r="F299" i="11"/>
  <c r="G299" i="11" s="1"/>
  <c r="F213" i="11"/>
  <c r="G213" i="11" s="1"/>
  <c r="F11" i="11"/>
  <c r="G11" i="11" s="1"/>
  <c r="F20" i="11"/>
  <c r="G20" i="11" s="1"/>
  <c r="F126" i="11"/>
  <c r="G126" i="11" s="1"/>
  <c r="F274" i="11"/>
  <c r="G274" i="11" s="1"/>
  <c r="F163" i="11"/>
  <c r="G163" i="11" s="1"/>
  <c r="F302" i="11"/>
  <c r="G302" i="11" s="1"/>
  <c r="F111" i="11"/>
  <c r="G111" i="11" s="1"/>
  <c r="F56" i="11"/>
  <c r="G56" i="11" s="1"/>
  <c r="F23" i="11"/>
  <c r="G23" i="11" s="1"/>
  <c r="F19" i="11"/>
  <c r="G19" i="11" s="1"/>
  <c r="F236" i="11"/>
  <c r="G236" i="11" s="1"/>
  <c r="F179" i="11"/>
  <c r="G179" i="11" s="1"/>
  <c r="F133" i="11"/>
  <c r="G133" i="11" s="1"/>
  <c r="F129" i="11"/>
  <c r="G129" i="11" s="1"/>
  <c r="F73" i="11"/>
  <c r="G73" i="11" s="1"/>
  <c r="F84" i="11"/>
  <c r="G84" i="11" s="1"/>
  <c r="F282" i="11"/>
  <c r="G282" i="11" s="1"/>
  <c r="F48" i="11"/>
  <c r="G48" i="11" s="1"/>
  <c r="F253" i="11"/>
  <c r="G253" i="11" s="1"/>
  <c r="F165" i="11"/>
  <c r="G165" i="11" s="1"/>
  <c r="F224" i="11"/>
  <c r="G224" i="11" s="1"/>
  <c r="F118" i="11"/>
  <c r="G118" i="11" s="1"/>
  <c r="F205" i="11"/>
  <c r="G205" i="11" s="1"/>
  <c r="F130" i="11"/>
  <c r="G130" i="11" s="1"/>
  <c r="F291" i="11"/>
  <c r="G291" i="11" s="1"/>
  <c r="F143" i="11"/>
  <c r="G143" i="11" s="1"/>
  <c r="F115" i="11"/>
  <c r="G115" i="11" s="1"/>
  <c r="F28" i="11"/>
  <c r="G28" i="11" s="1"/>
  <c r="F80" i="11"/>
  <c r="G80" i="11" s="1"/>
  <c r="F121" i="11"/>
  <c r="G121" i="11" s="1"/>
  <c r="F53" i="11"/>
  <c r="G53" i="11" s="1"/>
  <c r="F29" i="11"/>
  <c r="G29" i="11" s="1"/>
  <c r="F32" i="11"/>
  <c r="G32" i="11" s="1"/>
  <c r="F78" i="11"/>
  <c r="G78" i="11" s="1"/>
  <c r="F58" i="11"/>
  <c r="G58" i="11" s="1"/>
  <c r="F138" i="11"/>
  <c r="G138" i="11" s="1"/>
  <c r="F147" i="11"/>
  <c r="G147" i="11" s="1"/>
  <c r="F200" i="11"/>
  <c r="G200" i="11" s="1"/>
  <c r="F18" i="11"/>
  <c r="G18" i="11" s="1"/>
  <c r="F114" i="11"/>
  <c r="G114" i="11" s="1"/>
  <c r="F188" i="11"/>
  <c r="G188" i="11" s="1"/>
  <c r="F14" i="11"/>
  <c r="G14" i="11" s="1"/>
  <c r="F108" i="11"/>
  <c r="G108" i="11" s="1"/>
  <c r="F102" i="11"/>
  <c r="G102" i="11" s="1"/>
  <c r="F26" i="11"/>
  <c r="G26" i="11" s="1"/>
  <c r="F96" i="11"/>
  <c r="G96" i="11" s="1"/>
  <c r="F105" i="11"/>
  <c r="G105" i="11" s="1"/>
  <c r="F106" i="11"/>
  <c r="G106" i="11" s="1"/>
  <c r="F64" i="11"/>
  <c r="G64" i="11" s="1"/>
  <c r="F37" i="11"/>
  <c r="G37" i="11" s="1"/>
  <c r="F248" i="11"/>
  <c r="G248" i="11" s="1"/>
  <c r="F103" i="11"/>
  <c r="G103" i="11" s="1"/>
  <c r="F44" i="11"/>
  <c r="G44" i="11" s="1"/>
  <c r="F63" i="11"/>
  <c r="G63" i="11" s="1"/>
  <c r="F290" i="11"/>
  <c r="G290" i="11" s="1"/>
  <c r="F92" i="11"/>
  <c r="G92" i="11" s="1"/>
  <c r="F141" i="11"/>
  <c r="G141" i="11" s="1"/>
  <c r="F124" i="11"/>
  <c r="G124" i="11" s="1"/>
  <c r="F116" i="11"/>
  <c r="G116" i="11" s="1"/>
  <c r="F13" i="11"/>
  <c r="G13" i="11" s="1"/>
  <c r="F131" i="11"/>
  <c r="G131" i="11" s="1"/>
  <c r="F101" i="11"/>
  <c r="G101" i="11" s="1"/>
  <c r="F137" i="11"/>
  <c r="G137" i="11" s="1"/>
  <c r="F157" i="11"/>
  <c r="G157" i="11" s="1"/>
  <c r="F104" i="11"/>
  <c r="G104" i="11" s="1"/>
  <c r="F52" i="11"/>
  <c r="G52" i="11" s="1"/>
  <c r="F169" i="11"/>
  <c r="G169" i="11" s="1"/>
  <c r="F8" i="11"/>
  <c r="G8" i="11" s="1"/>
  <c r="F201" i="11"/>
  <c r="G201" i="11" s="1"/>
  <c r="F59" i="11"/>
  <c r="G59" i="11" s="1"/>
  <c r="F173" i="11"/>
  <c r="G173" i="11" s="1"/>
  <c r="F257" i="11"/>
  <c r="G257" i="11" s="1"/>
  <c r="F47" i="11"/>
  <c r="G47" i="11" s="1"/>
  <c r="F286" i="11"/>
  <c r="G286" i="11" s="1"/>
  <c r="F208" i="11"/>
  <c r="G208" i="11" s="1"/>
  <c r="F69" i="11"/>
  <c r="G69" i="11" s="1"/>
  <c r="F110" i="11"/>
  <c r="G110" i="11" s="1"/>
  <c r="F123" i="11"/>
  <c r="G123" i="11" s="1"/>
  <c r="F93" i="11"/>
  <c r="G93" i="11" s="1"/>
  <c r="F139" i="11"/>
  <c r="G139" i="11" s="1"/>
  <c r="F51" i="11"/>
  <c r="G51" i="11" s="1"/>
  <c r="F119" i="11"/>
  <c r="G119" i="11" s="1"/>
  <c r="F260" i="11"/>
  <c r="G260" i="11" s="1"/>
  <c r="F293" i="11"/>
  <c r="G293" i="11" s="1"/>
  <c r="F303" i="11"/>
  <c r="G303" i="11" s="1"/>
  <c r="F270" i="11"/>
  <c r="G270" i="11" s="1"/>
  <c r="F225" i="11"/>
  <c r="G225" i="11" s="1"/>
  <c r="F85" i="11"/>
  <c r="G85" i="11" s="1"/>
  <c r="F97" i="11"/>
  <c r="G97" i="11" s="1"/>
  <c r="F122" i="11"/>
  <c r="G122" i="11" s="1"/>
  <c r="F125" i="11"/>
  <c r="G125" i="11" s="1"/>
  <c r="F295" i="11"/>
  <c r="G295" i="11" s="1"/>
  <c r="F71" i="11"/>
  <c r="G71" i="11" s="1"/>
  <c r="F161" i="11"/>
  <c r="G161" i="11" s="1"/>
  <c r="F184" i="11"/>
  <c r="G184" i="11" s="1"/>
  <c r="F72" i="11"/>
  <c r="G72" i="11" s="1"/>
  <c r="F117" i="11"/>
  <c r="G117" i="11" s="1"/>
  <c r="F77" i="11"/>
  <c r="G77" i="11" s="1"/>
  <c r="F46" i="11"/>
  <c r="G46" i="11" s="1"/>
  <c r="F297" i="11"/>
  <c r="G297" i="11" s="1"/>
  <c r="F7" i="11"/>
  <c r="G7" i="11" s="1"/>
  <c r="F189" i="11"/>
  <c r="G189" i="11" s="1"/>
  <c r="F68" i="11"/>
  <c r="G68" i="11" s="1"/>
  <c r="F175" i="11"/>
  <c r="G175" i="11" s="1"/>
  <c r="F153" i="11"/>
  <c r="G153" i="11" s="1"/>
  <c r="F149" i="11"/>
  <c r="G149" i="11" s="1"/>
  <c r="F271" i="11"/>
  <c r="G271" i="11" s="1"/>
  <c r="F197" i="11"/>
  <c r="G197" i="11" s="1"/>
  <c r="F39" i="11"/>
  <c r="G39" i="11" s="1"/>
  <c r="F109" i="11"/>
  <c r="G109" i="11" s="1"/>
  <c r="F241" i="11"/>
  <c r="G241" i="11" s="1"/>
  <c r="F196" i="11"/>
  <c r="G196" i="11" s="1"/>
  <c r="F159" i="11"/>
  <c r="G159" i="11" s="1"/>
  <c r="F30" i="11"/>
  <c r="G30" i="11" s="1"/>
  <c r="F232" i="11"/>
  <c r="G232" i="11" s="1"/>
  <c r="F24" i="11"/>
  <c r="G24" i="11" s="1"/>
  <c r="F100" i="11"/>
  <c r="G100" i="11" s="1"/>
  <c r="F54" i="11"/>
  <c r="G54" i="11" s="1"/>
  <c r="F140" i="11"/>
  <c r="G140" i="11" s="1"/>
  <c r="F145" i="11"/>
  <c r="G145" i="11" s="1"/>
  <c r="F55" i="11"/>
  <c r="G55" i="11" s="1"/>
  <c r="F107" i="11"/>
  <c r="G107" i="11" s="1"/>
  <c r="F38" i="11"/>
  <c r="G38" i="11" s="1"/>
  <c r="F34" i="11"/>
  <c r="G34" i="11" s="1"/>
  <c r="F193" i="11"/>
  <c r="G193" i="11" s="1"/>
  <c r="F181" i="11"/>
  <c r="G181" i="11" s="1"/>
  <c r="F31" i="11"/>
  <c r="G31" i="11" s="1"/>
  <c r="F10" i="11"/>
  <c r="G10" i="11" s="1"/>
  <c r="F21" i="11"/>
  <c r="G21" i="11" s="1"/>
  <c r="F192" i="11"/>
  <c r="G192" i="11" s="1"/>
  <c r="F95" i="11"/>
  <c r="G95" i="11" s="1"/>
  <c r="F177" i="11"/>
  <c r="G177" i="11" s="1"/>
  <c r="F86" i="11"/>
  <c r="G86" i="11" s="1"/>
  <c r="F305" i="11"/>
  <c r="G305" i="11" s="1"/>
  <c r="F43" i="11"/>
  <c r="G43" i="11" s="1"/>
  <c r="F217" i="11"/>
  <c r="G217" i="11" s="1"/>
  <c r="F240" i="11"/>
  <c r="G240" i="11" s="1"/>
  <c r="F61" i="11"/>
  <c r="G61" i="11" s="1"/>
  <c r="F89" i="11"/>
  <c r="G89" i="11" s="1"/>
  <c r="F216" i="11"/>
  <c r="G216" i="11" s="1"/>
  <c r="F40" i="11"/>
  <c r="G40" i="11" s="1"/>
  <c r="F16" i="11"/>
  <c r="G16" i="11" s="1"/>
  <c r="F15" i="11"/>
  <c r="G15" i="11" s="1"/>
  <c r="F70" i="11"/>
  <c r="G70" i="11" s="1"/>
  <c r="F229" i="11"/>
  <c r="G229" i="11" s="1"/>
  <c r="F151" i="11"/>
  <c r="G151" i="11" s="1"/>
  <c r="F120" i="11"/>
  <c r="G120" i="11" s="1"/>
  <c r="F278" i="11"/>
  <c r="G278" i="11" s="1"/>
  <c r="F301" i="11"/>
  <c r="G301" i="11" s="1"/>
  <c r="F249" i="11"/>
  <c r="G249" i="11" s="1"/>
  <c r="F262" i="11"/>
  <c r="G262" i="11" s="1"/>
  <c r="F45" i="11"/>
  <c r="G45" i="11" s="1"/>
  <c r="F79" i="11"/>
  <c r="G79" i="11" s="1"/>
  <c r="F204" i="11"/>
  <c r="G204" i="11" s="1"/>
  <c r="F22" i="11"/>
  <c r="G22" i="11" s="1"/>
  <c r="F81" i="11"/>
  <c r="G81" i="11" s="1"/>
  <c r="F35" i="11"/>
  <c r="G35" i="11" s="1"/>
  <c r="F113" i="11"/>
  <c r="G113" i="11" s="1"/>
  <c r="F298" i="11"/>
  <c r="G298" i="11" s="1"/>
  <c r="F42" i="11"/>
  <c r="G42" i="11" s="1"/>
  <c r="F294" i="11"/>
  <c r="G294" i="11" s="1"/>
  <c r="F65" i="11"/>
  <c r="G65" i="11" s="1"/>
  <c r="F266" i="11"/>
  <c r="G266" i="11" s="1"/>
  <c r="F12" i="11"/>
  <c r="G12" i="11" s="1"/>
  <c r="F185" i="11"/>
  <c r="G185" i="11" s="1"/>
  <c r="F180" i="11"/>
  <c r="G180" i="11" s="1"/>
  <c r="F245" i="11"/>
  <c r="G245" i="11" s="1"/>
  <c r="F94" i="11"/>
  <c r="G94" i="11" s="1"/>
  <c r="F237" i="11"/>
  <c r="G237" i="11" s="1"/>
  <c r="F98" i="11"/>
  <c r="G98" i="11" s="1"/>
  <c r="F220" i="11"/>
  <c r="G220" i="11" s="1"/>
  <c r="F27" i="11"/>
  <c r="G27" i="11" s="1"/>
  <c r="F99" i="11"/>
  <c r="G99" i="11" s="1"/>
  <c r="F127" i="11"/>
  <c r="G127" i="11" s="1"/>
  <c r="F228" i="11"/>
  <c r="G228" i="11" s="1"/>
  <c r="F212" i="11"/>
  <c r="G212" i="11" s="1"/>
  <c r="F167" i="11"/>
  <c r="G167" i="11" s="1"/>
  <c r="F244" i="11"/>
  <c r="G244" i="11" s="1"/>
  <c r="F209" i="11"/>
  <c r="G209" i="11" s="1"/>
  <c r="F155" i="11"/>
  <c r="G155" i="11" s="1"/>
  <c r="F277" i="11"/>
  <c r="G277" i="11" s="1"/>
  <c r="F255" i="11"/>
  <c r="G255" i="11" s="1"/>
  <c r="F230" i="11"/>
  <c r="G230" i="11" s="1"/>
  <c r="F190" i="11"/>
  <c r="G190" i="11" s="1"/>
  <c r="F281" i="11"/>
  <c r="G281" i="11" s="1"/>
  <c r="F246" i="11"/>
  <c r="G246" i="11" s="1"/>
  <c r="F219" i="11"/>
  <c r="G219" i="11" s="1"/>
  <c r="F202" i="11"/>
  <c r="G202" i="11" s="1"/>
  <c r="F250" i="11"/>
  <c r="G250" i="11" s="1"/>
  <c r="F112" i="11"/>
  <c r="G112" i="11" s="1"/>
  <c r="F194" i="11"/>
  <c r="G194" i="11" s="1"/>
  <c r="F215" i="11"/>
  <c r="G215" i="11" s="1"/>
  <c r="F91" i="11"/>
  <c r="G91" i="11" s="1"/>
  <c r="F272" i="11"/>
  <c r="G272" i="11" s="1"/>
  <c r="F223" i="11"/>
  <c r="G223" i="11" s="1"/>
  <c r="F235" i="11"/>
  <c r="G235" i="11" s="1"/>
  <c r="F144" i="11"/>
  <c r="G144" i="11" s="1"/>
  <c r="F273" i="11"/>
  <c r="G273" i="11" s="1"/>
  <c r="F150" i="11"/>
  <c r="G150" i="11" s="1"/>
  <c r="F164" i="11"/>
  <c r="G164" i="11" s="1"/>
  <c r="F251" i="11"/>
  <c r="G251" i="11" s="1"/>
  <c r="F182" i="11"/>
  <c r="G182" i="11" s="1"/>
  <c r="F264" i="11"/>
  <c r="G264" i="11" s="1"/>
  <c r="F268" i="11"/>
  <c r="G268" i="11" s="1"/>
  <c r="F183" i="11"/>
  <c r="G183" i="11" s="1"/>
  <c r="F67" i="11"/>
  <c r="G67" i="11" s="1"/>
  <c r="F33" i="11"/>
  <c r="G33" i="11" s="1"/>
  <c r="F178" i="11"/>
  <c r="G178" i="11" s="1"/>
  <c r="F174" i="11"/>
  <c r="G174" i="11" s="1"/>
  <c r="F276" i="11"/>
  <c r="G276" i="11" s="1"/>
  <c r="F247" i="11"/>
  <c r="G247" i="11" s="1"/>
  <c r="F170" i="11"/>
  <c r="G170" i="11" s="1"/>
  <c r="F203" i="11"/>
  <c r="G203" i="11" s="1"/>
  <c r="F90" i="11"/>
  <c r="G90" i="11" s="1"/>
  <c r="F74" i="11"/>
  <c r="G74" i="11" s="1"/>
  <c r="F176" i="11"/>
  <c r="G176" i="11" s="1"/>
  <c r="F172" i="11"/>
  <c r="G172" i="11" s="1"/>
  <c r="F41" i="11"/>
  <c r="G41" i="11" s="1"/>
  <c r="F158" i="11"/>
  <c r="G158" i="11" s="1"/>
  <c r="F275" i="11"/>
  <c r="G275" i="11" s="1"/>
  <c r="F148" i="11"/>
  <c r="G148" i="11" s="1"/>
  <c r="F218" i="11"/>
  <c r="G218" i="11" s="1"/>
  <c r="F258" i="11"/>
  <c r="G258" i="11" s="1"/>
  <c r="F57" i="11"/>
  <c r="G57" i="11" s="1"/>
  <c r="F288" i="11"/>
  <c r="G288" i="11" s="1"/>
  <c r="F222" i="11"/>
  <c r="G222" i="11" s="1"/>
  <c r="F9" i="11"/>
  <c r="G9" i="11" s="1"/>
  <c r="F82" i="11"/>
  <c r="G82" i="11" s="1"/>
  <c r="F162" i="11"/>
  <c r="G162" i="11" s="1"/>
  <c r="F254" i="11"/>
  <c r="G254" i="11" s="1"/>
  <c r="F206" i="11"/>
  <c r="G206" i="11" s="1"/>
  <c r="F300" i="11"/>
  <c r="G300" i="11" s="1"/>
  <c r="F227" i="11"/>
  <c r="G227" i="11" s="1"/>
  <c r="F128" i="11"/>
  <c r="G128" i="11" s="1"/>
  <c r="F186" i="11"/>
  <c r="G186" i="11" s="1"/>
  <c r="F142" i="11"/>
  <c r="G142" i="11" s="1"/>
  <c r="F304" i="11"/>
  <c r="G304" i="11" s="1"/>
  <c r="F191" i="11"/>
  <c r="G191" i="11" s="1"/>
  <c r="F285" i="11"/>
  <c r="G285" i="11" s="1"/>
  <c r="F210" i="11"/>
  <c r="G210" i="11" s="1"/>
  <c r="F198" i="11"/>
  <c r="G198" i="11" s="1"/>
  <c r="F132" i="11"/>
  <c r="G132" i="11" s="1"/>
  <c r="F259" i="11"/>
  <c r="G259" i="11" s="1"/>
  <c r="F187" i="11"/>
  <c r="G187" i="11" s="1"/>
  <c r="F83" i="11"/>
  <c r="G83" i="11" s="1"/>
  <c r="F49" i="11"/>
  <c r="G49" i="11" s="1"/>
  <c r="F17" i="11"/>
  <c r="G17" i="11" s="1"/>
  <c r="F156" i="11"/>
  <c r="G156" i="11" s="1"/>
  <c r="F214" i="11"/>
  <c r="G214" i="11" s="1"/>
  <c r="F239" i="11"/>
  <c r="G239" i="11" s="1"/>
  <c r="F199" i="11"/>
  <c r="G199" i="11" s="1"/>
  <c r="F243" i="11"/>
  <c r="G243" i="11" s="1"/>
  <c r="F152" i="11"/>
  <c r="G152" i="11" s="1"/>
  <c r="F25" i="11"/>
  <c r="G25" i="11" s="1"/>
  <c r="F280" i="11"/>
  <c r="G280" i="11" s="1"/>
  <c r="F287" i="11"/>
  <c r="G287" i="11" s="1"/>
  <c r="F292" i="11"/>
  <c r="G292" i="11" s="1"/>
  <c r="F66" i="11"/>
  <c r="G66" i="11" s="1"/>
  <c r="F283" i="11"/>
  <c r="G283" i="11" s="1"/>
  <c r="F160" i="11"/>
  <c r="G160" i="11" s="1"/>
  <c r="F168" i="11"/>
  <c r="G168" i="11" s="1"/>
  <c r="F211" i="11"/>
  <c r="G211" i="11" s="1"/>
  <c r="F242" i="11"/>
  <c r="G242" i="11" s="1"/>
  <c r="F269" i="11"/>
  <c r="G269" i="11" s="1"/>
  <c r="F226" i="11"/>
  <c r="G226" i="11" s="1"/>
  <c r="F265" i="11"/>
  <c r="G265" i="11" s="1"/>
  <c r="F238" i="11"/>
  <c r="G238" i="11" s="1"/>
  <c r="F296" i="11"/>
  <c r="G296" i="11" s="1"/>
  <c r="F146" i="11"/>
  <c r="G146" i="11" s="1"/>
  <c r="F87" i="11"/>
  <c r="G87" i="11" s="1"/>
  <c r="F231" i="11"/>
  <c r="G231" i="11" s="1"/>
  <c r="F75" i="11"/>
  <c r="G75" i="11" s="1"/>
  <c r="F136" i="11"/>
  <c r="G136" i="11" s="1"/>
  <c r="F207" i="11"/>
  <c r="G207" i="11" s="1"/>
  <c r="F234" i="11"/>
  <c r="G234" i="11" s="1"/>
  <c r="F284" i="11"/>
  <c r="G284" i="11" s="1"/>
  <c r="F166" i="11"/>
  <c r="G166" i="11" s="1"/>
  <c r="F267" i="11"/>
  <c r="G267" i="11" s="1"/>
  <c r="F195" i="11"/>
  <c r="G195" i="11" s="1"/>
  <c r="F154" i="11"/>
  <c r="G154" i="11" s="1"/>
  <c r="K275" i="11"/>
  <c r="L275" i="11" s="1"/>
  <c r="K155" i="11"/>
  <c r="L155" i="11" s="1"/>
  <c r="K261" i="11"/>
  <c r="L261" i="11" s="1"/>
  <c r="K303" i="11"/>
  <c r="L303" i="11" s="1"/>
  <c r="K106" i="11"/>
  <c r="L106" i="11" s="1"/>
  <c r="K233" i="11"/>
  <c r="L233" i="11" s="1"/>
  <c r="K215" i="11"/>
  <c r="L215" i="11" s="1"/>
  <c r="K214" i="11"/>
  <c r="L214" i="11" s="1"/>
  <c r="K127" i="11"/>
  <c r="L127" i="11" s="1"/>
  <c r="K255" i="11"/>
  <c r="L255" i="11" s="1"/>
  <c r="K208" i="11"/>
  <c r="L208" i="11" s="1"/>
  <c r="K225" i="11"/>
  <c r="L225" i="11" s="1"/>
  <c r="K152" i="11"/>
  <c r="L152" i="11" s="1"/>
  <c r="K199" i="11"/>
  <c r="L199" i="11" s="1"/>
  <c r="K222" i="11"/>
  <c r="L222" i="11" s="1"/>
  <c r="K126" i="11"/>
  <c r="L126" i="11" s="1"/>
  <c r="K304" i="11"/>
  <c r="L304" i="11" s="1"/>
  <c r="K118" i="11"/>
  <c r="L118" i="11" s="1"/>
  <c r="K286" i="11"/>
  <c r="L286" i="11" s="1"/>
  <c r="K128" i="11"/>
  <c r="L128" i="11" s="1"/>
  <c r="K191" i="11"/>
  <c r="L191" i="11" s="1"/>
  <c r="K293" i="11"/>
  <c r="L293" i="11" s="1"/>
  <c r="K270" i="11"/>
  <c r="L270" i="11" s="1"/>
  <c r="K296" i="11"/>
  <c r="L296" i="11" s="1"/>
  <c r="K109" i="11"/>
  <c r="L109" i="11" s="1"/>
  <c r="K185" i="11"/>
  <c r="L185" i="11" s="1"/>
  <c r="K117" i="11"/>
  <c r="L117" i="11" s="1"/>
  <c r="K211" i="11"/>
  <c r="L211" i="11" s="1"/>
  <c r="K263" i="11"/>
  <c r="L263" i="11" s="1"/>
  <c r="K174" i="11"/>
  <c r="L174" i="11" s="1"/>
  <c r="K158" i="11"/>
  <c r="L158" i="11" s="1"/>
  <c r="K258" i="11"/>
  <c r="L258" i="11" s="1"/>
  <c r="K290" i="11"/>
  <c r="L290" i="11" s="1"/>
  <c r="K301" i="11"/>
  <c r="L301" i="11" s="1"/>
  <c r="K170" i="11"/>
  <c r="L170" i="11" s="1"/>
  <c r="K125" i="11"/>
  <c r="L125" i="11" s="1"/>
  <c r="K223" i="11"/>
  <c r="L223" i="11" s="1"/>
  <c r="K72" i="11"/>
  <c r="L72" i="11" s="1"/>
  <c r="K145" i="11"/>
  <c r="L145" i="11" s="1"/>
  <c r="K101" i="11"/>
  <c r="L101" i="11" s="1"/>
  <c r="K156" i="11"/>
  <c r="L156" i="11" s="1"/>
  <c r="K130" i="11"/>
  <c r="L130" i="11" s="1"/>
  <c r="K91" i="11"/>
  <c r="L91" i="11" s="1"/>
  <c r="K113" i="11"/>
  <c r="L113" i="11" s="1"/>
  <c r="K139" i="11"/>
  <c r="L139" i="11" s="1"/>
  <c r="K194" i="11"/>
  <c r="L194" i="11" s="1"/>
  <c r="K93" i="11"/>
  <c r="L93" i="11" s="1"/>
  <c r="K83" i="11"/>
  <c r="L83" i="11" s="1"/>
  <c r="K164" i="11"/>
  <c r="L164" i="11" s="1"/>
  <c r="K153" i="11"/>
  <c r="L153" i="11" s="1"/>
  <c r="K274" i="11"/>
  <c r="L274" i="11" s="1"/>
  <c r="K104" i="11"/>
  <c r="L104" i="11" s="1"/>
  <c r="K237" i="11"/>
  <c r="L237" i="11" s="1"/>
  <c r="K230" i="11"/>
  <c r="L230" i="11" s="1"/>
  <c r="K167" i="11"/>
  <c r="L167" i="11" s="1"/>
  <c r="K177" i="11"/>
  <c r="L177" i="11" s="1"/>
  <c r="K268" i="11"/>
  <c r="L268" i="11" s="1"/>
  <c r="K75" i="11"/>
  <c r="L75" i="11" s="1"/>
  <c r="K141" i="11"/>
  <c r="L141" i="11" s="1"/>
  <c r="K276" i="11"/>
  <c r="L276" i="11" s="1"/>
  <c r="K209" i="11"/>
  <c r="L209" i="11" s="1"/>
  <c r="K136" i="11"/>
  <c r="L136" i="11" s="1"/>
  <c r="K281" i="11"/>
  <c r="L281" i="11" s="1"/>
  <c r="K292" i="11"/>
  <c r="L292" i="11" s="1"/>
  <c r="K195" i="11"/>
  <c r="L195" i="11" s="1"/>
  <c r="K84" i="11"/>
  <c r="L84" i="11" s="1"/>
  <c r="K147" i="11"/>
  <c r="L147" i="11" s="1"/>
  <c r="K97" i="11"/>
  <c r="L97" i="11" s="1"/>
  <c r="K87" i="11"/>
  <c r="L87" i="11" s="1"/>
  <c r="K217" i="11"/>
  <c r="L217" i="11" s="1"/>
  <c r="K140" i="11"/>
  <c r="L140" i="11" s="1"/>
  <c r="K77" i="11"/>
  <c r="L77" i="11" s="1"/>
  <c r="K229" i="11"/>
  <c r="L229" i="11" s="1"/>
  <c r="K187" i="11"/>
  <c r="L187" i="11" s="1"/>
  <c r="K269" i="11"/>
  <c r="L269" i="11" s="1"/>
  <c r="K220" i="11"/>
  <c r="L220" i="11" s="1"/>
  <c r="K221" i="11"/>
  <c r="L221" i="11" s="1"/>
  <c r="K184" i="11"/>
  <c r="L184" i="11" s="1"/>
  <c r="K142" i="11"/>
  <c r="L142" i="11" s="1"/>
  <c r="K272" i="11"/>
  <c r="L272" i="11" s="1"/>
  <c r="K168" i="11"/>
  <c r="L168" i="11" s="1"/>
  <c r="K282" i="11"/>
  <c r="L282" i="11" s="1"/>
  <c r="K173" i="11"/>
  <c r="L173" i="11" s="1"/>
  <c r="K81" i="11"/>
  <c r="L81" i="11" s="1"/>
  <c r="K305" i="11"/>
  <c r="L305" i="11" s="1"/>
  <c r="K249" i="11"/>
  <c r="L249" i="11" s="1"/>
  <c r="K238" i="11"/>
  <c r="L238" i="11" s="1"/>
  <c r="K202" i="11"/>
  <c r="L202" i="11" s="1"/>
  <c r="K86" i="11"/>
  <c r="L86" i="11" s="1"/>
  <c r="K252" i="11"/>
  <c r="L252" i="11" s="1"/>
  <c r="K218" i="11"/>
  <c r="L218" i="11" s="1"/>
  <c r="K100" i="11"/>
  <c r="L100" i="11" s="1"/>
  <c r="K285" i="11"/>
  <c r="L285" i="11" s="1"/>
  <c r="K105" i="11"/>
  <c r="L105" i="11" s="1"/>
  <c r="K242" i="11"/>
  <c r="L242" i="11" s="1"/>
  <c r="K216" i="11"/>
  <c r="L216" i="11" s="1"/>
  <c r="K180" i="11"/>
  <c r="L180" i="11" s="1"/>
  <c r="K227" i="11"/>
  <c r="L227" i="11" s="1"/>
  <c r="K110" i="11"/>
  <c r="L110" i="11" s="1"/>
  <c r="K124" i="11"/>
  <c r="L124" i="11" s="1"/>
  <c r="K234" i="11"/>
  <c r="L234" i="11" s="1"/>
  <c r="K165" i="11"/>
  <c r="L165" i="11" s="1"/>
  <c r="K248" i="11"/>
  <c r="L248" i="11" s="1"/>
  <c r="K207" i="11"/>
  <c r="L207" i="11" s="1"/>
  <c r="K201" i="11"/>
  <c r="L201" i="11" s="1"/>
  <c r="K121" i="11"/>
  <c r="L121" i="11" s="1"/>
  <c r="K280" i="11"/>
  <c r="L280" i="11" s="1"/>
  <c r="K76" i="11"/>
  <c r="L76" i="11" s="1"/>
  <c r="K279" i="11"/>
  <c r="L279" i="11" s="1"/>
  <c r="K166" i="11"/>
  <c r="L166" i="11" s="1"/>
  <c r="K297" i="11"/>
  <c r="L297" i="11" s="1"/>
  <c r="K224" i="11"/>
  <c r="L224" i="11" s="1"/>
  <c r="K186" i="11"/>
  <c r="L186" i="11" s="1"/>
  <c r="K182" i="11"/>
  <c r="L182" i="11" s="1"/>
  <c r="K260" i="11"/>
  <c r="L260" i="11" s="1"/>
  <c r="K205" i="11"/>
  <c r="L205" i="11" s="1"/>
  <c r="K241" i="11"/>
  <c r="L241" i="11" s="1"/>
  <c r="K271" i="11"/>
  <c r="L271" i="11" s="1"/>
  <c r="K112" i="11"/>
  <c r="L112" i="11" s="1"/>
  <c r="K245" i="11"/>
  <c r="L245" i="11" s="1"/>
  <c r="K115" i="11"/>
  <c r="L115" i="11" s="1"/>
  <c r="K171" i="11"/>
  <c r="L171" i="11" s="1"/>
  <c r="K154" i="11"/>
  <c r="L154" i="11" s="1"/>
  <c r="K283" i="11"/>
  <c r="L283" i="11" s="1"/>
  <c r="K129" i="11"/>
  <c r="L129" i="11" s="1"/>
  <c r="K278" i="11"/>
  <c r="L278" i="11" s="1"/>
  <c r="K226" i="11"/>
  <c r="L226" i="11" s="1"/>
  <c r="K203" i="11"/>
  <c r="L203" i="11" s="1"/>
  <c r="K157" i="11"/>
  <c r="L157" i="11" s="1"/>
  <c r="K82" i="11"/>
  <c r="L82" i="11" s="1"/>
  <c r="K232" i="11"/>
  <c r="L232" i="11" s="1"/>
  <c r="K189" i="11"/>
  <c r="L189" i="11" s="1"/>
  <c r="K204" i="11"/>
  <c r="L204" i="11" s="1"/>
  <c r="K120" i="11"/>
  <c r="L120" i="11" s="1"/>
  <c r="K179" i="11"/>
  <c r="L179" i="11" s="1"/>
  <c r="K169" i="11"/>
  <c r="L169" i="11" s="1"/>
  <c r="K94" i="11"/>
  <c r="L94" i="11" s="1"/>
  <c r="K300" i="11"/>
  <c r="L300" i="11" s="1"/>
  <c r="K277" i="11"/>
  <c r="L277" i="11" s="1"/>
  <c r="K259" i="11"/>
  <c r="L259" i="11" s="1"/>
  <c r="K178" i="11"/>
  <c r="L178" i="11" s="1"/>
  <c r="K295" i="11"/>
  <c r="L295" i="11" s="1"/>
  <c r="K137" i="11"/>
  <c r="L137" i="11" s="1"/>
  <c r="K73" i="11"/>
  <c r="L73" i="11" s="1"/>
  <c r="K256" i="11"/>
  <c r="L256" i="11" s="1"/>
  <c r="K273" i="11"/>
  <c r="L273" i="11" s="1"/>
  <c r="K262" i="11"/>
  <c r="L262" i="11" s="1"/>
  <c r="K108" i="11"/>
  <c r="L108" i="11" s="1"/>
  <c r="K80" i="11"/>
  <c r="L80" i="11" s="1"/>
  <c r="K287" i="11"/>
  <c r="L287" i="11" s="1"/>
  <c r="K244" i="11"/>
  <c r="L244" i="11" s="1"/>
  <c r="K197" i="11"/>
  <c r="L197" i="11" s="1"/>
  <c r="K193" i="11"/>
  <c r="L193" i="11" s="1"/>
  <c r="K291" i="11"/>
  <c r="L291" i="11" s="1"/>
  <c r="K161" i="11"/>
  <c r="L161" i="11" s="1"/>
  <c r="K247" i="11"/>
  <c r="L247" i="11" s="1"/>
  <c r="K264" i="11"/>
  <c r="L264" i="11" s="1"/>
  <c r="K160" i="11"/>
  <c r="L160" i="11" s="1"/>
  <c r="K284" i="11"/>
  <c r="L284" i="11" s="1"/>
  <c r="K243" i="11"/>
  <c r="L243" i="11" s="1"/>
  <c r="K254" i="11"/>
  <c r="L254" i="11" s="1"/>
  <c r="K176" i="11"/>
  <c r="L176" i="11" s="1"/>
  <c r="K288" i="11"/>
  <c r="L288" i="11" s="1"/>
  <c r="K196" i="11"/>
  <c r="L196" i="11" s="1"/>
  <c r="K257" i="11"/>
  <c r="L257" i="11" s="1"/>
  <c r="K289" i="11"/>
  <c r="L289" i="11" s="1"/>
  <c r="K96" i="11"/>
  <c r="L96" i="11" s="1"/>
  <c r="K102" i="11"/>
  <c r="L102" i="11" s="1"/>
  <c r="K146" i="11"/>
  <c r="L146" i="11" s="1"/>
  <c r="K134" i="11"/>
  <c r="L134" i="11" s="1"/>
  <c r="K175" i="11"/>
  <c r="L175" i="11" s="1"/>
  <c r="K190" i="11"/>
  <c r="L190" i="11" s="1"/>
  <c r="K131" i="11"/>
  <c r="L131" i="11" s="1"/>
  <c r="K132" i="11"/>
  <c r="L132" i="11" s="1"/>
  <c r="K99" i="11"/>
  <c r="L99" i="11" s="1"/>
  <c r="K74" i="11"/>
  <c r="L74" i="11" s="1"/>
  <c r="K200" i="11"/>
  <c r="L200" i="11" s="1"/>
  <c r="K103" i="11"/>
  <c r="L103" i="11" s="1"/>
  <c r="K119" i="11"/>
  <c r="L119" i="11" s="1"/>
  <c r="K133" i="11"/>
  <c r="L133" i="11" s="1"/>
  <c r="K219" i="11"/>
  <c r="L219" i="11" s="1"/>
  <c r="K213" i="11"/>
  <c r="L213" i="11" s="1"/>
  <c r="K111" i="11"/>
  <c r="L111" i="11" s="1"/>
  <c r="K78" i="11"/>
  <c r="L78" i="11" s="1"/>
  <c r="K143" i="11"/>
  <c r="L143" i="11" s="1"/>
  <c r="K181" i="11"/>
  <c r="L181" i="11" s="1"/>
  <c r="K253" i="11"/>
  <c r="L253" i="11" s="1"/>
  <c r="K98" i="11"/>
  <c r="L98" i="11" s="1"/>
  <c r="K123" i="11"/>
  <c r="L123" i="11" s="1"/>
  <c r="K198" i="11"/>
  <c r="L198" i="11" s="1"/>
  <c r="K267" i="11"/>
  <c r="L267" i="11" s="1"/>
  <c r="K135" i="11"/>
  <c r="L135" i="11" s="1"/>
  <c r="K79" i="11"/>
  <c r="L79" i="11" s="1"/>
  <c r="K151" i="11"/>
  <c r="L151" i="11" s="1"/>
  <c r="K246" i="11"/>
  <c r="L246" i="11" s="1"/>
  <c r="K162" i="11"/>
  <c r="L162" i="11" s="1"/>
  <c r="K302" i="11"/>
  <c r="L302" i="11" s="1"/>
  <c r="K116" i="11"/>
  <c r="L116" i="11" s="1"/>
  <c r="K294" i="11"/>
  <c r="L294" i="11" s="1"/>
  <c r="K150" i="11"/>
  <c r="L150" i="11" s="1"/>
  <c r="K183" i="11"/>
  <c r="L183" i="11" s="1"/>
  <c r="K188" i="11"/>
  <c r="L188" i="11" s="1"/>
  <c r="K240" i="11"/>
  <c r="L240" i="11" s="1"/>
  <c r="K95" i="11"/>
  <c r="L95" i="11" s="1"/>
  <c r="K138" i="11"/>
  <c r="L138" i="11" s="1"/>
  <c r="K266" i="11"/>
  <c r="L266" i="11" s="1"/>
  <c r="K239" i="11"/>
  <c r="L239" i="11" s="1"/>
  <c r="K88" i="11"/>
  <c r="L88" i="11" s="1"/>
  <c r="K210" i="11"/>
  <c r="L210" i="11" s="1"/>
  <c r="K122" i="11"/>
  <c r="L122" i="11" s="1"/>
  <c r="K228" i="11"/>
  <c r="L228" i="11" s="1"/>
  <c r="K206" i="11"/>
  <c r="L206" i="11" s="1"/>
  <c r="K212" i="11"/>
  <c r="L212" i="11" s="1"/>
  <c r="K90" i="11"/>
  <c r="L90" i="11" s="1"/>
  <c r="K114" i="11"/>
  <c r="L114" i="11" s="1"/>
  <c r="K89" i="11"/>
  <c r="L89" i="11" s="1"/>
  <c r="K148" i="11"/>
  <c r="L148" i="11" s="1"/>
  <c r="K192" i="11"/>
  <c r="L192" i="11" s="1"/>
  <c r="K298" i="11"/>
  <c r="L298" i="11" s="1"/>
  <c r="K159" i="11"/>
  <c r="L159" i="11" s="1"/>
  <c r="K235" i="11"/>
  <c r="L235" i="11" s="1"/>
  <c r="K144" i="11"/>
  <c r="L144" i="11" s="1"/>
  <c r="K149" i="11"/>
  <c r="L149" i="11" s="1"/>
  <c r="K299" i="11"/>
  <c r="L299" i="11" s="1"/>
  <c r="K251" i="11"/>
  <c r="L251" i="11" s="1"/>
  <c r="K92" i="11"/>
  <c r="L92" i="11" s="1"/>
  <c r="K172" i="11"/>
  <c r="L172" i="11" s="1"/>
  <c r="K231" i="11"/>
  <c r="L231" i="11" s="1"/>
  <c r="K250" i="11"/>
  <c r="L250" i="11" s="1"/>
  <c r="K85" i="11"/>
  <c r="L85" i="11" s="1"/>
  <c r="K107" i="11"/>
  <c r="L107" i="11" s="1"/>
  <c r="M7" i="42"/>
  <c r="T7" i="42" s="1"/>
  <c r="M8" i="42"/>
  <c r="T8" i="42" s="1"/>
  <c r="M9" i="42"/>
  <c r="T9" i="42" s="1"/>
  <c r="M10" i="42"/>
  <c r="T10" i="42" s="1"/>
  <c r="M11" i="42"/>
  <c r="T11" i="42" s="1"/>
  <c r="M12" i="42"/>
  <c r="T12" i="42" s="1"/>
  <c r="M13" i="42"/>
  <c r="T13" i="42" s="1"/>
  <c r="M14" i="42"/>
  <c r="T14" i="42" s="1"/>
  <c r="M15" i="42"/>
  <c r="T15" i="42" s="1"/>
  <c r="M16" i="42"/>
  <c r="T16" i="42" s="1"/>
  <c r="M17" i="42"/>
  <c r="T17" i="42" s="1"/>
  <c r="M18" i="42"/>
  <c r="T18" i="42" s="1"/>
  <c r="M19" i="42"/>
  <c r="T19" i="42" s="1"/>
  <c r="M20" i="42"/>
  <c r="T20" i="42" s="1"/>
  <c r="M22" i="42"/>
  <c r="T22" i="42" s="1"/>
  <c r="M23" i="42"/>
  <c r="T23" i="42" s="1"/>
  <c r="M24" i="42"/>
  <c r="T24" i="42" s="1"/>
  <c r="M25" i="42"/>
  <c r="T25" i="42" s="1"/>
  <c r="M26" i="42"/>
  <c r="T26" i="42" s="1"/>
  <c r="M27" i="42"/>
  <c r="T27" i="42" s="1"/>
  <c r="M28" i="42"/>
  <c r="T28" i="42" s="1"/>
  <c r="M29" i="42"/>
  <c r="T29" i="42" s="1"/>
  <c r="M30" i="42"/>
  <c r="T30" i="42" s="1"/>
  <c r="M31" i="42"/>
  <c r="T31" i="42" s="1"/>
  <c r="M32" i="42"/>
  <c r="T32" i="42" s="1"/>
  <c r="M33" i="42"/>
  <c r="T33" i="42" s="1"/>
  <c r="M34" i="42"/>
  <c r="T34" i="42" s="1"/>
  <c r="M35" i="42"/>
  <c r="T35" i="42" s="1"/>
  <c r="M36" i="42"/>
  <c r="T36" i="42" s="1"/>
  <c r="M37" i="42"/>
  <c r="T37" i="42" s="1"/>
  <c r="M38" i="42"/>
  <c r="T38" i="42" s="1"/>
  <c r="M39" i="42"/>
  <c r="T39" i="42" s="1"/>
  <c r="M40" i="42"/>
  <c r="T40" i="42" s="1"/>
  <c r="M41" i="42"/>
  <c r="T41" i="42" s="1"/>
  <c r="M42" i="42"/>
  <c r="T42" i="42" s="1"/>
  <c r="M43" i="42"/>
  <c r="T43" i="42" s="1"/>
  <c r="M44" i="42"/>
  <c r="T44" i="42" s="1"/>
  <c r="M45" i="42"/>
  <c r="T45" i="42" s="1"/>
  <c r="M46" i="42"/>
  <c r="T46" i="42" s="1"/>
  <c r="M47" i="42"/>
  <c r="T47" i="42" s="1"/>
  <c r="M48" i="42"/>
  <c r="T48" i="42" s="1"/>
  <c r="M49" i="42"/>
  <c r="T49" i="42" s="1"/>
  <c r="M50" i="42"/>
  <c r="T50" i="42" s="1"/>
  <c r="M51" i="42"/>
  <c r="T51" i="42" s="1"/>
  <c r="M52" i="42"/>
  <c r="T52" i="42" s="1"/>
  <c r="M53" i="42"/>
  <c r="T53" i="42" s="1"/>
  <c r="M54" i="42"/>
  <c r="T54" i="42" s="1"/>
  <c r="M55" i="42"/>
  <c r="T55" i="42" s="1"/>
  <c r="M56" i="42"/>
  <c r="T56" i="42" s="1"/>
  <c r="M57" i="42"/>
  <c r="T57" i="42" s="1"/>
  <c r="M58" i="42"/>
  <c r="T58" i="42" s="1"/>
  <c r="M59" i="42"/>
  <c r="T59" i="42" s="1"/>
  <c r="M60" i="42"/>
  <c r="T60" i="42" s="1"/>
  <c r="M61" i="42"/>
  <c r="T61" i="42" s="1"/>
  <c r="M62" i="42"/>
  <c r="T62" i="42" s="1"/>
  <c r="M64" i="42"/>
  <c r="T64" i="42" s="1"/>
  <c r="M65" i="42"/>
  <c r="T65" i="42" s="1"/>
  <c r="M66" i="42"/>
  <c r="T66" i="42" s="1"/>
  <c r="M67" i="42"/>
  <c r="T67" i="42" s="1"/>
  <c r="M69" i="42"/>
  <c r="T69" i="42" s="1"/>
  <c r="M70" i="42"/>
  <c r="T70" i="42" s="1"/>
  <c r="M71" i="42"/>
  <c r="T71" i="42" s="1"/>
  <c r="M72" i="42"/>
  <c r="T72" i="42" s="1"/>
  <c r="M73" i="42"/>
  <c r="T73" i="42" s="1"/>
  <c r="M74" i="42"/>
  <c r="T74" i="42" s="1"/>
  <c r="M75" i="42"/>
  <c r="T75" i="42" s="1"/>
  <c r="M76" i="42"/>
  <c r="T76" i="42" s="1"/>
  <c r="M77" i="42"/>
  <c r="T77" i="42" s="1"/>
  <c r="M78" i="42"/>
  <c r="T78" i="42" s="1"/>
  <c r="M79" i="42"/>
  <c r="T79" i="42" s="1"/>
  <c r="M80" i="42"/>
  <c r="T80" i="42" s="1"/>
  <c r="M81" i="42"/>
  <c r="T81" i="42" s="1"/>
  <c r="M82" i="42"/>
  <c r="T82" i="42" s="1"/>
  <c r="M83" i="42"/>
  <c r="T83" i="42" s="1"/>
  <c r="M84" i="42"/>
  <c r="T84" i="42" s="1"/>
  <c r="M85" i="42"/>
  <c r="T85" i="42" s="1"/>
  <c r="M86" i="42"/>
  <c r="T86" i="42" s="1"/>
  <c r="M87" i="42"/>
  <c r="T87" i="42" s="1"/>
  <c r="M88" i="42"/>
  <c r="T88" i="42" s="1"/>
  <c r="M89" i="42"/>
  <c r="T89" i="42" s="1"/>
  <c r="M90" i="42"/>
  <c r="T90" i="42" s="1"/>
  <c r="M91" i="42"/>
  <c r="T91" i="42" s="1"/>
  <c r="M92" i="42"/>
  <c r="T92" i="42" s="1"/>
  <c r="M93" i="42"/>
  <c r="T93" i="42" s="1"/>
  <c r="M94" i="42"/>
  <c r="T94" i="42" s="1"/>
  <c r="M95" i="42"/>
  <c r="T95" i="42" s="1"/>
  <c r="M96" i="42"/>
  <c r="T96" i="42" s="1"/>
  <c r="M97" i="42"/>
  <c r="T97" i="42" s="1"/>
  <c r="M98" i="42"/>
  <c r="T98" i="42" s="1"/>
  <c r="M99" i="42"/>
  <c r="T99" i="42" s="1"/>
  <c r="M100" i="42"/>
  <c r="T100" i="42" s="1"/>
  <c r="M101" i="42"/>
  <c r="T101" i="42" s="1"/>
  <c r="M102" i="42"/>
  <c r="T102" i="42" s="1"/>
  <c r="M103" i="42"/>
  <c r="T103" i="42" s="1"/>
  <c r="M104" i="42"/>
  <c r="T104" i="42" s="1"/>
  <c r="M105" i="42"/>
  <c r="T105" i="42" s="1"/>
  <c r="M106" i="42"/>
  <c r="T106" i="42" s="1"/>
  <c r="M107" i="42"/>
  <c r="T107" i="42" s="1"/>
  <c r="M108" i="42"/>
  <c r="T108" i="42" s="1"/>
  <c r="M109" i="42"/>
  <c r="T109" i="42" s="1"/>
  <c r="M110" i="42"/>
  <c r="T110" i="42" s="1"/>
  <c r="M111" i="42"/>
  <c r="T111" i="42" s="1"/>
  <c r="M112" i="42"/>
  <c r="T112" i="42" s="1"/>
  <c r="M113" i="42"/>
  <c r="T113" i="42" s="1"/>
  <c r="M114" i="42"/>
  <c r="T114" i="42" s="1"/>
  <c r="M115" i="42"/>
  <c r="T115" i="42" s="1"/>
  <c r="M116" i="42"/>
  <c r="T116" i="42" s="1"/>
  <c r="M117" i="42"/>
  <c r="T117" i="42" s="1"/>
  <c r="M118" i="42"/>
  <c r="T118" i="42" s="1"/>
  <c r="M119" i="42"/>
  <c r="T119" i="42" s="1"/>
  <c r="M120" i="42"/>
  <c r="T120" i="42" s="1"/>
  <c r="M121" i="42"/>
  <c r="T121" i="42" s="1"/>
  <c r="M122" i="42"/>
  <c r="T122" i="42" s="1"/>
  <c r="M123" i="42"/>
  <c r="T123" i="42" s="1"/>
  <c r="M124" i="42"/>
  <c r="T124" i="42" s="1"/>
  <c r="M125" i="42"/>
  <c r="T125" i="42" s="1"/>
  <c r="M126" i="42"/>
  <c r="T126" i="42" s="1"/>
  <c r="M127" i="42"/>
  <c r="T127" i="42" s="1"/>
  <c r="M128" i="42"/>
  <c r="T128" i="42" s="1"/>
  <c r="M130" i="42"/>
  <c r="T130" i="42" s="1"/>
  <c r="M131" i="42"/>
  <c r="T131" i="42" s="1"/>
  <c r="M132" i="42"/>
  <c r="T132" i="42" s="1"/>
  <c r="M133" i="42"/>
  <c r="T133" i="42" s="1"/>
  <c r="M134" i="42"/>
  <c r="T134" i="42" s="1"/>
  <c r="M135" i="42"/>
  <c r="T135" i="42" s="1"/>
  <c r="M136" i="42"/>
  <c r="T136" i="42" s="1"/>
  <c r="M137" i="42"/>
  <c r="T137" i="42" s="1"/>
  <c r="M138" i="42"/>
  <c r="T138" i="42" s="1"/>
  <c r="M139" i="42"/>
  <c r="T139" i="42" s="1"/>
  <c r="M140" i="42"/>
  <c r="T140" i="42" s="1"/>
  <c r="M141" i="42"/>
  <c r="T141" i="42" s="1"/>
  <c r="M142" i="42"/>
  <c r="T142" i="42" s="1"/>
  <c r="M143" i="42"/>
  <c r="T143" i="42" s="1"/>
  <c r="M144" i="42"/>
  <c r="T144" i="42" s="1"/>
  <c r="M145" i="42"/>
  <c r="T145" i="42" s="1"/>
  <c r="M146" i="42"/>
  <c r="T146" i="42" s="1"/>
  <c r="M147" i="42"/>
  <c r="T147" i="42" s="1"/>
  <c r="M148" i="42"/>
  <c r="T148" i="42" s="1"/>
  <c r="M149" i="42"/>
  <c r="T149" i="42" s="1"/>
  <c r="M150" i="42"/>
  <c r="T150" i="42" s="1"/>
  <c r="M151" i="42"/>
  <c r="T151" i="42" s="1"/>
  <c r="M152" i="42"/>
  <c r="T152" i="42" s="1"/>
  <c r="M153" i="42"/>
  <c r="T153" i="42" s="1"/>
  <c r="M154" i="42"/>
  <c r="T154" i="42" s="1"/>
  <c r="M156" i="42"/>
  <c r="T156" i="42" s="1"/>
  <c r="M157" i="42"/>
  <c r="T157" i="42" s="1"/>
  <c r="M158" i="42"/>
  <c r="T158" i="42" s="1"/>
  <c r="M159" i="42"/>
  <c r="T159" i="42" s="1"/>
  <c r="M160" i="42"/>
  <c r="T160" i="42" s="1"/>
  <c r="M161" i="42"/>
  <c r="T161" i="42" s="1"/>
  <c r="M164" i="42"/>
  <c r="T164" i="42" s="1"/>
  <c r="M165" i="42"/>
  <c r="T165" i="42" s="1"/>
  <c r="M166" i="42"/>
  <c r="T166" i="42" s="1"/>
  <c r="M167" i="42"/>
  <c r="T167" i="42" s="1"/>
  <c r="M168" i="42"/>
  <c r="T168" i="42" s="1"/>
  <c r="M169" i="42"/>
  <c r="T169" i="42" s="1"/>
  <c r="M170" i="42"/>
  <c r="T170" i="42" s="1"/>
  <c r="M171" i="42"/>
  <c r="T171" i="42" s="1"/>
  <c r="M172" i="42"/>
  <c r="T172" i="42" s="1"/>
  <c r="M173" i="42"/>
  <c r="T173" i="42" s="1"/>
  <c r="M174" i="42"/>
  <c r="T174" i="42" s="1"/>
  <c r="M175" i="42"/>
  <c r="T175" i="42" s="1"/>
  <c r="M176" i="42"/>
  <c r="T176" i="42" s="1"/>
  <c r="M177" i="42"/>
  <c r="T177" i="42" s="1"/>
  <c r="M178" i="42"/>
  <c r="T178" i="42" s="1"/>
  <c r="M179" i="42"/>
  <c r="T179" i="42" s="1"/>
  <c r="M180" i="42"/>
  <c r="T180" i="42" s="1"/>
  <c r="M181" i="42"/>
  <c r="T181" i="42" s="1"/>
  <c r="M182" i="42"/>
  <c r="T182" i="42" s="1"/>
  <c r="M183" i="42"/>
  <c r="T183" i="42" s="1"/>
  <c r="M184" i="42"/>
  <c r="T184" i="42" s="1"/>
  <c r="M185" i="42"/>
  <c r="T185" i="42" s="1"/>
  <c r="M186" i="42"/>
  <c r="T186" i="42" s="1"/>
  <c r="M187" i="42"/>
  <c r="T187" i="42" s="1"/>
  <c r="M188" i="42"/>
  <c r="T188" i="42" s="1"/>
  <c r="M189" i="42"/>
  <c r="T189" i="42" s="1"/>
  <c r="M190" i="42"/>
  <c r="T190" i="42" s="1"/>
  <c r="M191" i="42"/>
  <c r="T191" i="42" s="1"/>
  <c r="M192" i="42"/>
  <c r="T192" i="42" s="1"/>
  <c r="M193" i="42"/>
  <c r="T193" i="42" s="1"/>
  <c r="M194" i="42"/>
  <c r="T194" i="42" s="1"/>
  <c r="M195" i="42"/>
  <c r="T195" i="42" s="1"/>
  <c r="M196" i="42"/>
  <c r="T196" i="42" s="1"/>
  <c r="M197" i="42"/>
  <c r="T197" i="42" s="1"/>
  <c r="M198" i="42"/>
  <c r="T198" i="42" s="1"/>
  <c r="M199" i="42"/>
  <c r="T199" i="42" s="1"/>
  <c r="M200" i="42"/>
  <c r="T200" i="42" s="1"/>
  <c r="M201" i="42"/>
  <c r="T201" i="42" s="1"/>
  <c r="M202" i="42"/>
  <c r="T202" i="42" s="1"/>
  <c r="M203" i="42"/>
  <c r="T203" i="42" s="1"/>
  <c r="M204" i="42"/>
  <c r="T204" i="42" s="1"/>
  <c r="M205" i="42"/>
  <c r="T205" i="42" s="1"/>
  <c r="M206" i="42"/>
  <c r="T206" i="42" s="1"/>
  <c r="M207" i="42"/>
  <c r="T207" i="42" s="1"/>
  <c r="M208" i="42"/>
  <c r="T208" i="42" s="1"/>
  <c r="M209" i="42"/>
  <c r="T209" i="42" s="1"/>
  <c r="M210" i="42"/>
  <c r="T210" i="42" s="1"/>
  <c r="M211" i="42"/>
  <c r="T211" i="42" s="1"/>
  <c r="M213" i="42"/>
  <c r="T213" i="42" s="1"/>
  <c r="M214" i="42"/>
  <c r="T214" i="42" s="1"/>
  <c r="M215" i="42"/>
  <c r="T215" i="42" s="1"/>
  <c r="M216" i="42"/>
  <c r="T216" i="42" s="1"/>
  <c r="M217" i="42"/>
  <c r="T217" i="42" s="1"/>
  <c r="M218" i="42"/>
  <c r="T218" i="42" s="1"/>
  <c r="M219" i="42"/>
  <c r="T219" i="42" s="1"/>
  <c r="M220" i="42"/>
  <c r="T220" i="42" s="1"/>
  <c r="M221" i="42"/>
  <c r="T221" i="42" s="1"/>
  <c r="M222" i="42"/>
  <c r="T222" i="42" s="1"/>
  <c r="M223" i="42"/>
  <c r="T223" i="42" s="1"/>
  <c r="M224" i="42"/>
  <c r="T224" i="42" s="1"/>
  <c r="M225" i="42"/>
  <c r="T225" i="42" s="1"/>
  <c r="M226" i="42"/>
  <c r="T226" i="42" s="1"/>
  <c r="M227" i="42"/>
  <c r="T227" i="42" s="1"/>
  <c r="M228" i="42"/>
  <c r="T228" i="42" s="1"/>
  <c r="M229" i="42"/>
  <c r="T229" i="42" s="1"/>
  <c r="M231" i="42"/>
  <c r="T231" i="42" s="1"/>
  <c r="M232" i="42"/>
  <c r="T232" i="42" s="1"/>
  <c r="M233" i="42"/>
  <c r="T233" i="42" s="1"/>
  <c r="M234" i="42"/>
  <c r="T234" i="42" s="1"/>
  <c r="M238" i="42"/>
  <c r="T238" i="42" s="1"/>
  <c r="M239" i="42"/>
  <c r="T239" i="42" s="1"/>
  <c r="M240" i="42"/>
  <c r="T240" i="42" s="1"/>
  <c r="M241" i="42"/>
  <c r="T241" i="42" s="1"/>
  <c r="M242" i="42"/>
  <c r="T242" i="42" s="1"/>
  <c r="M243" i="42"/>
  <c r="T243" i="42" s="1"/>
  <c r="M244" i="42"/>
  <c r="T244" i="42" s="1"/>
  <c r="M245" i="42"/>
  <c r="T245" i="42" s="1"/>
  <c r="M246" i="42"/>
  <c r="T246" i="42" s="1"/>
  <c r="M247" i="42"/>
  <c r="T247" i="42" s="1"/>
  <c r="M248" i="42"/>
  <c r="T248" i="42" s="1"/>
  <c r="M249" i="42"/>
  <c r="T249" i="42" s="1"/>
  <c r="M250" i="42"/>
  <c r="T250" i="42" s="1"/>
  <c r="M251" i="42"/>
  <c r="T251" i="42" s="1"/>
  <c r="M252" i="42"/>
  <c r="T252" i="42" s="1"/>
  <c r="M254" i="42"/>
  <c r="T254" i="42" s="1"/>
  <c r="M255" i="42"/>
  <c r="T255" i="42" s="1"/>
  <c r="M256" i="42"/>
  <c r="T256" i="42" s="1"/>
  <c r="M257" i="42"/>
  <c r="T257" i="42" s="1"/>
  <c r="M258" i="42"/>
  <c r="T258" i="42" s="1"/>
  <c r="M259" i="42"/>
  <c r="T259" i="42" s="1"/>
  <c r="M260" i="42"/>
  <c r="T260" i="42" s="1"/>
  <c r="M261" i="42"/>
  <c r="T261" i="42" s="1"/>
  <c r="M262" i="42"/>
  <c r="T262" i="42" s="1"/>
  <c r="M263" i="42"/>
  <c r="T263" i="42" s="1"/>
  <c r="M264" i="42"/>
  <c r="T264" i="42" s="1"/>
  <c r="M266" i="42"/>
  <c r="T266" i="42" s="1"/>
  <c r="M267" i="42"/>
  <c r="T267" i="42" s="1"/>
  <c r="M268" i="42"/>
  <c r="T268" i="42" s="1"/>
  <c r="M269" i="42"/>
  <c r="T269" i="42" s="1"/>
  <c r="M270" i="42"/>
  <c r="T270" i="42" s="1"/>
  <c r="M271" i="42"/>
  <c r="T271" i="42" s="1"/>
  <c r="M272" i="42"/>
  <c r="T272" i="42" s="1"/>
  <c r="M273" i="42"/>
  <c r="T273" i="42" s="1"/>
  <c r="M274" i="42"/>
  <c r="T274" i="42" s="1"/>
  <c r="M276" i="42"/>
  <c r="T276" i="42" s="1"/>
  <c r="M277" i="42"/>
  <c r="T277" i="42" s="1"/>
  <c r="M278" i="42"/>
  <c r="T278" i="42" s="1"/>
  <c r="M279" i="42"/>
  <c r="T279" i="42" s="1"/>
  <c r="M280" i="42"/>
  <c r="T280" i="42" s="1"/>
  <c r="M281" i="42"/>
  <c r="T281" i="42" s="1"/>
  <c r="M282" i="42"/>
  <c r="T282" i="42" s="1"/>
  <c r="M283" i="42"/>
  <c r="T283" i="42" s="1"/>
  <c r="M284" i="42"/>
  <c r="T284" i="42" s="1"/>
  <c r="M285" i="42"/>
  <c r="T285" i="42" s="1"/>
  <c r="M286" i="42"/>
  <c r="T286" i="42" s="1"/>
  <c r="M287" i="42"/>
  <c r="T287" i="42" s="1"/>
  <c r="M288" i="42"/>
  <c r="T288" i="42" s="1"/>
  <c r="M289" i="42"/>
  <c r="T289" i="42" s="1"/>
  <c r="M290" i="42"/>
  <c r="T290" i="42" s="1"/>
  <c r="M291" i="42"/>
  <c r="T291" i="42" s="1"/>
  <c r="M292" i="42"/>
  <c r="T292" i="42" s="1"/>
  <c r="M293" i="42"/>
  <c r="T293" i="42" s="1"/>
  <c r="M294" i="42"/>
  <c r="T294" i="42" s="1"/>
  <c r="M295" i="42"/>
  <c r="T295" i="42" s="1"/>
  <c r="M296" i="42"/>
  <c r="T296" i="42" s="1"/>
  <c r="M297" i="42"/>
  <c r="T297" i="42" s="1"/>
  <c r="M298" i="42"/>
  <c r="T298" i="42" s="1"/>
  <c r="M299" i="42"/>
  <c r="T299" i="42" s="1"/>
  <c r="M300" i="42"/>
  <c r="T300" i="42" s="1"/>
  <c r="M301" i="42"/>
  <c r="T301" i="42" s="1"/>
  <c r="M302" i="42"/>
  <c r="T302" i="42" s="1"/>
  <c r="M303" i="42"/>
  <c r="T303" i="42" s="1"/>
  <c r="M304" i="42"/>
  <c r="T304" i="42" s="1"/>
  <c r="M305" i="42"/>
  <c r="T305" i="42" s="1"/>
  <c r="K163" i="11" l="1"/>
  <c r="L163" i="11" s="1"/>
  <c r="K236" i="11"/>
  <c r="L236" i="11" s="1"/>
  <c r="M129" i="42"/>
  <c r="T129" i="42" s="1"/>
  <c r="B32" i="40" l="1"/>
  <c r="M6" i="42" l="1"/>
  <c r="T6" i="42" s="1"/>
  <c r="M253" i="42" l="1"/>
  <c r="T253" i="42" s="1"/>
  <c r="M63" i="42" l="1"/>
  <c r="T63" i="42" s="1"/>
  <c r="C306" i="49" l="1"/>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6" i="49"/>
  <c r="B156" i="49"/>
  <c r="A157" i="49"/>
  <c r="B157" i="49"/>
  <c r="A158" i="49"/>
  <c r="B158" i="49"/>
  <c r="A159" i="49"/>
  <c r="B159" i="49"/>
  <c r="A160" i="49"/>
  <c r="B160" i="49"/>
  <c r="A161" i="49"/>
  <c r="B161" i="49"/>
  <c r="A162" i="49"/>
  <c r="B162" i="49"/>
  <c r="A164" i="49"/>
  <c r="B164" i="49"/>
  <c r="A165" i="49"/>
  <c r="B165" i="49"/>
  <c r="A166" i="49"/>
  <c r="B166" i="49"/>
  <c r="A167" i="49"/>
  <c r="B167" i="49"/>
  <c r="A168" i="49"/>
  <c r="B168" i="49"/>
  <c r="A169" i="49"/>
  <c r="B169" i="49"/>
  <c r="A170" i="49"/>
  <c r="B170"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3" i="49"/>
  <c r="B213" i="49"/>
  <c r="A214" i="49"/>
  <c r="B214" i="49"/>
  <c r="A215" i="49"/>
  <c r="B215" i="49"/>
  <c r="A216" i="49"/>
  <c r="B216" i="49"/>
  <c r="A217" i="49"/>
  <c r="B217" i="49"/>
  <c r="A218" i="49"/>
  <c r="B218" i="49"/>
  <c r="A219" i="49"/>
  <c r="B219"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B237" i="49"/>
  <c r="B238" i="49"/>
  <c r="B239" i="49"/>
  <c r="A240" i="49"/>
  <c r="B240" i="49"/>
  <c r="A241" i="49"/>
  <c r="B241" i="49"/>
  <c r="A242" i="49"/>
  <c r="B242" i="49"/>
  <c r="A243" i="49"/>
  <c r="B243" i="49"/>
  <c r="A244" i="49"/>
  <c r="B244" i="49"/>
  <c r="A245" i="49"/>
  <c r="B245" i="49"/>
  <c r="A246" i="49"/>
  <c r="B246" i="49"/>
  <c r="A247"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B6" i="49"/>
  <c r="A6" i="49"/>
  <c r="B306" i="49" l="1"/>
  <c r="B7" i="48"/>
  <c r="F61" i="48" l="1"/>
  <c r="E61" i="48"/>
  <c r="D61" i="48"/>
  <c r="E48" i="48"/>
  <c r="E47" i="48"/>
  <c r="E34" i="48"/>
  <c r="E33" i="48"/>
  <c r="F8" i="48"/>
  <c r="B8" i="48"/>
  <c r="B9" i="48"/>
  <c r="C32" i="40"/>
  <c r="B6" i="13"/>
  <c r="E39" i="48" s="1"/>
  <c r="A6" i="13"/>
  <c r="B6" i="39"/>
  <c r="E38" i="48" s="1"/>
  <c r="A6" i="39"/>
  <c r="B6" i="12"/>
  <c r="E37" i="48" s="1"/>
  <c r="A6" i="12"/>
  <c r="J306" i="11"/>
  <c r="D12" i="34"/>
  <c r="B12" i="34"/>
  <c r="F41" i="48" s="1"/>
  <c r="A12" i="34"/>
  <c r="C6" i="37"/>
  <c r="B6" i="37"/>
  <c r="A6" i="37"/>
  <c r="C9" i="36"/>
  <c r="B9" i="36"/>
  <c r="A9" i="36"/>
  <c r="B12" i="9"/>
  <c r="A12" i="9"/>
  <c r="F22" i="48" l="1"/>
  <c r="E15" i="48"/>
  <c r="E14" i="48"/>
  <c r="F28" i="48"/>
  <c r="F30" i="48"/>
  <c r="C61" i="48"/>
  <c r="D312" i="34"/>
  <c r="B306" i="37"/>
  <c r="C306" i="37"/>
  <c r="C309" i="36"/>
  <c r="B309" i="36"/>
  <c r="B306" i="12"/>
  <c r="B306" i="39"/>
  <c r="B306" i="13"/>
  <c r="B312" i="34"/>
  <c r="B312" i="9"/>
  <c r="G4" i="33" l="1"/>
  <c r="G5" i="33"/>
  <c r="B6" i="33" l="1"/>
  <c r="A6" i="33"/>
  <c r="B6" i="19"/>
  <c r="A6" i="19"/>
  <c r="R306" i="42"/>
  <c r="Q306" i="42"/>
  <c r="P306" i="42"/>
  <c r="O306" i="42"/>
  <c r="B306" i="42"/>
  <c r="B18" i="48" l="1"/>
  <c r="F18" i="48"/>
  <c r="B306" i="19"/>
  <c r="B306" i="33"/>
  <c r="F9" i="48" s="1"/>
  <c r="E5" i="37" l="1"/>
  <c r="E8" i="36"/>
  <c r="D32" i="40"/>
  <c r="F8" i="36" s="1"/>
  <c r="E32" i="40"/>
  <c r="G8" i="36" s="1"/>
  <c r="F32" i="40"/>
  <c r="H8" i="36" s="1"/>
  <c r="G32" i="40"/>
  <c r="I8" i="36" s="1"/>
  <c r="H32" i="40"/>
  <c r="J8" i="36" s="1"/>
  <c r="D8" i="36"/>
  <c r="K306" i="19" l="1"/>
  <c r="C6" i="19"/>
  <c r="H6" i="19"/>
  <c r="I6" i="19"/>
  <c r="J6" i="19"/>
  <c r="E5" i="36"/>
  <c r="G5" i="36"/>
  <c r="I5" i="36"/>
  <c r="H5" i="36"/>
  <c r="G6" i="36"/>
  <c r="D5" i="36"/>
  <c r="D6" i="36"/>
  <c r="E6" i="36"/>
  <c r="F5" i="36"/>
  <c r="F6" i="36"/>
  <c r="H6" i="36"/>
  <c r="J5" i="36"/>
  <c r="I6" i="36"/>
  <c r="L6" i="19" l="1"/>
  <c r="F6" i="49" s="1"/>
  <c r="G6" i="49" s="1"/>
  <c r="D66" i="36"/>
  <c r="D150" i="36"/>
  <c r="D209" i="36"/>
  <c r="D260" i="36"/>
  <c r="D208" i="36"/>
  <c r="D168" i="36"/>
  <c r="D200" i="36"/>
  <c r="D194" i="36"/>
  <c r="D205" i="36"/>
  <c r="D265" i="36"/>
  <c r="D18" i="36"/>
  <c r="D16" i="36"/>
  <c r="D26" i="36"/>
  <c r="D80" i="36"/>
  <c r="D204" i="36"/>
  <c r="D231" i="36"/>
  <c r="D112" i="36"/>
  <c r="D87" i="36"/>
  <c r="D158" i="36"/>
  <c r="D213" i="36"/>
  <c r="D253" i="36"/>
  <c r="D46" i="36"/>
  <c r="D165" i="36"/>
  <c r="D170" i="36"/>
  <c r="D201" i="36"/>
  <c r="D212" i="36"/>
  <c r="D235" i="36"/>
  <c r="D297" i="36"/>
  <c r="D269" i="36"/>
  <c r="D257" i="36"/>
  <c r="D103" i="36"/>
  <c r="D305" i="36"/>
  <c r="D281" i="36"/>
  <c r="D217" i="36"/>
  <c r="D174" i="36"/>
  <c r="D215" i="36"/>
  <c r="D152" i="36"/>
  <c r="D24" i="36"/>
  <c r="D248" i="36"/>
  <c r="D79" i="36"/>
  <c r="D243" i="36"/>
  <c r="D124" i="36"/>
  <c r="D55" i="36"/>
  <c r="D27" i="36"/>
  <c r="D189" i="36"/>
  <c r="D225" i="36"/>
  <c r="D78" i="36"/>
  <c r="D144" i="36"/>
  <c r="D166" i="36"/>
  <c r="D280" i="36"/>
  <c r="D82" i="36"/>
  <c r="D181" i="36"/>
  <c r="D20" i="36"/>
  <c r="D193" i="36"/>
  <c r="D176" i="36"/>
  <c r="D149" i="36"/>
  <c r="D14" i="36"/>
  <c r="D104" i="36"/>
  <c r="D100" i="36"/>
  <c r="D157" i="36"/>
  <c r="D120" i="36"/>
  <c r="D99" i="36"/>
  <c r="D23" i="36"/>
  <c r="D223" i="36"/>
  <c r="D22" i="36"/>
  <c r="D198" i="36"/>
  <c r="D126" i="36"/>
  <c r="D50" i="36"/>
  <c r="D229" i="36"/>
  <c r="D62" i="36"/>
  <c r="D72" i="36"/>
  <c r="D142" i="36"/>
  <c r="D70" i="36"/>
  <c r="D192" i="36"/>
  <c r="D47" i="36"/>
  <c r="D15" i="36"/>
  <c r="D221" i="36"/>
  <c r="D28" i="36"/>
  <c r="D178" i="36"/>
  <c r="D130" i="36"/>
  <c r="D118" i="36"/>
  <c r="D133" i="36"/>
  <c r="D301" i="36"/>
  <c r="D54" i="36"/>
  <c r="D188" i="36"/>
  <c r="D136" i="36"/>
  <c r="D256" i="36"/>
  <c r="D261" i="36"/>
  <c r="D162" i="36"/>
  <c r="D293" i="36"/>
  <c r="D123" i="36"/>
  <c r="D185" i="36"/>
  <c r="D219" i="36"/>
  <c r="D74" i="36"/>
  <c r="D19" i="36"/>
  <c r="D138" i="36"/>
  <c r="D108" i="36"/>
  <c r="D92" i="36"/>
  <c r="D76" i="36"/>
  <c r="D141" i="36"/>
  <c r="D86" i="36"/>
  <c r="D249" i="36"/>
  <c r="D272" i="36"/>
  <c r="D273" i="36"/>
  <c r="D241" i="36"/>
  <c r="D232" i="36"/>
  <c r="D211" i="36"/>
  <c r="D190" i="36"/>
  <c r="D31" i="36"/>
  <c r="D228" i="36"/>
  <c r="D220" i="36"/>
  <c r="D306" i="36"/>
  <c r="D245" i="36"/>
  <c r="D236" i="36"/>
  <c r="D207" i="36"/>
  <c r="D134" i="36"/>
  <c r="D107" i="36"/>
  <c r="D91" i="36"/>
  <c r="D75" i="36"/>
  <c r="D39" i="36"/>
  <c r="D51" i="36"/>
  <c r="D268" i="36"/>
  <c r="D277" i="36"/>
  <c r="D252" i="36"/>
  <c r="D88" i="36"/>
  <c r="D56" i="36"/>
  <c r="D48" i="36"/>
  <c r="D307" i="36"/>
  <c r="D203" i="36"/>
  <c r="D173" i="36"/>
  <c r="D116" i="36"/>
  <c r="D60" i="36"/>
  <c r="D44" i="36"/>
  <c r="D11" i="36"/>
  <c r="D42" i="36"/>
  <c r="D34" i="36"/>
  <c r="D251" i="36"/>
  <c r="D302" i="36"/>
  <c r="D227" i="36"/>
  <c r="D154" i="36"/>
  <c r="D308" i="36"/>
  <c r="D233" i="36"/>
  <c r="D199" i="36"/>
  <c r="D160" i="36"/>
  <c r="D128" i="36"/>
  <c r="D96" i="36"/>
  <c r="D84" i="36"/>
  <c r="D30" i="36"/>
  <c r="D210" i="36"/>
  <c r="D197" i="36"/>
  <c r="D109" i="36"/>
  <c r="D285" i="36"/>
  <c r="D276" i="36"/>
  <c r="D10" i="36"/>
  <c r="D296" i="36"/>
  <c r="D186" i="36"/>
  <c r="D259" i="36"/>
  <c r="D224" i="36"/>
  <c r="D299" i="36"/>
  <c r="D286" i="36"/>
  <c r="D267" i="36"/>
  <c r="D304" i="36"/>
  <c r="D111" i="36"/>
  <c r="D12" i="36"/>
  <c r="D59" i="36"/>
  <c r="D230" i="36"/>
  <c r="D242" i="36"/>
  <c r="D298" i="36"/>
  <c r="D279" i="36"/>
  <c r="D266" i="36"/>
  <c r="D183" i="36"/>
  <c r="D140" i="36"/>
  <c r="D125" i="36"/>
  <c r="D264" i="36"/>
  <c r="D244" i="36"/>
  <c r="D146" i="36"/>
  <c r="D68" i="36"/>
  <c r="D36" i="36"/>
  <c r="D292" i="36"/>
  <c r="D182" i="36"/>
  <c r="D237" i="36"/>
  <c r="D35" i="36"/>
  <c r="D255" i="36"/>
  <c r="D71" i="36"/>
  <c r="D187" i="36"/>
  <c r="D81" i="36"/>
  <c r="D127" i="36"/>
  <c r="D102" i="36"/>
  <c r="D290" i="36"/>
  <c r="D271" i="36"/>
  <c r="D69" i="36"/>
  <c r="D263" i="36"/>
  <c r="D288" i="36"/>
  <c r="D95" i="36"/>
  <c r="D38" i="36"/>
  <c r="D67" i="36"/>
  <c r="D216" i="36"/>
  <c r="D58" i="36"/>
  <c r="D258" i="36"/>
  <c r="D65" i="36"/>
  <c r="D206" i="36"/>
  <c r="D156" i="36"/>
  <c r="D303" i="36"/>
  <c r="D240" i="36"/>
  <c r="D289" i="36"/>
  <c r="D52" i="36"/>
  <c r="D247" i="36"/>
  <c r="D63" i="36"/>
  <c r="D32" i="36"/>
  <c r="D226" i="36"/>
  <c r="D122" i="36"/>
  <c r="D262" i="36"/>
  <c r="D254" i="36"/>
  <c r="D300" i="36"/>
  <c r="D287" i="36"/>
  <c r="D177" i="36"/>
  <c r="D143" i="36"/>
  <c r="D180" i="36"/>
  <c r="D29" i="36"/>
  <c r="D17" i="36"/>
  <c r="D284" i="36"/>
  <c r="D246" i="36"/>
  <c r="D275" i="36"/>
  <c r="D202" i="36"/>
  <c r="D195" i="36"/>
  <c r="D161" i="36"/>
  <c r="D148" i="36"/>
  <c r="D121" i="36"/>
  <c r="D41" i="36"/>
  <c r="D33" i="36"/>
  <c r="D83" i="36"/>
  <c r="D40" i="36"/>
  <c r="D214" i="36"/>
  <c r="D115" i="36"/>
  <c r="D94" i="36"/>
  <c r="D295" i="36"/>
  <c r="D283" i="36"/>
  <c r="D274" i="36"/>
  <c r="D172" i="36"/>
  <c r="D114" i="36"/>
  <c r="D175" i="36"/>
  <c r="D98" i="36"/>
  <c r="D163" i="36"/>
  <c r="D196" i="36"/>
  <c r="D64" i="36"/>
  <c r="D238" i="36"/>
  <c r="D294" i="36"/>
  <c r="D282" i="36"/>
  <c r="D250" i="36"/>
  <c r="D132" i="36"/>
  <c r="D85" i="36"/>
  <c r="D97" i="36"/>
  <c r="D191" i="36"/>
  <c r="D153" i="36"/>
  <c r="D61" i="36"/>
  <c r="D139" i="36"/>
  <c r="D179" i="36"/>
  <c r="D49" i="36"/>
  <c r="D93" i="36"/>
  <c r="D270" i="36"/>
  <c r="D218" i="36"/>
  <c r="D77" i="36"/>
  <c r="D155" i="36"/>
  <c r="D147" i="36"/>
  <c r="D137" i="36"/>
  <c r="D291" i="36"/>
  <c r="D151" i="36"/>
  <c r="D119" i="36"/>
  <c r="D73" i="36"/>
  <c r="D171" i="36"/>
  <c r="D131" i="36"/>
  <c r="D113" i="36"/>
  <c r="D159" i="36"/>
  <c r="D222" i="36"/>
  <c r="D13" i="36"/>
  <c r="D278" i="36"/>
  <c r="D184" i="36"/>
  <c r="D101" i="36"/>
  <c r="D169" i="36"/>
  <c r="D106" i="36"/>
  <c r="D90" i="36"/>
  <c r="D167" i="36"/>
  <c r="D164" i="36"/>
  <c r="D145" i="36"/>
  <c r="D57" i="36"/>
  <c r="D21" i="36"/>
  <c r="D43" i="36"/>
  <c r="D239" i="36"/>
  <c r="D135" i="36"/>
  <c r="D129" i="36"/>
  <c r="D25" i="36"/>
  <c r="D89" i="36"/>
  <c r="D45" i="36"/>
  <c r="D110" i="36"/>
  <c r="D234" i="36"/>
  <c r="D37" i="36"/>
  <c r="D105" i="36"/>
  <c r="D53" i="36"/>
  <c r="D117" i="36"/>
  <c r="J10" i="36"/>
  <c r="J117" i="36"/>
  <c r="J136" i="36"/>
  <c r="J302" i="36"/>
  <c r="J16" i="36"/>
  <c r="J192" i="36"/>
  <c r="J100" i="36"/>
  <c r="J142" i="36"/>
  <c r="J150" i="36"/>
  <c r="J170" i="36"/>
  <c r="J305" i="36"/>
  <c r="J104" i="36"/>
  <c r="J265" i="36"/>
  <c r="J80" i="36"/>
  <c r="J139" i="36"/>
  <c r="J168" i="36"/>
  <c r="J183" i="36"/>
  <c r="J162" i="36"/>
  <c r="J269" i="36"/>
  <c r="J191" i="36"/>
  <c r="J195" i="36"/>
  <c r="J163" i="36"/>
  <c r="J152" i="36"/>
  <c r="J89" i="36"/>
  <c r="J209" i="36"/>
  <c r="J56" i="36"/>
  <c r="J20" i="36"/>
  <c r="J281" i="36"/>
  <c r="J57" i="36"/>
  <c r="J179" i="36"/>
  <c r="J285" i="36"/>
  <c r="J278" i="36"/>
  <c r="J24" i="36"/>
  <c r="J121" i="36"/>
  <c r="J297" i="36"/>
  <c r="J198" i="36"/>
  <c r="J277" i="36"/>
  <c r="J270" i="36"/>
  <c r="J144" i="36"/>
  <c r="J205" i="36"/>
  <c r="J217" i="36"/>
  <c r="J274" i="36"/>
  <c r="J147" i="36"/>
  <c r="J225" i="36"/>
  <c r="J155" i="36"/>
  <c r="J48" i="36"/>
  <c r="J221" i="36"/>
  <c r="J105" i="36"/>
  <c r="J201" i="36"/>
  <c r="J130" i="36"/>
  <c r="J118" i="36"/>
  <c r="J28" i="36"/>
  <c r="J178" i="36"/>
  <c r="J241" i="36"/>
  <c r="J52" i="36"/>
  <c r="J97" i="36"/>
  <c r="J129" i="36"/>
  <c r="J245" i="36"/>
  <c r="J128" i="36"/>
  <c r="J96" i="36"/>
  <c r="J253" i="36"/>
  <c r="J120" i="36"/>
  <c r="J68" i="36"/>
  <c r="J279" i="36"/>
  <c r="J210" i="36"/>
  <c r="J159" i="36"/>
  <c r="J93" i="36"/>
  <c r="J88" i="36"/>
  <c r="J298" i="36"/>
  <c r="J12" i="36"/>
  <c r="J60" i="36"/>
  <c r="J44" i="36"/>
  <c r="J76" i="36"/>
  <c r="J64" i="36"/>
  <c r="J174" i="36"/>
  <c r="J213" i="36"/>
  <c r="J290" i="36"/>
  <c r="J131" i="36"/>
  <c r="J233" i="36"/>
  <c r="J160" i="36"/>
  <c r="J146" i="36"/>
  <c r="J116" i="36"/>
  <c r="J261" i="36"/>
  <c r="J194" i="36"/>
  <c r="J113" i="36"/>
  <c r="J230" i="36"/>
  <c r="J282" i="36"/>
  <c r="J176" i="36"/>
  <c r="J273" i="36"/>
  <c r="J293" i="36"/>
  <c r="J237" i="36"/>
  <c r="J307" i="36"/>
  <c r="J171" i="36"/>
  <c r="J72" i="36"/>
  <c r="J92" i="36"/>
  <c r="J249" i="36"/>
  <c r="J166" i="36"/>
  <c r="J112" i="36"/>
  <c r="J294" i="36"/>
  <c r="J188" i="36"/>
  <c r="J275" i="36"/>
  <c r="J258" i="36"/>
  <c r="J65" i="36"/>
  <c r="J81" i="36"/>
  <c r="J127" i="36"/>
  <c r="J193" i="36"/>
  <c r="J36" i="36"/>
  <c r="J138" i="36"/>
  <c r="J257" i="36"/>
  <c r="J186" i="36"/>
  <c r="J40" i="36"/>
  <c r="J226" i="36"/>
  <c r="J206" i="36"/>
  <c r="J283" i="36"/>
  <c r="J137" i="36"/>
  <c r="J102" i="36"/>
  <c r="J85" i="36"/>
  <c r="J161" i="36"/>
  <c r="J229" i="36"/>
  <c r="J84" i="36"/>
  <c r="J289" i="36"/>
  <c r="J134" i="36"/>
  <c r="J124" i="36"/>
  <c r="J308" i="36"/>
  <c r="J238" i="36"/>
  <c r="J115" i="36"/>
  <c r="J94" i="36"/>
  <c r="J303" i="36"/>
  <c r="J250" i="36"/>
  <c r="J151" i="36"/>
  <c r="J132" i="36"/>
  <c r="J172" i="36"/>
  <c r="J32" i="36"/>
  <c r="J299" i="36"/>
  <c r="J242" i="36"/>
  <c r="J262" i="36"/>
  <c r="J254" i="36"/>
  <c r="J108" i="36"/>
  <c r="J187" i="36"/>
  <c r="J190" i="36"/>
  <c r="J215" i="36"/>
  <c r="J98" i="36"/>
  <c r="J280" i="36"/>
  <c r="J256" i="36"/>
  <c r="J240" i="36"/>
  <c r="J224" i="36"/>
  <c r="J208" i="36"/>
  <c r="J61" i="36"/>
  <c r="J133" i="36"/>
  <c r="J173" i="36"/>
  <c r="J82" i="36"/>
  <c r="J91" i="36"/>
  <c r="J59" i="36"/>
  <c r="J49" i="36"/>
  <c r="J286" i="36"/>
  <c r="J182" i="36"/>
  <c r="J122" i="36"/>
  <c r="J300" i="36"/>
  <c r="J222" i="36"/>
  <c r="J13" i="36"/>
  <c r="J101" i="36"/>
  <c r="J255" i="36"/>
  <c r="J235" i="36"/>
  <c r="J211" i="36"/>
  <c r="J180" i="36"/>
  <c r="J276" i="36"/>
  <c r="J185" i="36"/>
  <c r="J77" i="36"/>
  <c r="J149" i="36"/>
  <c r="J141" i="36"/>
  <c r="J62" i="36"/>
  <c r="J54" i="36"/>
  <c r="J87" i="36"/>
  <c r="J55" i="36"/>
  <c r="J158" i="36"/>
  <c r="J58" i="36"/>
  <c r="J234" i="36"/>
  <c r="J143" i="36"/>
  <c r="J231" i="36"/>
  <c r="J73" i="36"/>
  <c r="J272" i="36"/>
  <c r="J252" i="36"/>
  <c r="J236" i="36"/>
  <c r="J220" i="36"/>
  <c r="J204" i="36"/>
  <c r="J167" i="36"/>
  <c r="J153" i="36"/>
  <c r="J148" i="36"/>
  <c r="J165" i="36"/>
  <c r="J266" i="36"/>
  <c r="J154" i="36"/>
  <c r="J197" i="36"/>
  <c r="J109" i="36"/>
  <c r="J295" i="36"/>
  <c r="J135" i="36"/>
  <c r="J251" i="36"/>
  <c r="J227" i="36"/>
  <c r="J207" i="36"/>
  <c r="J268" i="36"/>
  <c r="J114" i="36"/>
  <c r="J181" i="36"/>
  <c r="J111" i="36"/>
  <c r="J86" i="36"/>
  <c r="J21" i="36"/>
  <c r="J79" i="36"/>
  <c r="J126" i="36"/>
  <c r="J287" i="36"/>
  <c r="J246" i="36"/>
  <c r="J306" i="36"/>
  <c r="J202" i="36"/>
  <c r="J247" i="36"/>
  <c r="J175" i="36"/>
  <c r="J119" i="36"/>
  <c r="J106" i="36"/>
  <c r="J90" i="36"/>
  <c r="J296" i="36"/>
  <c r="J264" i="36"/>
  <c r="J248" i="36"/>
  <c r="J232" i="36"/>
  <c r="J216" i="36"/>
  <c r="J200" i="36"/>
  <c r="J145" i="36"/>
  <c r="J66" i="36"/>
  <c r="J123" i="36"/>
  <c r="J25" i="36"/>
  <c r="J37" i="36"/>
  <c r="J107" i="36"/>
  <c r="J75" i="36"/>
  <c r="J34" i="36"/>
  <c r="J18" i="36"/>
  <c r="J214" i="36"/>
  <c r="J304" i="36"/>
  <c r="J169" i="36"/>
  <c r="J125" i="36"/>
  <c r="J69" i="36"/>
  <c r="J243" i="36"/>
  <c r="J223" i="36"/>
  <c r="J203" i="36"/>
  <c r="J189" i="36"/>
  <c r="J292" i="36"/>
  <c r="J29" i="36"/>
  <c r="J50" i="36"/>
  <c r="J103" i="36"/>
  <c r="J71" i="36"/>
  <c r="J17" i="36"/>
  <c r="J301" i="36"/>
  <c r="J271" i="36"/>
  <c r="J156" i="36"/>
  <c r="J110" i="36"/>
  <c r="J291" i="36"/>
  <c r="J177" i="36"/>
  <c r="J140" i="36"/>
  <c r="J263" i="36"/>
  <c r="J199" i="36"/>
  <c r="J288" i="36"/>
  <c r="J260" i="36"/>
  <c r="J244" i="36"/>
  <c r="J228" i="36"/>
  <c r="J212" i="36"/>
  <c r="J78" i="36"/>
  <c r="J41" i="36"/>
  <c r="J99" i="36"/>
  <c r="J67" i="36"/>
  <c r="J33" i="36"/>
  <c r="J46" i="36"/>
  <c r="J45" i="36"/>
  <c r="J53" i="36"/>
  <c r="J51" i="36"/>
  <c r="J267" i="36"/>
  <c r="J219" i="36"/>
  <c r="J19" i="36"/>
  <c r="J284" i="36"/>
  <c r="J164" i="36"/>
  <c r="J26" i="36"/>
  <c r="J47" i="36"/>
  <c r="J31" i="36"/>
  <c r="J15" i="36"/>
  <c r="J157" i="36"/>
  <c r="J95" i="36"/>
  <c r="J22" i="36"/>
  <c r="J196" i="36"/>
  <c r="J239" i="36"/>
  <c r="J74" i="36"/>
  <c r="J83" i="36"/>
  <c r="J42" i="36"/>
  <c r="J43" i="36"/>
  <c r="J27" i="36"/>
  <c r="J11" i="36"/>
  <c r="J35" i="36"/>
  <c r="J218" i="36"/>
  <c r="J70" i="36"/>
  <c r="J63" i="36"/>
  <c r="J38" i="36"/>
  <c r="J30" i="36"/>
  <c r="J184" i="36"/>
  <c r="J259" i="36"/>
  <c r="J14" i="36"/>
  <c r="J39" i="36"/>
  <c r="J23" i="36"/>
  <c r="F170" i="36"/>
  <c r="F217" i="36"/>
  <c r="F100" i="36"/>
  <c r="F150" i="36"/>
  <c r="F285" i="36"/>
  <c r="F104" i="36"/>
  <c r="F130" i="36"/>
  <c r="F168" i="36"/>
  <c r="F88" i="36"/>
  <c r="F229" i="36"/>
  <c r="F265" i="36"/>
  <c r="F269" i="36"/>
  <c r="F16" i="36"/>
  <c r="F48" i="36"/>
  <c r="F107" i="36"/>
  <c r="F167" i="36"/>
  <c r="F103" i="36"/>
  <c r="F99" i="36"/>
  <c r="F280" i="36"/>
  <c r="F53" i="36"/>
  <c r="F178" i="36"/>
  <c r="F79" i="36"/>
  <c r="F56" i="36"/>
  <c r="F124" i="36"/>
  <c r="F55" i="36"/>
  <c r="F20" i="36"/>
  <c r="F176" i="36"/>
  <c r="F27" i="36"/>
  <c r="F200" i="36"/>
  <c r="F23" i="36"/>
  <c r="F95" i="36"/>
  <c r="F87" i="36"/>
  <c r="F260" i="36"/>
  <c r="F278" i="36"/>
  <c r="F91" i="36"/>
  <c r="F268" i="36"/>
  <c r="F191" i="36"/>
  <c r="F188" i="36"/>
  <c r="F126" i="36"/>
  <c r="F298" i="36"/>
  <c r="F198" i="36"/>
  <c r="F186" i="36"/>
  <c r="F162" i="36"/>
  <c r="F277" i="36"/>
  <c r="F286" i="36"/>
  <c r="F212" i="36"/>
  <c r="F163" i="36"/>
  <c r="F143" i="36"/>
  <c r="F15" i="36"/>
  <c r="F205" i="36"/>
  <c r="F249" i="36"/>
  <c r="F148" i="36"/>
  <c r="F117" i="36"/>
  <c r="F160" i="36"/>
  <c r="F245" i="36"/>
  <c r="F264" i="36"/>
  <c r="F284" i="36"/>
  <c r="F129" i="36"/>
  <c r="F307" i="36"/>
  <c r="F252" i="36"/>
  <c r="F164" i="36"/>
  <c r="F47" i="36"/>
  <c r="F171" i="36"/>
  <c r="F224" i="36"/>
  <c r="F24" i="36"/>
  <c r="F297" i="36"/>
  <c r="F179" i="36"/>
  <c r="F301" i="36"/>
  <c r="F257" i="36"/>
  <c r="F135" i="36"/>
  <c r="F213" i="36"/>
  <c r="F305" i="36"/>
  <c r="F194" i="36"/>
  <c r="F228" i="36"/>
  <c r="F180" i="36"/>
  <c r="F147" i="36"/>
  <c r="F216" i="36"/>
  <c r="F201" i="36"/>
  <c r="F290" i="36"/>
  <c r="F256" i="36"/>
  <c r="F140" i="36"/>
  <c r="F208" i="36"/>
  <c r="F192" i="36"/>
  <c r="F113" i="36"/>
  <c r="F274" i="36"/>
  <c r="F182" i="36"/>
  <c r="F175" i="36"/>
  <c r="F19" i="36"/>
  <c r="F142" i="36"/>
  <c r="F253" i="36"/>
  <c r="F158" i="36"/>
  <c r="F120" i="36"/>
  <c r="F39" i="36"/>
  <c r="F134" i="36"/>
  <c r="F292" i="36"/>
  <c r="F12" i="36"/>
  <c r="F60" i="36"/>
  <c r="F44" i="36"/>
  <c r="F64" i="36"/>
  <c r="F51" i="36"/>
  <c r="F122" i="36"/>
  <c r="F109" i="36"/>
  <c r="F114" i="36"/>
  <c r="F172" i="36"/>
  <c r="F174" i="36"/>
  <c r="F282" i="36"/>
  <c r="F276" i="36"/>
  <c r="F233" i="36"/>
  <c r="F11" i="36"/>
  <c r="F128" i="36"/>
  <c r="F96" i="36"/>
  <c r="F230" i="36"/>
  <c r="F112" i="36"/>
  <c r="F166" i="36"/>
  <c r="F154" i="36"/>
  <c r="F75" i="36"/>
  <c r="F293" i="36"/>
  <c r="F237" i="36"/>
  <c r="F240" i="36"/>
  <c r="F72" i="36"/>
  <c r="F76" i="36"/>
  <c r="F294" i="36"/>
  <c r="F289" i="36"/>
  <c r="F244" i="36"/>
  <c r="F71" i="36"/>
  <c r="F146" i="36"/>
  <c r="F116" i="36"/>
  <c r="F59" i="36"/>
  <c r="F32" i="36"/>
  <c r="F275" i="36"/>
  <c r="F242" i="36"/>
  <c r="F187" i="36"/>
  <c r="F209" i="36"/>
  <c r="F281" i="36"/>
  <c r="F131" i="36"/>
  <c r="F195" i="36"/>
  <c r="F261" i="36"/>
  <c r="F204" i="36"/>
  <c r="F296" i="36"/>
  <c r="F220" i="36"/>
  <c r="F221" i="36"/>
  <c r="F248" i="36"/>
  <c r="F232" i="36"/>
  <c r="F36" i="36"/>
  <c r="F190" i="36"/>
  <c r="F92" i="36"/>
  <c r="F40" i="36"/>
  <c r="F226" i="36"/>
  <c r="F206" i="36"/>
  <c r="F283" i="36"/>
  <c r="F137" i="36"/>
  <c r="F102" i="36"/>
  <c r="F35" i="36"/>
  <c r="F65" i="36"/>
  <c r="F295" i="36"/>
  <c r="F271" i="36"/>
  <c r="F214" i="36"/>
  <c r="F81" i="36"/>
  <c r="F222" i="36"/>
  <c r="F299" i="36"/>
  <c r="F13" i="36"/>
  <c r="F304" i="36"/>
  <c r="F234" i="36"/>
  <c r="F218" i="36"/>
  <c r="F202" i="36"/>
  <c r="F69" i="36"/>
  <c r="F251" i="36"/>
  <c r="F235" i="36"/>
  <c r="F219" i="36"/>
  <c r="F203" i="36"/>
  <c r="F270" i="36"/>
  <c r="F225" i="36"/>
  <c r="F272" i="36"/>
  <c r="F288" i="36"/>
  <c r="F67" i="36"/>
  <c r="F138" i="36"/>
  <c r="F241" i="36"/>
  <c r="F144" i="36"/>
  <c r="F84" i="36"/>
  <c r="F159" i="36"/>
  <c r="F93" i="36"/>
  <c r="F262" i="36"/>
  <c r="F254" i="36"/>
  <c r="F110" i="36"/>
  <c r="F101" i="36"/>
  <c r="F177" i="36"/>
  <c r="F263" i="36"/>
  <c r="F247" i="36"/>
  <c r="F231" i="36"/>
  <c r="F215" i="36"/>
  <c r="F199" i="36"/>
  <c r="F189" i="36"/>
  <c r="F83" i="36"/>
  <c r="F63" i="36"/>
  <c r="F306" i="36"/>
  <c r="F291" i="36"/>
  <c r="F28" i="36"/>
  <c r="F236" i="36"/>
  <c r="F68" i="36"/>
  <c r="F43" i="36"/>
  <c r="F210" i="36"/>
  <c r="F300" i="36"/>
  <c r="F287" i="36"/>
  <c r="F267" i="36"/>
  <c r="F156" i="36"/>
  <c r="F127" i="36"/>
  <c r="F184" i="36"/>
  <c r="F85" i="36"/>
  <c r="F259" i="36"/>
  <c r="F239" i="36"/>
  <c r="F97" i="36"/>
  <c r="F185" i="36"/>
  <c r="F149" i="36"/>
  <c r="F155" i="36"/>
  <c r="F141" i="36"/>
  <c r="F62" i="36"/>
  <c r="F57" i="36"/>
  <c r="F54" i="36"/>
  <c r="F108" i="36"/>
  <c r="F58" i="36"/>
  <c r="F308" i="36"/>
  <c r="F115" i="36"/>
  <c r="F94" i="36"/>
  <c r="F153" i="36"/>
  <c r="F61" i="36"/>
  <c r="F165" i="36"/>
  <c r="F152" i="36"/>
  <c r="F74" i="36"/>
  <c r="F42" i="36"/>
  <c r="F26" i="36"/>
  <c r="F273" i="36"/>
  <c r="F197" i="36"/>
  <c r="F303" i="36"/>
  <c r="F183" i="36"/>
  <c r="F255" i="36"/>
  <c r="F211" i="36"/>
  <c r="F77" i="36"/>
  <c r="F181" i="36"/>
  <c r="F139" i="36"/>
  <c r="F111" i="36"/>
  <c r="F80" i="36"/>
  <c r="F31" i="36"/>
  <c r="F246" i="36"/>
  <c r="F119" i="36"/>
  <c r="F106" i="36"/>
  <c r="F90" i="36"/>
  <c r="F73" i="36"/>
  <c r="F145" i="36"/>
  <c r="F136" i="36"/>
  <c r="F121" i="36"/>
  <c r="F66" i="36"/>
  <c r="F123" i="36"/>
  <c r="F25" i="36"/>
  <c r="F37" i="36"/>
  <c r="F266" i="36"/>
  <c r="F132" i="36"/>
  <c r="F193" i="36"/>
  <c r="F169" i="36"/>
  <c r="F227" i="36"/>
  <c r="F207" i="36"/>
  <c r="F105" i="36"/>
  <c r="F89" i="36"/>
  <c r="F29" i="36"/>
  <c r="F50" i="36"/>
  <c r="F17" i="36"/>
  <c r="F258" i="36"/>
  <c r="F238" i="36"/>
  <c r="F250" i="36"/>
  <c r="F78" i="36"/>
  <c r="F41" i="36"/>
  <c r="F33" i="36"/>
  <c r="F52" i="36"/>
  <c r="F302" i="36"/>
  <c r="F243" i="36"/>
  <c r="F223" i="36"/>
  <c r="F196" i="36"/>
  <c r="F157" i="36"/>
  <c r="F118" i="36"/>
  <c r="F70" i="36"/>
  <c r="F45" i="36"/>
  <c r="F133" i="36"/>
  <c r="F82" i="36"/>
  <c r="F30" i="36"/>
  <c r="F34" i="36"/>
  <c r="F86" i="36"/>
  <c r="F173" i="36"/>
  <c r="F21" i="36"/>
  <c r="F279" i="36"/>
  <c r="F161" i="36"/>
  <c r="F46" i="36"/>
  <c r="F14" i="36"/>
  <c r="F10" i="36"/>
  <c r="F125" i="36"/>
  <c r="F22" i="36"/>
  <c r="F18" i="36"/>
  <c r="F151" i="36"/>
  <c r="F49" i="36"/>
  <c r="F98" i="36"/>
  <c r="F38" i="36"/>
  <c r="G25" i="36"/>
  <c r="G34" i="36"/>
  <c r="G138" i="36"/>
  <c r="G201" i="36"/>
  <c r="G297" i="36"/>
  <c r="G86" i="36"/>
  <c r="G170" i="36"/>
  <c r="G289" i="36"/>
  <c r="G100" i="36"/>
  <c r="G142" i="36"/>
  <c r="G150" i="36"/>
  <c r="G209" i="36"/>
  <c r="G234" i="36"/>
  <c r="G285" i="36"/>
  <c r="G293" i="36"/>
  <c r="G17" i="36"/>
  <c r="G99" i="36"/>
  <c r="G216" i="36"/>
  <c r="G305" i="36"/>
  <c r="G213" i="36"/>
  <c r="G24" i="36"/>
  <c r="G92" i="36"/>
  <c r="G104" i="36"/>
  <c r="G147" i="36"/>
  <c r="G168" i="36"/>
  <c r="G194" i="36"/>
  <c r="G294" i="36"/>
  <c r="G28" i="36"/>
  <c r="G88" i="36"/>
  <c r="G205" i="36"/>
  <c r="G231" i="36"/>
  <c r="G265" i="36"/>
  <c r="G269" i="36"/>
  <c r="G288" i="36"/>
  <c r="G50" i="36"/>
  <c r="G87" i="36"/>
  <c r="G103" i="36"/>
  <c r="G121" i="36"/>
  <c r="G133" i="36"/>
  <c r="G141" i="36"/>
  <c r="G233" i="36"/>
  <c r="G274" i="36"/>
  <c r="G222" i="36"/>
  <c r="G12" i="36"/>
  <c r="G90" i="36"/>
  <c r="G283" i="36"/>
  <c r="G291" i="36"/>
  <c r="G238" i="36"/>
  <c r="G174" i="36"/>
  <c r="G212" i="36"/>
  <c r="G80" i="36"/>
  <c r="G46" i="36"/>
  <c r="G277" i="36"/>
  <c r="G181" i="36"/>
  <c r="G284" i="36"/>
  <c r="G259" i="36"/>
  <c r="G235" i="36"/>
  <c r="G56" i="36"/>
  <c r="G112" i="36"/>
  <c r="G68" i="36"/>
  <c r="G165" i="36"/>
  <c r="G250" i="36"/>
  <c r="G254" i="36"/>
  <c r="G206" i="36"/>
  <c r="G154" i="36"/>
  <c r="G116" i="36"/>
  <c r="G144" i="36"/>
  <c r="G188" i="36"/>
  <c r="G225" i="36"/>
  <c r="G217" i="36"/>
  <c r="G82" i="36"/>
  <c r="G307" i="36"/>
  <c r="G257" i="36"/>
  <c r="G229" i="36"/>
  <c r="G84" i="36"/>
  <c r="G129" i="36"/>
  <c r="G304" i="36"/>
  <c r="G299" i="36"/>
  <c r="G245" i="36"/>
  <c r="G242" i="36"/>
  <c r="G157" i="36"/>
  <c r="G190" i="36"/>
  <c r="G191" i="36"/>
  <c r="G79" i="36"/>
  <c r="G208" i="36"/>
  <c r="G20" i="36"/>
  <c r="G280" i="36"/>
  <c r="G255" i="36"/>
  <c r="G74" i="36"/>
  <c r="G48" i="36"/>
  <c r="G158" i="36"/>
  <c r="G66" i="36"/>
  <c r="G237" i="36"/>
  <c r="G139" i="36"/>
  <c r="G241" i="36"/>
  <c r="G78" i="36"/>
  <c r="G180" i="36"/>
  <c r="G62" i="36"/>
  <c r="G278" i="36"/>
  <c r="G123" i="36"/>
  <c r="G55" i="36"/>
  <c r="G253" i="36"/>
  <c r="G41" i="36"/>
  <c r="G202" i="36"/>
  <c r="G33" i="36"/>
  <c r="G125" i="36"/>
  <c r="G258" i="36"/>
  <c r="G42" i="36"/>
  <c r="G98" i="36"/>
  <c r="G124" i="36"/>
  <c r="G220" i="36"/>
  <c r="G264" i="36"/>
  <c r="G224" i="36"/>
  <c r="G23" i="36"/>
  <c r="G204" i="36"/>
  <c r="G108" i="36"/>
  <c r="G96" i="36"/>
  <c r="G16" i="36"/>
  <c r="G296" i="36"/>
  <c r="G76" i="36"/>
  <c r="G131" i="36"/>
  <c r="G268" i="36"/>
  <c r="G251" i="36"/>
  <c r="G64" i="36"/>
  <c r="G185" i="36"/>
  <c r="G119" i="36"/>
  <c r="G186" i="36"/>
  <c r="G298" i="36"/>
  <c r="G239" i="36"/>
  <c r="G49" i="36"/>
  <c r="G32" i="36"/>
  <c r="G300" i="36"/>
  <c r="G70" i="36"/>
  <c r="G281" i="36"/>
  <c r="G176" i="36"/>
  <c r="G134" i="36"/>
  <c r="G146" i="36"/>
  <c r="G15" i="36"/>
  <c r="G221" i="36"/>
  <c r="G228" i="36"/>
  <c r="G249" i="36"/>
  <c r="G155" i="36"/>
  <c r="G47" i="36"/>
  <c r="G106" i="36"/>
  <c r="G226" i="36"/>
  <c r="G120" i="36"/>
  <c r="G272" i="36"/>
  <c r="G232" i="36"/>
  <c r="G270" i="36"/>
  <c r="G215" i="36"/>
  <c r="G179" i="36"/>
  <c r="G31" i="36"/>
  <c r="G218" i="36"/>
  <c r="G198" i="36"/>
  <c r="G136" i="36"/>
  <c r="G261" i="36"/>
  <c r="G178" i="36"/>
  <c r="G126" i="36"/>
  <c r="G301" i="36"/>
  <c r="G282" i="36"/>
  <c r="G236" i="36"/>
  <c r="G163" i="36"/>
  <c r="G39" i="36"/>
  <c r="G171" i="36"/>
  <c r="G83" i="36"/>
  <c r="G203" i="36"/>
  <c r="G60" i="36"/>
  <c r="G30" i="36"/>
  <c r="G14" i="36"/>
  <c r="G40" i="36"/>
  <c r="G21" i="36"/>
  <c r="G247" i="36"/>
  <c r="G118" i="36"/>
  <c r="G292" i="36"/>
  <c r="G152" i="36"/>
  <c r="G160" i="36"/>
  <c r="G252" i="36"/>
  <c r="G199" i="36"/>
  <c r="G54" i="36"/>
  <c r="G38" i="36"/>
  <c r="G10" i="36"/>
  <c r="G58" i="36"/>
  <c r="G243" i="36"/>
  <c r="G263" i="36"/>
  <c r="G273" i="36"/>
  <c r="G276" i="36"/>
  <c r="G149" i="36"/>
  <c r="G95" i="36"/>
  <c r="G173" i="36"/>
  <c r="G52" i="36"/>
  <c r="G36" i="36"/>
  <c r="G37" i="36"/>
  <c r="G200" i="36"/>
  <c r="G290" i="36"/>
  <c r="G75" i="36"/>
  <c r="G51" i="36"/>
  <c r="G260" i="36"/>
  <c r="G44" i="36"/>
  <c r="G210" i="36"/>
  <c r="G306" i="36"/>
  <c r="G162" i="36"/>
  <c r="G113" i="36"/>
  <c r="G27" i="36"/>
  <c r="G166" i="36"/>
  <c r="G59" i="36"/>
  <c r="G184" i="36"/>
  <c r="G19" i="36"/>
  <c r="G244" i="36"/>
  <c r="G71" i="36"/>
  <c r="G91" i="36"/>
  <c r="G26" i="36"/>
  <c r="G122" i="36"/>
  <c r="G295" i="36"/>
  <c r="G127" i="36"/>
  <c r="G151" i="36"/>
  <c r="G132" i="36"/>
  <c r="G169" i="36"/>
  <c r="G114" i="36"/>
  <c r="G227" i="36"/>
  <c r="G67" i="36"/>
  <c r="G11" i="36"/>
  <c r="G18" i="36"/>
  <c r="G279" i="36"/>
  <c r="G13" i="36"/>
  <c r="G230" i="36"/>
  <c r="G214" i="36"/>
  <c r="G140" i="36"/>
  <c r="G240" i="36"/>
  <c r="G223" i="36"/>
  <c r="G72" i="36"/>
  <c r="G248" i="36"/>
  <c r="G275" i="36"/>
  <c r="G137" i="36"/>
  <c r="G102" i="36"/>
  <c r="G308" i="36"/>
  <c r="G182" i="36"/>
  <c r="G303" i="36"/>
  <c r="G266" i="36"/>
  <c r="G219" i="36"/>
  <c r="G109" i="36"/>
  <c r="G35" i="36"/>
  <c r="G207" i="36"/>
  <c r="G81" i="36"/>
  <c r="G110" i="36"/>
  <c r="G101" i="36"/>
  <c r="G196" i="36"/>
  <c r="G161" i="36"/>
  <c r="G167" i="36"/>
  <c r="G148" i="36"/>
  <c r="G77" i="36"/>
  <c r="G130" i="36"/>
  <c r="G45" i="36"/>
  <c r="G63" i="36"/>
  <c r="G135" i="36"/>
  <c r="G73" i="36"/>
  <c r="G117" i="36"/>
  <c r="G57" i="36"/>
  <c r="G286" i="36"/>
  <c r="G107" i="36"/>
  <c r="G262" i="36"/>
  <c r="G192" i="36"/>
  <c r="G128" i="36"/>
  <c r="G256" i="36"/>
  <c r="G302" i="36"/>
  <c r="G94" i="36"/>
  <c r="G183" i="36"/>
  <c r="G172" i="36"/>
  <c r="G143" i="36"/>
  <c r="G193" i="36"/>
  <c r="G105" i="36"/>
  <c r="G89" i="36"/>
  <c r="G197" i="36"/>
  <c r="G115" i="36"/>
  <c r="G69" i="36"/>
  <c r="G111" i="36"/>
  <c r="G22" i="36"/>
  <c r="G187" i="36"/>
  <c r="G93" i="36"/>
  <c r="G287" i="36"/>
  <c r="G175" i="36"/>
  <c r="G189" i="36"/>
  <c r="G164" i="36"/>
  <c r="G153" i="36"/>
  <c r="G145" i="36"/>
  <c r="G43" i="36"/>
  <c r="G271" i="36"/>
  <c r="G246" i="36"/>
  <c r="G53" i="36"/>
  <c r="G29" i="36"/>
  <c r="G211" i="36"/>
  <c r="G267" i="36"/>
  <c r="G177" i="36"/>
  <c r="G97" i="36"/>
  <c r="G156" i="36"/>
  <c r="G195" i="36"/>
  <c r="G159" i="36"/>
  <c r="G85" i="36"/>
  <c r="G65" i="36"/>
  <c r="G61" i="36"/>
  <c r="H18" i="36"/>
  <c r="H23" i="36"/>
  <c r="H91" i="36"/>
  <c r="H112" i="36"/>
  <c r="H212" i="36"/>
  <c r="H213" i="36"/>
  <c r="H253" i="36"/>
  <c r="H87" i="36"/>
  <c r="H27" i="36"/>
  <c r="H200" i="36"/>
  <c r="H201" i="36"/>
  <c r="H249" i="36"/>
  <c r="H260" i="36"/>
  <c r="H47" i="36"/>
  <c r="H120" i="36"/>
  <c r="H164" i="36"/>
  <c r="H170" i="36"/>
  <c r="H232" i="36"/>
  <c r="H256" i="36"/>
  <c r="H150" i="36"/>
  <c r="H188" i="36"/>
  <c r="H208" i="36"/>
  <c r="H209" i="36"/>
  <c r="H296" i="36"/>
  <c r="H88" i="36"/>
  <c r="H165" i="36"/>
  <c r="H99" i="36"/>
  <c r="H103" i="36"/>
  <c r="H80" i="36"/>
  <c r="H168" i="36"/>
  <c r="H16" i="36"/>
  <c r="H158" i="36"/>
  <c r="H204" i="36"/>
  <c r="H205" i="36"/>
  <c r="H231" i="36"/>
  <c r="H265" i="36"/>
  <c r="H240" i="36"/>
  <c r="H295" i="36"/>
  <c r="H248" i="36"/>
  <c r="H194" i="36"/>
  <c r="H141" i="36"/>
  <c r="H228" i="36"/>
  <c r="H154" i="36"/>
  <c r="H75" i="36"/>
  <c r="H293" i="36"/>
  <c r="H161" i="36"/>
  <c r="H185" i="36"/>
  <c r="H39" i="36"/>
  <c r="H243" i="36"/>
  <c r="H280" i="36"/>
  <c r="H100" i="36"/>
  <c r="H72" i="36"/>
  <c r="H24" i="36"/>
  <c r="H259" i="36"/>
  <c r="H174" i="36"/>
  <c r="H176" i="36"/>
  <c r="H149" i="36"/>
  <c r="H59" i="36"/>
  <c r="H308" i="36"/>
  <c r="H272" i="36"/>
  <c r="H292" i="36"/>
  <c r="H63" i="36"/>
  <c r="H287" i="36"/>
  <c r="H51" i="36"/>
  <c r="H268" i="36"/>
  <c r="H239" i="36"/>
  <c r="H166" i="36"/>
  <c r="H255" i="36"/>
  <c r="H124" i="36"/>
  <c r="H305" i="36"/>
  <c r="H186" i="36"/>
  <c r="H304" i="36"/>
  <c r="H289" i="36"/>
  <c r="H184" i="36"/>
  <c r="H48" i="36"/>
  <c r="H145" i="36"/>
  <c r="H43" i="36"/>
  <c r="H196" i="36"/>
  <c r="H264" i="36"/>
  <c r="H235" i="36"/>
  <c r="H79" i="36"/>
  <c r="H148" i="36"/>
  <c r="H19" i="36"/>
  <c r="H301" i="36"/>
  <c r="H251" i="36"/>
  <c r="H160" i="36"/>
  <c r="H20" i="36"/>
  <c r="H157" i="36"/>
  <c r="H284" i="36"/>
  <c r="H261" i="36"/>
  <c r="H71" i="36"/>
  <c r="H277" i="36"/>
  <c r="H247" i="36"/>
  <c r="H198" i="36"/>
  <c r="H297" i="36"/>
  <c r="H144" i="36"/>
  <c r="H31" i="36"/>
  <c r="H267" i="36"/>
  <c r="H118" i="36"/>
  <c r="H220" i="36"/>
  <c r="H126" i="36"/>
  <c r="H15" i="36"/>
  <c r="H107" i="36"/>
  <c r="H95" i="36"/>
  <c r="H46" i="36"/>
  <c r="H28" i="36"/>
  <c r="H197" i="36"/>
  <c r="H252" i="36"/>
  <c r="H104" i="36"/>
  <c r="H182" i="36"/>
  <c r="H152" i="36"/>
  <c r="H133" i="36"/>
  <c r="H307" i="36"/>
  <c r="H190" i="36"/>
  <c r="H12" i="36"/>
  <c r="H36" i="36"/>
  <c r="H211" i="36"/>
  <c r="H173" i="36"/>
  <c r="H181" i="36"/>
  <c r="H216" i="36"/>
  <c r="H288" i="36"/>
  <c r="H134" i="36"/>
  <c r="H207" i="36"/>
  <c r="H178" i="36"/>
  <c r="H58" i="36"/>
  <c r="H275" i="36"/>
  <c r="H242" i="36"/>
  <c r="H187" i="36"/>
  <c r="H123" i="36"/>
  <c r="H22" i="36"/>
  <c r="H136" i="36"/>
  <c r="H192" i="36"/>
  <c r="H257" i="36"/>
  <c r="H10" i="36"/>
  <c r="H273" i="36"/>
  <c r="H241" i="36"/>
  <c r="H116" i="36"/>
  <c r="H203" i="36"/>
  <c r="H227" i="36"/>
  <c r="H219" i="36"/>
  <c r="H142" i="36"/>
  <c r="H14" i="36"/>
  <c r="H35" i="36"/>
  <c r="H153" i="36"/>
  <c r="H26" i="36"/>
  <c r="H245" i="36"/>
  <c r="H128" i="36"/>
  <c r="H96" i="36"/>
  <c r="H84" i="36"/>
  <c r="H225" i="36"/>
  <c r="H217" i="36"/>
  <c r="H67" i="36"/>
  <c r="H11" i="36"/>
  <c r="H281" i="36"/>
  <c r="H56" i="36"/>
  <c r="H263" i="36"/>
  <c r="H146" i="36"/>
  <c r="H60" i="36"/>
  <c r="H44" i="36"/>
  <c r="H199" i="36"/>
  <c r="H42" i="36"/>
  <c r="H34" i="36"/>
  <c r="H300" i="36"/>
  <c r="H302" i="36"/>
  <c r="H93" i="36"/>
  <c r="H276" i="36"/>
  <c r="H244" i="36"/>
  <c r="H83" i="36"/>
  <c r="H189" i="36"/>
  <c r="H76" i="36"/>
  <c r="H299" i="36"/>
  <c r="H159" i="36"/>
  <c r="H122" i="36"/>
  <c r="H262" i="36"/>
  <c r="H254" i="36"/>
  <c r="H156" i="36"/>
  <c r="H274" i="36"/>
  <c r="H151" i="36"/>
  <c r="H271" i="36"/>
  <c r="H223" i="36"/>
  <c r="H291" i="36"/>
  <c r="H286" i="36"/>
  <c r="H108" i="36"/>
  <c r="H68" i="36"/>
  <c r="H40" i="36"/>
  <c r="H279" i="36"/>
  <c r="H246" i="36"/>
  <c r="H278" i="36"/>
  <c r="H143" i="36"/>
  <c r="H114" i="36"/>
  <c r="H175" i="36"/>
  <c r="H236" i="36"/>
  <c r="H55" i="36"/>
  <c r="H224" i="36"/>
  <c r="H237" i="36"/>
  <c r="H138" i="36"/>
  <c r="H111" i="36"/>
  <c r="H285" i="36"/>
  <c r="H81" i="36"/>
  <c r="H110" i="36"/>
  <c r="H94" i="36"/>
  <c r="H290" i="36"/>
  <c r="H193" i="36"/>
  <c r="H92" i="36"/>
  <c r="H38" i="36"/>
  <c r="H215" i="36"/>
  <c r="H162" i="36"/>
  <c r="H258" i="36"/>
  <c r="H65" i="36"/>
  <c r="H233" i="36"/>
  <c r="H230" i="36"/>
  <c r="H306" i="36"/>
  <c r="H266" i="36"/>
  <c r="H234" i="36"/>
  <c r="H135" i="36"/>
  <c r="H119" i="36"/>
  <c r="H105" i="36"/>
  <c r="H89" i="36"/>
  <c r="H117" i="36"/>
  <c r="H129" i="36"/>
  <c r="H82" i="36"/>
  <c r="H25" i="36"/>
  <c r="H37" i="36"/>
  <c r="H303" i="36"/>
  <c r="H210" i="36"/>
  <c r="H127" i="36"/>
  <c r="H298" i="36"/>
  <c r="H183" i="36"/>
  <c r="H69" i="36"/>
  <c r="H98" i="36"/>
  <c r="H140" i="36"/>
  <c r="H78" i="36"/>
  <c r="H29" i="36"/>
  <c r="H54" i="36"/>
  <c r="H17" i="36"/>
  <c r="H130" i="36"/>
  <c r="H269" i="36"/>
  <c r="H109" i="36"/>
  <c r="H206" i="36"/>
  <c r="H202" i="36"/>
  <c r="H195" i="36"/>
  <c r="H180" i="36"/>
  <c r="H121" i="36"/>
  <c r="H32" i="36"/>
  <c r="H283" i="36"/>
  <c r="H214" i="36"/>
  <c r="H115" i="36"/>
  <c r="H177" i="36"/>
  <c r="H163" i="36"/>
  <c r="H45" i="36"/>
  <c r="H70" i="36"/>
  <c r="H53" i="36"/>
  <c r="H30" i="36"/>
  <c r="H64" i="36"/>
  <c r="H229" i="36"/>
  <c r="H238" i="36"/>
  <c r="H294" i="36"/>
  <c r="H282" i="36"/>
  <c r="H250" i="36"/>
  <c r="H125" i="36"/>
  <c r="H85" i="36"/>
  <c r="H97" i="36"/>
  <c r="H191" i="36"/>
  <c r="H172" i="36"/>
  <c r="H61" i="36"/>
  <c r="H139" i="36"/>
  <c r="H179" i="36"/>
  <c r="H66" i="36"/>
  <c r="H49" i="36"/>
  <c r="H52" i="36"/>
  <c r="H102" i="36"/>
  <c r="H270" i="36"/>
  <c r="H218" i="36"/>
  <c r="H132" i="36"/>
  <c r="H106" i="36"/>
  <c r="H90" i="36"/>
  <c r="H169" i="36"/>
  <c r="H77" i="36"/>
  <c r="H155" i="36"/>
  <c r="H147" i="36"/>
  <c r="H62" i="36"/>
  <c r="H221" i="36"/>
  <c r="H73" i="36"/>
  <c r="H171" i="36"/>
  <c r="H131" i="36"/>
  <c r="H113" i="36"/>
  <c r="H167" i="36"/>
  <c r="H21" i="36"/>
  <c r="H57" i="36"/>
  <c r="H33" i="36"/>
  <c r="H222" i="36"/>
  <c r="H41" i="36"/>
  <c r="H226" i="36"/>
  <c r="H13" i="36"/>
  <c r="H86" i="36"/>
  <c r="H101" i="36"/>
  <c r="H137" i="36"/>
  <c r="H74" i="36"/>
  <c r="H50" i="36"/>
  <c r="I15" i="36"/>
  <c r="I79" i="36"/>
  <c r="I87" i="36"/>
  <c r="I189" i="36"/>
  <c r="I293" i="36"/>
  <c r="I302" i="36"/>
  <c r="I205" i="36"/>
  <c r="I212" i="36"/>
  <c r="I213" i="36"/>
  <c r="I133" i="36"/>
  <c r="I191" i="36"/>
  <c r="I200" i="36"/>
  <c r="I201" i="36"/>
  <c r="I260" i="36"/>
  <c r="I47" i="36"/>
  <c r="I100" i="36"/>
  <c r="I111" i="36"/>
  <c r="I142" i="36"/>
  <c r="I170" i="36"/>
  <c r="I252" i="36"/>
  <c r="I256" i="36"/>
  <c r="I285" i="36"/>
  <c r="I292" i="36"/>
  <c r="I130" i="36"/>
  <c r="I149" i="36"/>
  <c r="I208" i="36"/>
  <c r="I209" i="36"/>
  <c r="I281" i="36"/>
  <c r="I264" i="36"/>
  <c r="I139" i="36"/>
  <c r="I147" i="36"/>
  <c r="I229" i="36"/>
  <c r="I121" i="36"/>
  <c r="I193" i="36"/>
  <c r="I204" i="36"/>
  <c r="I167" i="36"/>
  <c r="I269" i="36"/>
  <c r="I187" i="36"/>
  <c r="I221" i="36"/>
  <c r="I248" i="36"/>
  <c r="I131" i="36"/>
  <c r="I162" i="36"/>
  <c r="I173" i="36"/>
  <c r="I217" i="36"/>
  <c r="I19" i="36"/>
  <c r="I155" i="36"/>
  <c r="I178" i="36"/>
  <c r="I56" i="36"/>
  <c r="I280" i="36"/>
  <c r="I181" i="36"/>
  <c r="I198" i="36"/>
  <c r="I88" i="36"/>
  <c r="I245" i="36"/>
  <c r="I99" i="36"/>
  <c r="I23" i="36"/>
  <c r="I55" i="36"/>
  <c r="I27" i="36"/>
  <c r="I308" i="36"/>
  <c r="I273" i="36"/>
  <c r="I225" i="36"/>
  <c r="I117" i="36"/>
  <c r="I165" i="36"/>
  <c r="I276" i="36"/>
  <c r="I171" i="36"/>
  <c r="I12" i="36"/>
  <c r="I297" i="36"/>
  <c r="I123" i="36"/>
  <c r="I20" i="36"/>
  <c r="I304" i="36"/>
  <c r="I157" i="36"/>
  <c r="I68" i="36"/>
  <c r="I296" i="36"/>
  <c r="I265" i="36"/>
  <c r="I195" i="36"/>
  <c r="I71" i="36"/>
  <c r="I288" i="36"/>
  <c r="I244" i="36"/>
  <c r="I154" i="36"/>
  <c r="I120" i="36"/>
  <c r="I67" i="36"/>
  <c r="I104" i="36"/>
  <c r="I103" i="36"/>
  <c r="I175" i="36"/>
  <c r="I57" i="36"/>
  <c r="I233" i="36"/>
  <c r="I261" i="36"/>
  <c r="I174" i="36"/>
  <c r="I107" i="36"/>
  <c r="I91" i="36"/>
  <c r="I75" i="36"/>
  <c r="I43" i="36"/>
  <c r="I35" i="36"/>
  <c r="I268" i="36"/>
  <c r="I146" i="36"/>
  <c r="I92" i="36"/>
  <c r="I230" i="36"/>
  <c r="I226" i="36"/>
  <c r="I80" i="36"/>
  <c r="I272" i="36"/>
  <c r="I237" i="36"/>
  <c r="I232" i="36"/>
  <c r="I249" i="36"/>
  <c r="I186" i="36"/>
  <c r="I31" i="36"/>
  <c r="I116" i="36"/>
  <c r="I236" i="36"/>
  <c r="I72" i="36"/>
  <c r="I39" i="36"/>
  <c r="I60" i="36"/>
  <c r="I51" i="36"/>
  <c r="I141" i="36"/>
  <c r="I84" i="36"/>
  <c r="I306" i="36"/>
  <c r="I275" i="36"/>
  <c r="I129" i="36"/>
  <c r="I32" i="36"/>
  <c r="I40" i="36"/>
  <c r="I16" i="36"/>
  <c r="I277" i="36"/>
  <c r="I289" i="36"/>
  <c r="I257" i="36"/>
  <c r="I112" i="36"/>
  <c r="I11" i="36"/>
  <c r="I224" i="36"/>
  <c r="I216" i="36"/>
  <c r="I190" i="36"/>
  <c r="I138" i="36"/>
  <c r="I64" i="36"/>
  <c r="I48" i="36"/>
  <c r="I159" i="36"/>
  <c r="I24" i="36"/>
  <c r="I28" i="36"/>
  <c r="I36" i="36"/>
  <c r="I134" i="36"/>
  <c r="I76" i="36"/>
  <c r="I197" i="36"/>
  <c r="I295" i="36"/>
  <c r="I271" i="36"/>
  <c r="I214" i="36"/>
  <c r="I222" i="36"/>
  <c r="I115" i="36"/>
  <c r="I299" i="36"/>
  <c r="I13" i="36"/>
  <c r="I282" i="36"/>
  <c r="I234" i="36"/>
  <c r="I218" i="36"/>
  <c r="I202" i="36"/>
  <c r="I132" i="36"/>
  <c r="I150" i="36"/>
  <c r="I182" i="36"/>
  <c r="I128" i="36"/>
  <c r="I93" i="36"/>
  <c r="I238" i="36"/>
  <c r="I94" i="36"/>
  <c r="I294" i="36"/>
  <c r="I250" i="36"/>
  <c r="I101" i="36"/>
  <c r="I172" i="36"/>
  <c r="I241" i="36"/>
  <c r="I253" i="36"/>
  <c r="I113" i="36"/>
  <c r="I301" i="36"/>
  <c r="I95" i="36"/>
  <c r="I52" i="36"/>
  <c r="I220" i="36"/>
  <c r="I179" i="36"/>
  <c r="I242" i="36"/>
  <c r="I156" i="36"/>
  <c r="I291" i="36"/>
  <c r="I137" i="36"/>
  <c r="I286" i="36"/>
  <c r="I44" i="36"/>
  <c r="I163" i="36"/>
  <c r="I108" i="36"/>
  <c r="I210" i="36"/>
  <c r="I109" i="36"/>
  <c r="I303" i="36"/>
  <c r="I287" i="36"/>
  <c r="I267" i="36"/>
  <c r="I298" i="36"/>
  <c r="I166" i="36"/>
  <c r="I124" i="36"/>
  <c r="I284" i="36"/>
  <c r="I58" i="36"/>
  <c r="I122" i="36"/>
  <c r="I63" i="36"/>
  <c r="I283" i="36"/>
  <c r="I278" i="36"/>
  <c r="I151" i="36"/>
  <c r="I73" i="36"/>
  <c r="I143" i="36"/>
  <c r="I168" i="36"/>
  <c r="I74" i="36"/>
  <c r="I185" i="36"/>
  <c r="I83" i="36"/>
  <c r="I262" i="36"/>
  <c r="I254" i="36"/>
  <c r="I266" i="36"/>
  <c r="I177" i="36"/>
  <c r="I114" i="36"/>
  <c r="I255" i="36"/>
  <c r="I239" i="36"/>
  <c r="I223" i="36"/>
  <c r="I207" i="36"/>
  <c r="I86" i="36"/>
  <c r="I21" i="36"/>
  <c r="I246" i="36"/>
  <c r="I127" i="36"/>
  <c r="I161" i="36"/>
  <c r="I106" i="36"/>
  <c r="I105" i="36"/>
  <c r="I90" i="36"/>
  <c r="I89" i="36"/>
  <c r="I135" i="36"/>
  <c r="I307" i="36"/>
  <c r="I274" i="36"/>
  <c r="I196" i="36"/>
  <c r="I69" i="36"/>
  <c r="I251" i="36"/>
  <c r="I235" i="36"/>
  <c r="I219" i="36"/>
  <c r="I203" i="36"/>
  <c r="I29" i="36"/>
  <c r="I50" i="36"/>
  <c r="I17" i="36"/>
  <c r="I194" i="36"/>
  <c r="I258" i="36"/>
  <c r="I206" i="36"/>
  <c r="I102" i="36"/>
  <c r="I183" i="36"/>
  <c r="I192" i="36"/>
  <c r="I164" i="36"/>
  <c r="I153" i="36"/>
  <c r="I78" i="36"/>
  <c r="I41" i="36"/>
  <c r="I33" i="36"/>
  <c r="I305" i="36"/>
  <c r="I59" i="36"/>
  <c r="I228" i="36"/>
  <c r="I96" i="36"/>
  <c r="I110" i="36"/>
  <c r="I184" i="36"/>
  <c r="I140" i="36"/>
  <c r="I263" i="36"/>
  <c r="I247" i="36"/>
  <c r="I231" i="36"/>
  <c r="I215" i="36"/>
  <c r="I199" i="36"/>
  <c r="I160" i="36"/>
  <c r="I118" i="36"/>
  <c r="I70" i="36"/>
  <c r="I45" i="36"/>
  <c r="I53" i="36"/>
  <c r="I158" i="36"/>
  <c r="I279" i="36"/>
  <c r="I65" i="36"/>
  <c r="I125" i="36"/>
  <c r="I85" i="36"/>
  <c r="I119" i="36"/>
  <c r="I98" i="36"/>
  <c r="I97" i="36"/>
  <c r="I61" i="36"/>
  <c r="I136" i="36"/>
  <c r="I176" i="36"/>
  <c r="I82" i="36"/>
  <c r="I49" i="36"/>
  <c r="I290" i="36"/>
  <c r="I34" i="36"/>
  <c r="I18" i="36"/>
  <c r="I169" i="36"/>
  <c r="I180" i="36"/>
  <c r="I270" i="36"/>
  <c r="I259" i="36"/>
  <c r="I148" i="36"/>
  <c r="I46" i="36"/>
  <c r="I30" i="36"/>
  <c r="I14" i="36"/>
  <c r="I62" i="36"/>
  <c r="I81" i="36"/>
  <c r="I243" i="36"/>
  <c r="I145" i="36"/>
  <c r="I144" i="36"/>
  <c r="I126" i="36"/>
  <c r="I25" i="36"/>
  <c r="I38" i="36"/>
  <c r="I300" i="36"/>
  <c r="I188" i="36"/>
  <c r="I37" i="36"/>
  <c r="I240" i="36"/>
  <c r="I227" i="36"/>
  <c r="I77" i="36"/>
  <c r="I54" i="36"/>
  <c r="I42" i="36"/>
  <c r="I26" i="36"/>
  <c r="I10" i="36"/>
  <c r="I22" i="36"/>
  <c r="I152" i="36"/>
  <c r="I211" i="36"/>
  <c r="I66" i="36"/>
  <c r="E27" i="36"/>
  <c r="E100" i="36"/>
  <c r="E200" i="36"/>
  <c r="E209" i="36"/>
  <c r="E170" i="36"/>
  <c r="E201" i="36"/>
  <c r="E212" i="36"/>
  <c r="E51" i="36"/>
  <c r="E99" i="36"/>
  <c r="E169" i="36"/>
  <c r="E208" i="36"/>
  <c r="E189" i="36"/>
  <c r="E35" i="36"/>
  <c r="E139" i="36"/>
  <c r="E205" i="36"/>
  <c r="E302" i="36"/>
  <c r="E141" i="36"/>
  <c r="E204" i="36"/>
  <c r="E163" i="36"/>
  <c r="E213" i="36"/>
  <c r="E259" i="36"/>
  <c r="E92" i="36"/>
  <c r="E26" i="36"/>
  <c r="E150" i="36"/>
  <c r="E211" i="36"/>
  <c r="E223" i="36"/>
  <c r="E56" i="36"/>
  <c r="E116" i="36"/>
  <c r="E281" i="36"/>
  <c r="E104" i="36"/>
  <c r="E24" i="36"/>
  <c r="E220" i="36"/>
  <c r="E84" i="36"/>
  <c r="E15" i="36"/>
  <c r="E227" i="36"/>
  <c r="E88" i="36"/>
  <c r="E36" i="36"/>
  <c r="E195" i="36"/>
  <c r="E190" i="36"/>
  <c r="E292" i="36"/>
  <c r="E269" i="36"/>
  <c r="E117" i="36"/>
  <c r="E103" i="36"/>
  <c r="E23" i="36"/>
  <c r="E48" i="36"/>
  <c r="E14" i="36"/>
  <c r="E273" i="36"/>
  <c r="E60" i="36"/>
  <c r="E147" i="36"/>
  <c r="E80" i="36"/>
  <c r="E19" i="36"/>
  <c r="E265" i="36"/>
  <c r="E111" i="36"/>
  <c r="E177" i="36"/>
  <c r="E138" i="36"/>
  <c r="E235" i="36"/>
  <c r="E63" i="36"/>
  <c r="E224" i="36"/>
  <c r="E217" i="36"/>
  <c r="E22" i="36"/>
  <c r="E228" i="36"/>
  <c r="E129" i="36"/>
  <c r="E59" i="36"/>
  <c r="E87" i="36"/>
  <c r="E263" i="36"/>
  <c r="E207" i="36"/>
  <c r="E52" i="36"/>
  <c r="E231" i="36"/>
  <c r="E67" i="36"/>
  <c r="E16" i="36"/>
  <c r="E146" i="36"/>
  <c r="E285" i="36"/>
  <c r="E268" i="36"/>
  <c r="E76" i="36"/>
  <c r="E10" i="36"/>
  <c r="E44" i="36"/>
  <c r="E11" i="36"/>
  <c r="E247" i="36"/>
  <c r="E113" i="36"/>
  <c r="E134" i="36"/>
  <c r="E179" i="36"/>
  <c r="E40" i="36"/>
  <c r="E79" i="36"/>
  <c r="E255" i="36"/>
  <c r="E46" i="36"/>
  <c r="E28" i="36"/>
  <c r="E239" i="36"/>
  <c r="E71" i="36"/>
  <c r="E216" i="36"/>
  <c r="E297" i="36"/>
  <c r="E131" i="36"/>
  <c r="E225" i="36"/>
  <c r="E178" i="36"/>
  <c r="E64" i="36"/>
  <c r="E32" i="36"/>
  <c r="E96" i="36"/>
  <c r="E198" i="36"/>
  <c r="E221" i="36"/>
  <c r="E264" i="36"/>
  <c r="E245" i="36"/>
  <c r="E236" i="36"/>
  <c r="E293" i="36"/>
  <c r="E233" i="36"/>
  <c r="E253" i="36"/>
  <c r="E165" i="36"/>
  <c r="E243" i="36"/>
  <c r="E108" i="36"/>
  <c r="E284" i="36"/>
  <c r="E237" i="36"/>
  <c r="E252" i="36"/>
  <c r="E154" i="36"/>
  <c r="E120" i="36"/>
  <c r="E39" i="36"/>
  <c r="E153" i="36"/>
  <c r="E173" i="36"/>
  <c r="E155" i="36"/>
  <c r="E57" i="36"/>
  <c r="E261" i="36"/>
  <c r="E174" i="36"/>
  <c r="E161" i="36"/>
  <c r="E42" i="36"/>
  <c r="E34" i="36"/>
  <c r="E91" i="36"/>
  <c r="E68" i="36"/>
  <c r="E12" i="36"/>
  <c r="E275" i="36"/>
  <c r="E121" i="36"/>
  <c r="E191" i="36"/>
  <c r="E296" i="36"/>
  <c r="E277" i="36"/>
  <c r="E289" i="36"/>
  <c r="E260" i="36"/>
  <c r="E249" i="36"/>
  <c r="E186" i="36"/>
  <c r="E30" i="36"/>
  <c r="E20" i="36"/>
  <c r="E251" i="36"/>
  <c r="E162" i="36"/>
  <c r="E43" i="36"/>
  <c r="E305" i="36"/>
  <c r="E276" i="36"/>
  <c r="E240" i="36"/>
  <c r="E248" i="36"/>
  <c r="E185" i="36"/>
  <c r="E38" i="36"/>
  <c r="E83" i="36"/>
  <c r="E58" i="36"/>
  <c r="E258" i="36"/>
  <c r="E65" i="36"/>
  <c r="E18" i="36"/>
  <c r="E203" i="36"/>
  <c r="E280" i="36"/>
  <c r="E55" i="36"/>
  <c r="E145" i="36"/>
  <c r="E229" i="36"/>
  <c r="E128" i="36"/>
  <c r="E304" i="36"/>
  <c r="E244" i="36"/>
  <c r="E257" i="36"/>
  <c r="E194" i="36"/>
  <c r="E158" i="36"/>
  <c r="E112" i="36"/>
  <c r="E47" i="36"/>
  <c r="E93" i="36"/>
  <c r="E300" i="36"/>
  <c r="E238" i="36"/>
  <c r="E94" i="36"/>
  <c r="E306" i="36"/>
  <c r="E294" i="36"/>
  <c r="E250" i="36"/>
  <c r="E101" i="36"/>
  <c r="E172" i="36"/>
  <c r="E308" i="36"/>
  <c r="E241" i="36"/>
  <c r="E232" i="36"/>
  <c r="E256" i="36"/>
  <c r="E157" i="36"/>
  <c r="E75" i="36"/>
  <c r="E197" i="36"/>
  <c r="E159" i="36"/>
  <c r="E262" i="36"/>
  <c r="E254" i="36"/>
  <c r="E110" i="36"/>
  <c r="E274" i="36"/>
  <c r="E192" i="36"/>
  <c r="E199" i="36"/>
  <c r="E301" i="36"/>
  <c r="E182" i="36"/>
  <c r="E219" i="36"/>
  <c r="E272" i="36"/>
  <c r="E288" i="36"/>
  <c r="E181" i="36"/>
  <c r="E230" i="36"/>
  <c r="E210" i="36"/>
  <c r="E109" i="36"/>
  <c r="E303" i="36"/>
  <c r="E287" i="36"/>
  <c r="E267" i="36"/>
  <c r="E298" i="36"/>
  <c r="E266" i="36"/>
  <c r="E184" i="36"/>
  <c r="E183" i="36"/>
  <c r="E125" i="36"/>
  <c r="E171" i="36"/>
  <c r="E187" i="36"/>
  <c r="E122" i="36"/>
  <c r="E115" i="36"/>
  <c r="E246" i="36"/>
  <c r="E127" i="36"/>
  <c r="E142" i="36"/>
  <c r="E107" i="36"/>
  <c r="E279" i="36"/>
  <c r="E215" i="36"/>
  <c r="E123" i="36"/>
  <c r="E226" i="36"/>
  <c r="E222" i="36"/>
  <c r="E13" i="36"/>
  <c r="E114" i="36"/>
  <c r="E86" i="36"/>
  <c r="E21" i="36"/>
  <c r="E286" i="36"/>
  <c r="E234" i="36"/>
  <c r="E143" i="36"/>
  <c r="E106" i="36"/>
  <c r="E105" i="36"/>
  <c r="E90" i="36"/>
  <c r="E89" i="36"/>
  <c r="E193" i="36"/>
  <c r="E167" i="36"/>
  <c r="E66" i="36"/>
  <c r="E126" i="36"/>
  <c r="E25" i="36"/>
  <c r="E37" i="36"/>
  <c r="E295" i="36"/>
  <c r="E307" i="36"/>
  <c r="E132" i="36"/>
  <c r="E196" i="36"/>
  <c r="E135" i="36"/>
  <c r="E69" i="36"/>
  <c r="E206" i="36"/>
  <c r="E102" i="36"/>
  <c r="E202" i="36"/>
  <c r="E175" i="36"/>
  <c r="E164" i="36"/>
  <c r="E149" i="36"/>
  <c r="E78" i="36"/>
  <c r="E41" i="36"/>
  <c r="E33" i="36"/>
  <c r="E31" i="36"/>
  <c r="E214" i="36"/>
  <c r="E299" i="36"/>
  <c r="E140" i="36"/>
  <c r="E160" i="36"/>
  <c r="E133" i="36"/>
  <c r="E118" i="36"/>
  <c r="E70" i="36"/>
  <c r="E45" i="36"/>
  <c r="E53" i="36"/>
  <c r="E166" i="36"/>
  <c r="E271" i="36"/>
  <c r="E156" i="36"/>
  <c r="E291" i="36"/>
  <c r="E282" i="36"/>
  <c r="E85" i="36"/>
  <c r="E98" i="36"/>
  <c r="E97" i="36"/>
  <c r="E61" i="36"/>
  <c r="E136" i="36"/>
  <c r="E176" i="36"/>
  <c r="E82" i="36"/>
  <c r="E49" i="36"/>
  <c r="E95" i="36"/>
  <c r="E242" i="36"/>
  <c r="E81" i="36"/>
  <c r="E137" i="36"/>
  <c r="E290" i="36"/>
  <c r="E270" i="36"/>
  <c r="E218" i="36"/>
  <c r="E151" i="36"/>
  <c r="E180" i="36"/>
  <c r="E188" i="36"/>
  <c r="E148" i="36"/>
  <c r="E77" i="36"/>
  <c r="E152" i="36"/>
  <c r="E144" i="36"/>
  <c r="E62" i="36"/>
  <c r="E54" i="36"/>
  <c r="E73" i="36"/>
  <c r="E72" i="36"/>
  <c r="E278" i="36"/>
  <c r="E29" i="36"/>
  <c r="E17" i="36"/>
  <c r="E74" i="36"/>
  <c r="E119" i="36"/>
  <c r="E283" i="36"/>
  <c r="E130" i="36"/>
  <c r="E168" i="36"/>
  <c r="E124" i="36"/>
  <c r="E50" i="36"/>
  <c r="Z306" i="42"/>
  <c r="E306" i="11"/>
  <c r="D306" i="49"/>
  <c r="B306" i="11"/>
  <c r="F306" i="19"/>
  <c r="I306" i="19"/>
  <c r="J306" i="19"/>
  <c r="N306" i="19"/>
  <c r="C306" i="19"/>
  <c r="D306" i="19"/>
  <c r="E306" i="19"/>
  <c r="H306" i="19"/>
  <c r="G306" i="19"/>
  <c r="B306" i="25"/>
  <c r="E6" i="13"/>
  <c r="F6" i="13" s="1"/>
  <c r="D9" i="36"/>
  <c r="J9" i="36"/>
  <c r="I9" i="36"/>
  <c r="F9" i="36"/>
  <c r="H9" i="36"/>
  <c r="E9" i="36"/>
  <c r="G9" i="36"/>
  <c r="K234" i="36" l="1"/>
  <c r="E237" i="34" s="1"/>
  <c r="E231" i="12" s="1"/>
  <c r="K43" i="36"/>
  <c r="E46" i="34" s="1"/>
  <c r="E40" i="12" s="1"/>
  <c r="K169" i="36"/>
  <c r="E172" i="34" s="1"/>
  <c r="E166" i="12" s="1"/>
  <c r="K131" i="36"/>
  <c r="E134" i="34" s="1"/>
  <c r="E128" i="12" s="1"/>
  <c r="K155" i="36"/>
  <c r="E158" i="34" s="1"/>
  <c r="E152" i="12" s="1"/>
  <c r="K61" i="36"/>
  <c r="E64" i="34" s="1"/>
  <c r="E58" i="12" s="1"/>
  <c r="K294" i="36"/>
  <c r="E297" i="34" s="1"/>
  <c r="E291" i="12" s="1"/>
  <c r="K172" i="36"/>
  <c r="E175" i="34" s="1"/>
  <c r="E169" i="12" s="1"/>
  <c r="K83" i="36"/>
  <c r="E86" i="34" s="1"/>
  <c r="E80" i="12" s="1"/>
  <c r="K275" i="36"/>
  <c r="E278" i="34" s="1"/>
  <c r="E272" i="12" s="1"/>
  <c r="K287" i="36"/>
  <c r="E290" i="34" s="1"/>
  <c r="E284" i="12" s="1"/>
  <c r="K247" i="36"/>
  <c r="E250" i="34" s="1"/>
  <c r="E244" i="12" s="1"/>
  <c r="K258" i="36"/>
  <c r="E261" i="34" s="1"/>
  <c r="E255" i="12" s="1"/>
  <c r="K69" i="36"/>
  <c r="E72" i="34" s="1"/>
  <c r="E66" i="12" s="1"/>
  <c r="K255" i="36"/>
  <c r="E258" i="34" s="1"/>
  <c r="E252" i="12" s="1"/>
  <c r="K244" i="36"/>
  <c r="E247" i="34" s="1"/>
  <c r="E241" i="12" s="1"/>
  <c r="K242" i="36"/>
  <c r="E245" i="34" s="1"/>
  <c r="E239" i="12" s="1"/>
  <c r="K299" i="36"/>
  <c r="E302" i="34" s="1"/>
  <c r="E296" i="12" s="1"/>
  <c r="K109" i="36"/>
  <c r="E112" i="34" s="1"/>
  <c r="E106" i="12" s="1"/>
  <c r="K199" i="36"/>
  <c r="E202" i="34" s="1"/>
  <c r="E196" i="12" s="1"/>
  <c r="K42" i="36"/>
  <c r="E45" i="34" s="1"/>
  <c r="E39" i="12" s="1"/>
  <c r="K48" i="36"/>
  <c r="E51" i="34" s="1"/>
  <c r="E45" i="12" s="1"/>
  <c r="K75" i="36"/>
  <c r="E78" i="34" s="1"/>
  <c r="E72" i="12" s="1"/>
  <c r="K220" i="36"/>
  <c r="E223" i="34" s="1"/>
  <c r="E217" i="12" s="1"/>
  <c r="K272" i="36"/>
  <c r="E275" i="34" s="1"/>
  <c r="E269" i="12" s="1"/>
  <c r="K19" i="36"/>
  <c r="E22" i="34" s="1"/>
  <c r="E16" i="12" s="1"/>
  <c r="K256" i="36"/>
  <c r="E259" i="34" s="1"/>
  <c r="E253" i="12" s="1"/>
  <c r="K178" i="36"/>
  <c r="E181" i="34" s="1"/>
  <c r="E175" i="12" s="1"/>
  <c r="K72" i="36"/>
  <c r="E75" i="34" s="1"/>
  <c r="E69" i="12" s="1"/>
  <c r="K23" i="36"/>
  <c r="E26" i="34" s="1"/>
  <c r="E20" i="12" s="1"/>
  <c r="K176" i="36"/>
  <c r="E179" i="34" s="1"/>
  <c r="E173" i="12" s="1"/>
  <c r="K78" i="36"/>
  <c r="E81" i="34" s="1"/>
  <c r="E75" i="12" s="1"/>
  <c r="K248" i="36"/>
  <c r="E251" i="34" s="1"/>
  <c r="E245" i="12" s="1"/>
  <c r="K103" i="36"/>
  <c r="E106" i="34" s="1"/>
  <c r="E100" i="12" s="1"/>
  <c r="K165" i="36"/>
  <c r="E168" i="34" s="1"/>
  <c r="E162" i="12" s="1"/>
  <c r="K204" i="36"/>
  <c r="E207" i="34" s="1"/>
  <c r="E201" i="12" s="1"/>
  <c r="K200" i="36"/>
  <c r="E203" i="34" s="1"/>
  <c r="E197" i="12" s="1"/>
  <c r="K110" i="36"/>
  <c r="E113" i="34" s="1"/>
  <c r="E107" i="12" s="1"/>
  <c r="K21" i="36"/>
  <c r="E24" i="34" s="1"/>
  <c r="E18" i="12" s="1"/>
  <c r="K101" i="36"/>
  <c r="E104" i="34" s="1"/>
  <c r="E98" i="12" s="1"/>
  <c r="K171" i="36"/>
  <c r="E174" i="34" s="1"/>
  <c r="E168" i="12" s="1"/>
  <c r="K77" i="36"/>
  <c r="E80" i="34" s="1"/>
  <c r="E74" i="12" s="1"/>
  <c r="K153" i="36"/>
  <c r="E156" i="34" s="1"/>
  <c r="E150" i="12" s="1"/>
  <c r="K238" i="36"/>
  <c r="E241" i="34" s="1"/>
  <c r="E235" i="12" s="1"/>
  <c r="K274" i="36"/>
  <c r="E277" i="34" s="1"/>
  <c r="E271" i="12" s="1"/>
  <c r="K33" i="36"/>
  <c r="E36" i="34" s="1"/>
  <c r="E30" i="12" s="1"/>
  <c r="K246" i="36"/>
  <c r="E249" i="34" s="1"/>
  <c r="E243" i="12" s="1"/>
  <c r="K300" i="36"/>
  <c r="E303" i="34" s="1"/>
  <c r="E297" i="12" s="1"/>
  <c r="K52" i="36"/>
  <c r="E55" i="34" s="1"/>
  <c r="E49" i="12" s="1"/>
  <c r="K58" i="36"/>
  <c r="E61" i="34" s="1"/>
  <c r="E55" i="12" s="1"/>
  <c r="K271" i="36"/>
  <c r="E274" i="34" s="1"/>
  <c r="E268" i="12" s="1"/>
  <c r="K35" i="36"/>
  <c r="E38" i="34" s="1"/>
  <c r="E32" i="12" s="1"/>
  <c r="K264" i="36"/>
  <c r="E267" i="34" s="1"/>
  <c r="E261" i="12" s="1"/>
  <c r="K230" i="36"/>
  <c r="E233" i="34" s="1"/>
  <c r="E227" i="12" s="1"/>
  <c r="K224" i="36"/>
  <c r="E227" i="34" s="1"/>
  <c r="E221" i="12" s="1"/>
  <c r="K197" i="36"/>
  <c r="E200" i="34" s="1"/>
  <c r="E194" i="12" s="1"/>
  <c r="K233" i="36"/>
  <c r="E236" i="34" s="1"/>
  <c r="E230" i="12" s="1"/>
  <c r="K11" i="36"/>
  <c r="E14" i="34" s="1"/>
  <c r="E8" i="12" s="1"/>
  <c r="K56" i="36"/>
  <c r="E59" i="34" s="1"/>
  <c r="E53" i="12" s="1"/>
  <c r="K91" i="36"/>
  <c r="E94" i="34" s="1"/>
  <c r="E88" i="12" s="1"/>
  <c r="K228" i="36"/>
  <c r="E231" i="34" s="1"/>
  <c r="E225" i="12" s="1"/>
  <c r="K249" i="36"/>
  <c r="E252" i="34" s="1"/>
  <c r="E246" i="12" s="1"/>
  <c r="K74" i="36"/>
  <c r="E77" i="34" s="1"/>
  <c r="E71" i="12" s="1"/>
  <c r="K136" i="36"/>
  <c r="E139" i="34" s="1"/>
  <c r="E133" i="12" s="1"/>
  <c r="K28" i="36"/>
  <c r="E31" i="34" s="1"/>
  <c r="E25" i="12" s="1"/>
  <c r="K62" i="36"/>
  <c r="E65" i="34" s="1"/>
  <c r="E59" i="12" s="1"/>
  <c r="K99" i="36"/>
  <c r="E102" i="34" s="1"/>
  <c r="E96" i="12" s="1"/>
  <c r="K193" i="36"/>
  <c r="E196" i="34" s="1"/>
  <c r="E190" i="12" s="1"/>
  <c r="K225" i="36"/>
  <c r="E228" i="34" s="1"/>
  <c r="E222" i="12" s="1"/>
  <c r="K24" i="36"/>
  <c r="E27" i="34" s="1"/>
  <c r="E21" i="12" s="1"/>
  <c r="K257" i="36"/>
  <c r="E260" i="34" s="1"/>
  <c r="E254" i="12" s="1"/>
  <c r="K46" i="36"/>
  <c r="E49" i="34" s="1"/>
  <c r="E43" i="12" s="1"/>
  <c r="K80" i="36"/>
  <c r="E83" i="34" s="1"/>
  <c r="E77" i="12" s="1"/>
  <c r="K168" i="36"/>
  <c r="E171" i="34" s="1"/>
  <c r="E165" i="12" s="1"/>
  <c r="K45" i="36"/>
  <c r="E48" i="34" s="1"/>
  <c r="E42" i="12" s="1"/>
  <c r="K57" i="36"/>
  <c r="E60" i="34" s="1"/>
  <c r="E54" i="12" s="1"/>
  <c r="K184" i="36"/>
  <c r="E187" i="34" s="1"/>
  <c r="E181" i="12" s="1"/>
  <c r="K73" i="36"/>
  <c r="E76" i="34" s="1"/>
  <c r="E70" i="12" s="1"/>
  <c r="K218" i="36"/>
  <c r="E221" i="34" s="1"/>
  <c r="E215" i="12" s="1"/>
  <c r="K191" i="36"/>
  <c r="E194" i="34" s="1"/>
  <c r="E188" i="12" s="1"/>
  <c r="K64" i="36"/>
  <c r="E67" i="34" s="1"/>
  <c r="E61" i="12" s="1"/>
  <c r="K283" i="36"/>
  <c r="E286" i="34" s="1"/>
  <c r="E280" i="12" s="1"/>
  <c r="K41" i="36"/>
  <c r="E44" i="34" s="1"/>
  <c r="E38" i="12" s="1"/>
  <c r="K284" i="36"/>
  <c r="E287" i="34" s="1"/>
  <c r="E281" i="12" s="1"/>
  <c r="K254" i="36"/>
  <c r="E257" i="34" s="1"/>
  <c r="E251" i="12" s="1"/>
  <c r="K289" i="36"/>
  <c r="E292" i="34" s="1"/>
  <c r="E286" i="12" s="1"/>
  <c r="K216" i="36"/>
  <c r="E219" i="34" s="1"/>
  <c r="E213" i="12" s="1"/>
  <c r="K290" i="36"/>
  <c r="E293" i="34" s="1"/>
  <c r="E287" i="12" s="1"/>
  <c r="K237" i="36"/>
  <c r="E240" i="34" s="1"/>
  <c r="E234" i="12" s="1"/>
  <c r="K125" i="36"/>
  <c r="E128" i="34" s="1"/>
  <c r="E122" i="12" s="1"/>
  <c r="K59" i="36"/>
  <c r="E62" i="34" s="1"/>
  <c r="E56" i="12" s="1"/>
  <c r="K259" i="36"/>
  <c r="E262" i="34" s="1"/>
  <c r="E256" i="12" s="1"/>
  <c r="K210" i="36"/>
  <c r="E213" i="34" s="1"/>
  <c r="E207" i="12" s="1"/>
  <c r="K308" i="36"/>
  <c r="E311" i="34" s="1"/>
  <c r="E305" i="12" s="1"/>
  <c r="K44" i="36"/>
  <c r="E47" i="34" s="1"/>
  <c r="E41" i="12" s="1"/>
  <c r="K88" i="36"/>
  <c r="E91" i="34" s="1"/>
  <c r="E85" i="12" s="1"/>
  <c r="K107" i="36"/>
  <c r="E110" i="34" s="1"/>
  <c r="E104" i="12" s="1"/>
  <c r="K31" i="36"/>
  <c r="E34" i="34" s="1"/>
  <c r="E28" i="12" s="1"/>
  <c r="K86" i="36"/>
  <c r="E89" i="34" s="1"/>
  <c r="E83" i="12" s="1"/>
  <c r="K219" i="36"/>
  <c r="E222" i="34" s="1"/>
  <c r="E216" i="12" s="1"/>
  <c r="K188" i="36"/>
  <c r="E191" i="34" s="1"/>
  <c r="E185" i="12" s="1"/>
  <c r="K221" i="36"/>
  <c r="E224" i="34" s="1"/>
  <c r="E218" i="12" s="1"/>
  <c r="K229" i="36"/>
  <c r="E232" i="34" s="1"/>
  <c r="E226" i="12" s="1"/>
  <c r="K120" i="36"/>
  <c r="E123" i="34" s="1"/>
  <c r="E117" i="12" s="1"/>
  <c r="K20" i="36"/>
  <c r="E23" i="34" s="1"/>
  <c r="E17" i="12" s="1"/>
  <c r="K189" i="36"/>
  <c r="E192" i="34" s="1"/>
  <c r="E186" i="12" s="1"/>
  <c r="K152" i="36"/>
  <c r="E155" i="34" s="1"/>
  <c r="E149" i="12" s="1"/>
  <c r="K269" i="36"/>
  <c r="E272" i="34" s="1"/>
  <c r="E266" i="12" s="1"/>
  <c r="K253" i="36"/>
  <c r="E256" i="34" s="1"/>
  <c r="E250" i="12" s="1"/>
  <c r="K26" i="36"/>
  <c r="E29" i="34" s="1"/>
  <c r="E23" i="12" s="1"/>
  <c r="K208" i="36"/>
  <c r="E211" i="34" s="1"/>
  <c r="E205" i="12" s="1"/>
  <c r="K89" i="36"/>
  <c r="E92" i="34" s="1"/>
  <c r="E86" i="12" s="1"/>
  <c r="K145" i="36"/>
  <c r="E148" i="34" s="1"/>
  <c r="E142" i="12" s="1"/>
  <c r="K278" i="36"/>
  <c r="E281" i="34" s="1"/>
  <c r="E275" i="12" s="1"/>
  <c r="K119" i="36"/>
  <c r="E122" i="34" s="1"/>
  <c r="E116" i="12" s="1"/>
  <c r="K270" i="36"/>
  <c r="E273" i="34" s="1"/>
  <c r="E267" i="12" s="1"/>
  <c r="K97" i="36"/>
  <c r="E100" i="34" s="1"/>
  <c r="E94" i="12" s="1"/>
  <c r="K196" i="36"/>
  <c r="E199" i="34" s="1"/>
  <c r="E193" i="12" s="1"/>
  <c r="K295" i="36"/>
  <c r="E298" i="34" s="1"/>
  <c r="E292" i="12" s="1"/>
  <c r="K121" i="36"/>
  <c r="E124" i="34" s="1"/>
  <c r="E118" i="12" s="1"/>
  <c r="K17" i="36"/>
  <c r="E20" i="34" s="1"/>
  <c r="E14" i="12" s="1"/>
  <c r="K262" i="36"/>
  <c r="E265" i="34" s="1"/>
  <c r="E259" i="12" s="1"/>
  <c r="K240" i="36"/>
  <c r="E243" i="34" s="1"/>
  <c r="E237" i="12" s="1"/>
  <c r="K67" i="36"/>
  <c r="E70" i="34" s="1"/>
  <c r="E64" i="12" s="1"/>
  <c r="K102" i="36"/>
  <c r="E105" i="34" s="1"/>
  <c r="E99" i="12" s="1"/>
  <c r="K182" i="36"/>
  <c r="E185" i="34" s="1"/>
  <c r="E179" i="12" s="1"/>
  <c r="K140" i="36"/>
  <c r="E143" i="34" s="1"/>
  <c r="E137" i="12" s="1"/>
  <c r="K12" i="36"/>
  <c r="E15" i="34" s="1"/>
  <c r="E9" i="12" s="1"/>
  <c r="K186" i="36"/>
  <c r="E189" i="34" s="1"/>
  <c r="E183" i="12" s="1"/>
  <c r="K30" i="36"/>
  <c r="E33" i="34" s="1"/>
  <c r="E27" i="12" s="1"/>
  <c r="K154" i="36"/>
  <c r="E157" i="34" s="1"/>
  <c r="E151" i="12" s="1"/>
  <c r="K60" i="36"/>
  <c r="E63" i="34" s="1"/>
  <c r="E57" i="12" s="1"/>
  <c r="K252" i="36"/>
  <c r="E255" i="34" s="1"/>
  <c r="E249" i="12" s="1"/>
  <c r="K134" i="36"/>
  <c r="E137" i="34" s="1"/>
  <c r="E131" i="12" s="1"/>
  <c r="K190" i="36"/>
  <c r="E193" i="34" s="1"/>
  <c r="E187" i="12" s="1"/>
  <c r="K141" i="36"/>
  <c r="E144" i="34" s="1"/>
  <c r="E138" i="12" s="1"/>
  <c r="K185" i="36"/>
  <c r="E188" i="34" s="1"/>
  <c r="E182" i="12" s="1"/>
  <c r="K54" i="36"/>
  <c r="E57" i="34" s="1"/>
  <c r="E51" i="12" s="1"/>
  <c r="K15" i="36"/>
  <c r="E18" i="34" s="1"/>
  <c r="E12" i="12" s="1"/>
  <c r="K50" i="36"/>
  <c r="E53" i="34" s="1"/>
  <c r="E47" i="12" s="1"/>
  <c r="K157" i="36"/>
  <c r="E160" i="34" s="1"/>
  <c r="E154" i="12" s="1"/>
  <c r="K181" i="36"/>
  <c r="E184" i="34" s="1"/>
  <c r="E178" i="12" s="1"/>
  <c r="K27" i="36"/>
  <c r="E30" i="34" s="1"/>
  <c r="E24" i="12" s="1"/>
  <c r="K215" i="36"/>
  <c r="E218" i="34" s="1"/>
  <c r="E212" i="12" s="1"/>
  <c r="K297" i="36"/>
  <c r="E300" i="34" s="1"/>
  <c r="E294" i="12" s="1"/>
  <c r="K213" i="36"/>
  <c r="E216" i="34" s="1"/>
  <c r="E210" i="12" s="1"/>
  <c r="K16" i="36"/>
  <c r="E19" i="34" s="1"/>
  <c r="E13" i="12" s="1"/>
  <c r="K260" i="36"/>
  <c r="E263" i="34" s="1"/>
  <c r="E257" i="12" s="1"/>
  <c r="K117" i="36"/>
  <c r="E120" i="34" s="1"/>
  <c r="E114" i="12" s="1"/>
  <c r="K25" i="36"/>
  <c r="E28" i="34" s="1"/>
  <c r="E22" i="12" s="1"/>
  <c r="K164" i="36"/>
  <c r="E167" i="34" s="1"/>
  <c r="E161" i="12" s="1"/>
  <c r="K13" i="36"/>
  <c r="E16" i="34" s="1"/>
  <c r="E10" i="12" s="1"/>
  <c r="K151" i="36"/>
  <c r="E154" i="34" s="1"/>
  <c r="E148" i="12" s="1"/>
  <c r="K93" i="36"/>
  <c r="E96" i="34" s="1"/>
  <c r="E90" i="12" s="1"/>
  <c r="K85" i="36"/>
  <c r="E88" i="34" s="1"/>
  <c r="E82" i="12" s="1"/>
  <c r="K163" i="36"/>
  <c r="E166" i="34" s="1"/>
  <c r="E160" i="12" s="1"/>
  <c r="K94" i="36"/>
  <c r="E97" i="34" s="1"/>
  <c r="E91" i="12" s="1"/>
  <c r="K148" i="36"/>
  <c r="E151" i="34" s="1"/>
  <c r="E145" i="12" s="1"/>
  <c r="K29" i="36"/>
  <c r="E32" i="34" s="1"/>
  <c r="E26" i="12" s="1"/>
  <c r="K122" i="36"/>
  <c r="E125" i="34" s="1"/>
  <c r="E119" i="12" s="1"/>
  <c r="K303" i="36"/>
  <c r="E306" i="34" s="1"/>
  <c r="E300" i="12" s="1"/>
  <c r="K38" i="36"/>
  <c r="E41" i="34" s="1"/>
  <c r="E35" i="12" s="1"/>
  <c r="K127" i="36"/>
  <c r="E130" i="34" s="1"/>
  <c r="E124" i="12" s="1"/>
  <c r="K292" i="36"/>
  <c r="E295" i="34" s="1"/>
  <c r="E289" i="12" s="1"/>
  <c r="K183" i="36"/>
  <c r="E186" i="34" s="1"/>
  <c r="E180" i="12" s="1"/>
  <c r="K111" i="36"/>
  <c r="E114" i="34" s="1"/>
  <c r="E108" i="12" s="1"/>
  <c r="K296" i="36"/>
  <c r="E299" i="34" s="1"/>
  <c r="E293" i="12" s="1"/>
  <c r="K84" i="36"/>
  <c r="E87" i="34" s="1"/>
  <c r="E81" i="12" s="1"/>
  <c r="K227" i="36"/>
  <c r="E230" i="34" s="1"/>
  <c r="E224" i="12" s="1"/>
  <c r="K116" i="36"/>
  <c r="E119" i="34" s="1"/>
  <c r="E113" i="12" s="1"/>
  <c r="K277" i="36"/>
  <c r="E280" i="34" s="1"/>
  <c r="E274" i="12" s="1"/>
  <c r="K207" i="36"/>
  <c r="E210" i="34" s="1"/>
  <c r="E204" i="12" s="1"/>
  <c r="K211" i="36"/>
  <c r="E214" i="34" s="1"/>
  <c r="E208" i="12" s="1"/>
  <c r="K76" i="36"/>
  <c r="E79" i="34" s="1"/>
  <c r="E73" i="12" s="1"/>
  <c r="K123" i="36"/>
  <c r="E126" i="34" s="1"/>
  <c r="E120" i="12" s="1"/>
  <c r="K301" i="36"/>
  <c r="E304" i="34" s="1"/>
  <c r="E298" i="12" s="1"/>
  <c r="K47" i="36"/>
  <c r="E50" i="34" s="1"/>
  <c r="E44" i="12" s="1"/>
  <c r="K126" i="36"/>
  <c r="E129" i="34" s="1"/>
  <c r="E123" i="12" s="1"/>
  <c r="K100" i="36"/>
  <c r="E103" i="34" s="1"/>
  <c r="E97" i="12" s="1"/>
  <c r="K82" i="36"/>
  <c r="E85" i="34" s="1"/>
  <c r="E79" i="12" s="1"/>
  <c r="K55" i="36"/>
  <c r="E58" i="34" s="1"/>
  <c r="E52" i="12" s="1"/>
  <c r="K174" i="36"/>
  <c r="E177" i="34" s="1"/>
  <c r="E171" i="12" s="1"/>
  <c r="K235" i="36"/>
  <c r="E238" i="34" s="1"/>
  <c r="E232" i="12" s="1"/>
  <c r="K158" i="36"/>
  <c r="E161" i="34" s="1"/>
  <c r="E155" i="12" s="1"/>
  <c r="K18" i="36"/>
  <c r="E21" i="34" s="1"/>
  <c r="E15" i="12" s="1"/>
  <c r="K209" i="36"/>
  <c r="E212" i="34" s="1"/>
  <c r="E206" i="12" s="1"/>
  <c r="K53" i="36"/>
  <c r="E56" i="34" s="1"/>
  <c r="E50" i="12" s="1"/>
  <c r="K129" i="36"/>
  <c r="E132" i="34" s="1"/>
  <c r="E126" i="12" s="1"/>
  <c r="K167" i="36"/>
  <c r="E170" i="34" s="1"/>
  <c r="E164" i="12" s="1"/>
  <c r="K222" i="36"/>
  <c r="E225" i="34" s="1"/>
  <c r="E219" i="12" s="1"/>
  <c r="K291" i="36"/>
  <c r="E294" i="34" s="1"/>
  <c r="E288" i="12" s="1"/>
  <c r="K49" i="36"/>
  <c r="E52" i="34" s="1"/>
  <c r="E46" i="12" s="1"/>
  <c r="K132" i="36"/>
  <c r="E135" i="34" s="1"/>
  <c r="E129" i="12" s="1"/>
  <c r="K98" i="36"/>
  <c r="E101" i="34" s="1"/>
  <c r="E95" i="12" s="1"/>
  <c r="K115" i="36"/>
  <c r="E118" i="34" s="1"/>
  <c r="E112" i="12" s="1"/>
  <c r="K161" i="36"/>
  <c r="E164" i="34" s="1"/>
  <c r="E158" i="12" s="1"/>
  <c r="K180" i="36"/>
  <c r="E183" i="34" s="1"/>
  <c r="E177" i="12" s="1"/>
  <c r="K226" i="36"/>
  <c r="E229" i="34" s="1"/>
  <c r="E223" i="12" s="1"/>
  <c r="K156" i="36"/>
  <c r="E159" i="34" s="1"/>
  <c r="E153" i="12" s="1"/>
  <c r="K95" i="36"/>
  <c r="E98" i="34" s="1"/>
  <c r="E92" i="12" s="1"/>
  <c r="K81" i="36"/>
  <c r="E84" i="34" s="1"/>
  <c r="E78" i="12" s="1"/>
  <c r="K36" i="36"/>
  <c r="E39" i="34" s="1"/>
  <c r="E33" i="12" s="1"/>
  <c r="K266" i="36"/>
  <c r="E269" i="34" s="1"/>
  <c r="E263" i="12" s="1"/>
  <c r="K304" i="36"/>
  <c r="E307" i="34" s="1"/>
  <c r="E301" i="12" s="1"/>
  <c r="K10" i="36"/>
  <c r="E13" i="34" s="1"/>
  <c r="E7" i="12" s="1"/>
  <c r="K96" i="36"/>
  <c r="E99" i="34" s="1"/>
  <c r="E93" i="12" s="1"/>
  <c r="K302" i="36"/>
  <c r="E305" i="34" s="1"/>
  <c r="E299" i="12" s="1"/>
  <c r="K173" i="36"/>
  <c r="E176" i="34" s="1"/>
  <c r="E170" i="12" s="1"/>
  <c r="K268" i="36"/>
  <c r="E271" i="34" s="1"/>
  <c r="E265" i="12" s="1"/>
  <c r="K236" i="36"/>
  <c r="E239" i="34" s="1"/>
  <c r="E233" i="12" s="1"/>
  <c r="K232" i="36"/>
  <c r="E235" i="34" s="1"/>
  <c r="E229" i="12" s="1"/>
  <c r="K92" i="36"/>
  <c r="E95" i="34" s="1"/>
  <c r="E89" i="12" s="1"/>
  <c r="K293" i="36"/>
  <c r="E296" i="34" s="1"/>
  <c r="E290" i="12" s="1"/>
  <c r="K133" i="36"/>
  <c r="E136" i="34" s="1"/>
  <c r="E130" i="12" s="1"/>
  <c r="K192" i="36"/>
  <c r="E195" i="34" s="1"/>
  <c r="E189" i="12" s="1"/>
  <c r="K198" i="36"/>
  <c r="E201" i="34" s="1"/>
  <c r="E195" i="12" s="1"/>
  <c r="K104" i="36"/>
  <c r="E107" i="34" s="1"/>
  <c r="E101" i="12" s="1"/>
  <c r="K280" i="36"/>
  <c r="E283" i="34" s="1"/>
  <c r="E277" i="12" s="1"/>
  <c r="K124" i="36"/>
  <c r="E127" i="34" s="1"/>
  <c r="E121" i="12" s="1"/>
  <c r="K217" i="36"/>
  <c r="E220" i="34" s="1"/>
  <c r="E214" i="12" s="1"/>
  <c r="K212" i="36"/>
  <c r="E215" i="34" s="1"/>
  <c r="E209" i="12" s="1"/>
  <c r="K87" i="36"/>
  <c r="E90" i="34" s="1"/>
  <c r="E84" i="12" s="1"/>
  <c r="K265" i="36"/>
  <c r="E268" i="34" s="1"/>
  <c r="E262" i="12" s="1"/>
  <c r="K150" i="36"/>
  <c r="E153" i="34" s="1"/>
  <c r="E147" i="12" s="1"/>
  <c r="K105" i="36"/>
  <c r="E108" i="34" s="1"/>
  <c r="E102" i="12" s="1"/>
  <c r="K135" i="36"/>
  <c r="E138" i="34" s="1"/>
  <c r="E132" i="12" s="1"/>
  <c r="K90" i="36"/>
  <c r="E93" i="34" s="1"/>
  <c r="E87" i="12" s="1"/>
  <c r="K159" i="36"/>
  <c r="E162" i="34" s="1"/>
  <c r="E156" i="12" s="1"/>
  <c r="K137" i="36"/>
  <c r="E140" i="34" s="1"/>
  <c r="E134" i="12" s="1"/>
  <c r="K179" i="36"/>
  <c r="E182" i="34" s="1"/>
  <c r="E176" i="12" s="1"/>
  <c r="K250" i="36"/>
  <c r="E253" i="34" s="1"/>
  <c r="E247" i="12" s="1"/>
  <c r="K175" i="36"/>
  <c r="E178" i="34" s="1"/>
  <c r="E172" i="12" s="1"/>
  <c r="K214" i="36"/>
  <c r="E217" i="34" s="1"/>
  <c r="E211" i="12" s="1"/>
  <c r="K195" i="36"/>
  <c r="E198" i="34" s="1"/>
  <c r="E192" i="12" s="1"/>
  <c r="K143" i="36"/>
  <c r="E146" i="34" s="1"/>
  <c r="E140" i="12" s="1"/>
  <c r="K32" i="36"/>
  <c r="E35" i="34" s="1"/>
  <c r="E29" i="12" s="1"/>
  <c r="K206" i="36"/>
  <c r="E209" i="34" s="1"/>
  <c r="E203" i="12" s="1"/>
  <c r="K288" i="36"/>
  <c r="E291" i="34" s="1"/>
  <c r="E285" i="12" s="1"/>
  <c r="K187" i="36"/>
  <c r="E190" i="34" s="1"/>
  <c r="E184" i="12" s="1"/>
  <c r="K68" i="36"/>
  <c r="E71" i="34" s="1"/>
  <c r="E65" i="12" s="1"/>
  <c r="K279" i="36"/>
  <c r="E282" i="34" s="1"/>
  <c r="E276" i="12" s="1"/>
  <c r="K267" i="36"/>
  <c r="E270" i="34" s="1"/>
  <c r="E264" i="12" s="1"/>
  <c r="K276" i="36"/>
  <c r="E279" i="34" s="1"/>
  <c r="E273" i="12" s="1"/>
  <c r="K128" i="36"/>
  <c r="E131" i="34" s="1"/>
  <c r="E125" i="12" s="1"/>
  <c r="K251" i="36"/>
  <c r="E254" i="34" s="1"/>
  <c r="E248" i="12" s="1"/>
  <c r="K203" i="36"/>
  <c r="E206" i="34" s="1"/>
  <c r="E200" i="12" s="1"/>
  <c r="K51" i="36"/>
  <c r="E54" i="34" s="1"/>
  <c r="E48" i="12" s="1"/>
  <c r="K245" i="36"/>
  <c r="E248" i="34" s="1"/>
  <c r="E242" i="12" s="1"/>
  <c r="K241" i="36"/>
  <c r="E244" i="34" s="1"/>
  <c r="E238" i="12" s="1"/>
  <c r="K108" i="36"/>
  <c r="E111" i="34" s="1"/>
  <c r="E105" i="12" s="1"/>
  <c r="K162" i="36"/>
  <c r="E165" i="34" s="1"/>
  <c r="E159" i="12" s="1"/>
  <c r="K118" i="36"/>
  <c r="E121" i="34" s="1"/>
  <c r="E115" i="12" s="1"/>
  <c r="K70" i="36"/>
  <c r="E73" i="34" s="1"/>
  <c r="E67" i="12" s="1"/>
  <c r="K22" i="36"/>
  <c r="E25" i="34" s="1"/>
  <c r="E19" i="12" s="1"/>
  <c r="K14" i="36"/>
  <c r="E17" i="34" s="1"/>
  <c r="E11" i="12" s="1"/>
  <c r="K166" i="36"/>
  <c r="E169" i="34" s="1"/>
  <c r="E163" i="12" s="1"/>
  <c r="K243" i="36"/>
  <c r="E246" i="34" s="1"/>
  <c r="E240" i="12" s="1"/>
  <c r="K281" i="36"/>
  <c r="E284" i="34" s="1"/>
  <c r="E278" i="12" s="1"/>
  <c r="K201" i="36"/>
  <c r="E204" i="34" s="1"/>
  <c r="E198" i="12" s="1"/>
  <c r="K112" i="36"/>
  <c r="E115" i="34" s="1"/>
  <c r="E109" i="12" s="1"/>
  <c r="K205" i="36"/>
  <c r="E208" i="34" s="1"/>
  <c r="E202" i="12" s="1"/>
  <c r="K66" i="36"/>
  <c r="E69" i="34" s="1"/>
  <c r="E63" i="12" s="1"/>
  <c r="K9" i="36"/>
  <c r="K37" i="36"/>
  <c r="E40" i="34" s="1"/>
  <c r="E34" i="12" s="1"/>
  <c r="K239" i="36"/>
  <c r="E242" i="34" s="1"/>
  <c r="E236" i="12" s="1"/>
  <c r="K106" i="36"/>
  <c r="E109" i="34" s="1"/>
  <c r="E103" i="12" s="1"/>
  <c r="K113" i="36"/>
  <c r="E116" i="34" s="1"/>
  <c r="E110" i="12" s="1"/>
  <c r="K147" i="36"/>
  <c r="E150" i="34" s="1"/>
  <c r="E144" i="12" s="1"/>
  <c r="K139" i="36"/>
  <c r="E142" i="34" s="1"/>
  <c r="E136" i="12" s="1"/>
  <c r="K282" i="36"/>
  <c r="E285" i="34" s="1"/>
  <c r="E279" i="12" s="1"/>
  <c r="K114" i="36"/>
  <c r="E117" i="34" s="1"/>
  <c r="E111" i="12" s="1"/>
  <c r="K40" i="36"/>
  <c r="E43" i="34" s="1"/>
  <c r="E37" i="12" s="1"/>
  <c r="K202" i="36"/>
  <c r="E205" i="34" s="1"/>
  <c r="E199" i="12" s="1"/>
  <c r="K177" i="36"/>
  <c r="E180" i="34" s="1"/>
  <c r="E174" i="12" s="1"/>
  <c r="K63" i="36"/>
  <c r="E66" i="34" s="1"/>
  <c r="E60" i="12" s="1"/>
  <c r="K65" i="36"/>
  <c r="E68" i="34" s="1"/>
  <c r="E62" i="12" s="1"/>
  <c r="K263" i="36"/>
  <c r="E266" i="34" s="1"/>
  <c r="E260" i="12" s="1"/>
  <c r="K71" i="36"/>
  <c r="E74" i="34" s="1"/>
  <c r="E68" i="12" s="1"/>
  <c r="K146" i="36"/>
  <c r="E149" i="34" s="1"/>
  <c r="E143" i="12" s="1"/>
  <c r="K298" i="36"/>
  <c r="E301" i="34" s="1"/>
  <c r="E295" i="12" s="1"/>
  <c r="K286" i="36"/>
  <c r="E289" i="34" s="1"/>
  <c r="E283" i="12" s="1"/>
  <c r="K285" i="36"/>
  <c r="E288" i="34" s="1"/>
  <c r="E282" i="12" s="1"/>
  <c r="K160" i="36"/>
  <c r="E163" i="34" s="1"/>
  <c r="E157" i="12" s="1"/>
  <c r="K34" i="36"/>
  <c r="E37" i="34" s="1"/>
  <c r="E31" i="12" s="1"/>
  <c r="K307" i="36"/>
  <c r="E310" i="34" s="1"/>
  <c r="E304" i="12" s="1"/>
  <c r="K39" i="36"/>
  <c r="E42" i="34" s="1"/>
  <c r="E36" i="12" s="1"/>
  <c r="K306" i="36"/>
  <c r="E309" i="34" s="1"/>
  <c r="E303" i="12" s="1"/>
  <c r="K273" i="36"/>
  <c r="E276" i="34" s="1"/>
  <c r="E270" i="12" s="1"/>
  <c r="K138" i="36"/>
  <c r="E141" i="34" s="1"/>
  <c r="E135" i="12" s="1"/>
  <c r="K261" i="36"/>
  <c r="E264" i="34" s="1"/>
  <c r="E258" i="12" s="1"/>
  <c r="K130" i="36"/>
  <c r="E133" i="34" s="1"/>
  <c r="E127" i="12" s="1"/>
  <c r="K142" i="36"/>
  <c r="E145" i="34" s="1"/>
  <c r="E139" i="12" s="1"/>
  <c r="K223" i="36"/>
  <c r="E226" i="34" s="1"/>
  <c r="E220" i="12" s="1"/>
  <c r="K149" i="36"/>
  <c r="E152" i="34" s="1"/>
  <c r="E146" i="12" s="1"/>
  <c r="K144" i="36"/>
  <c r="E147" i="34" s="1"/>
  <c r="E141" i="12" s="1"/>
  <c r="K79" i="36"/>
  <c r="E82" i="34" s="1"/>
  <c r="E76" i="12" s="1"/>
  <c r="K305" i="36"/>
  <c r="E308" i="34" s="1"/>
  <c r="E302" i="12" s="1"/>
  <c r="K170" i="36"/>
  <c r="E173" i="34" s="1"/>
  <c r="E167" i="12" s="1"/>
  <c r="K231" i="36"/>
  <c r="E234" i="34" s="1"/>
  <c r="E228" i="12" s="1"/>
  <c r="K194" i="36"/>
  <c r="E197" i="34" s="1"/>
  <c r="E191" i="12" s="1"/>
  <c r="L306" i="19"/>
  <c r="P6" i="19"/>
  <c r="O306" i="19"/>
  <c r="I309" i="36"/>
  <c r="E309" i="36"/>
  <c r="J309" i="36"/>
  <c r="H309" i="36"/>
  <c r="F309" i="36"/>
  <c r="D309" i="36"/>
  <c r="G309" i="36"/>
  <c r="K309" i="36" l="1"/>
  <c r="G306" i="49"/>
  <c r="F15" i="48"/>
  <c r="R6" i="19"/>
  <c r="E6" i="25" s="1"/>
  <c r="E12" i="34"/>
  <c r="F306" i="49"/>
  <c r="D306" i="25"/>
  <c r="J6" i="49" l="1"/>
  <c r="AC6" i="42"/>
  <c r="AK6" i="42"/>
  <c r="AM6" i="42"/>
  <c r="AE6" i="42"/>
  <c r="C6" i="33"/>
  <c r="E6" i="33" s="1"/>
  <c r="C12" i="9"/>
  <c r="C312" i="9" s="1"/>
  <c r="H8" i="49"/>
  <c r="H12" i="49"/>
  <c r="H16" i="49"/>
  <c r="H20" i="49"/>
  <c r="H24" i="49"/>
  <c r="H28" i="49"/>
  <c r="H32" i="49"/>
  <c r="H36" i="49"/>
  <c r="H40" i="49"/>
  <c r="H44" i="49"/>
  <c r="H48" i="49"/>
  <c r="H52" i="49"/>
  <c r="H56" i="49"/>
  <c r="H60" i="49"/>
  <c r="H64" i="49"/>
  <c r="H68" i="49"/>
  <c r="H72" i="49"/>
  <c r="H76" i="49"/>
  <c r="H80" i="49"/>
  <c r="H7" i="49"/>
  <c r="H11" i="49"/>
  <c r="H15" i="49"/>
  <c r="H19" i="49"/>
  <c r="H23" i="49"/>
  <c r="H27" i="49"/>
  <c r="H31" i="49"/>
  <c r="H35" i="49"/>
  <c r="H39" i="49"/>
  <c r="H43" i="49"/>
  <c r="H47" i="49"/>
  <c r="H51" i="49"/>
  <c r="H55" i="49"/>
  <c r="H59" i="49"/>
  <c r="H63" i="49"/>
  <c r="H67" i="49"/>
  <c r="H71" i="49"/>
  <c r="H75" i="49"/>
  <c r="H79" i="49"/>
  <c r="H83" i="49"/>
  <c r="H87" i="49"/>
  <c r="H91" i="49"/>
  <c r="H10" i="49"/>
  <c r="H14" i="49"/>
  <c r="H18" i="49"/>
  <c r="H22" i="49"/>
  <c r="H26" i="49"/>
  <c r="H30" i="49"/>
  <c r="H34" i="49"/>
  <c r="H38" i="49"/>
  <c r="H42" i="49"/>
  <c r="H46" i="49"/>
  <c r="H50" i="49"/>
  <c r="H54" i="49"/>
  <c r="H58" i="49"/>
  <c r="H62" i="49"/>
  <c r="H66" i="49"/>
  <c r="H70" i="49"/>
  <c r="H74" i="49"/>
  <c r="H78" i="49"/>
  <c r="H82" i="49"/>
  <c r="H86" i="49"/>
  <c r="H90" i="49"/>
  <c r="H92" i="49"/>
  <c r="H93" i="49"/>
  <c r="H94" i="49"/>
  <c r="H95" i="49"/>
  <c r="H96" i="49"/>
  <c r="H97" i="49"/>
  <c r="H98" i="49"/>
  <c r="H99" i="49"/>
  <c r="H100" i="49"/>
  <c r="H101" i="49"/>
  <c r="H102" i="49"/>
  <c r="H103" i="49"/>
  <c r="H104" i="49"/>
  <c r="H105" i="49"/>
  <c r="H106" i="49"/>
  <c r="H107" i="49"/>
  <c r="H108" i="49"/>
  <c r="H109" i="49"/>
  <c r="H110" i="49"/>
  <c r="H111" i="49"/>
  <c r="H112" i="49"/>
  <c r="H113" i="49"/>
  <c r="H114" i="49"/>
  <c r="H115" i="49"/>
  <c r="H116" i="49"/>
  <c r="H117" i="49"/>
  <c r="H118" i="49"/>
  <c r="H119" i="49"/>
  <c r="H120" i="49"/>
  <c r="H121" i="49"/>
  <c r="H122" i="49"/>
  <c r="H123" i="49"/>
  <c r="H124" i="49"/>
  <c r="H125" i="49"/>
  <c r="H126" i="49"/>
  <c r="H127" i="49"/>
  <c r="H128" i="49"/>
  <c r="H129" i="49"/>
  <c r="H130" i="49"/>
  <c r="H131" i="49"/>
  <c r="H132" i="49"/>
  <c r="H133" i="49"/>
  <c r="H134" i="49"/>
  <c r="H135" i="49"/>
  <c r="H136" i="49"/>
  <c r="H137" i="49"/>
  <c r="H138" i="49"/>
  <c r="H139" i="49"/>
  <c r="H140" i="49"/>
  <c r="H141" i="49"/>
  <c r="H142" i="49"/>
  <c r="H143" i="49"/>
  <c r="H144" i="49"/>
  <c r="H145" i="49"/>
  <c r="H146" i="49"/>
  <c r="H147" i="49"/>
  <c r="H148" i="49"/>
  <c r="H149" i="49"/>
  <c r="H150" i="49"/>
  <c r="H151" i="49"/>
  <c r="H152" i="49"/>
  <c r="H153" i="49"/>
  <c r="H154" i="49"/>
  <c r="H155" i="49"/>
  <c r="H156" i="49"/>
  <c r="H9" i="49"/>
  <c r="H13" i="49"/>
  <c r="H17" i="49"/>
  <c r="H21" i="49"/>
  <c r="H25" i="49"/>
  <c r="H29" i="49"/>
  <c r="H33" i="49"/>
  <c r="H37" i="49"/>
  <c r="H41" i="49"/>
  <c r="H45" i="49"/>
  <c r="H49" i="49"/>
  <c r="H53" i="49"/>
  <c r="H57" i="49"/>
  <c r="H61" i="49"/>
  <c r="H65" i="49"/>
  <c r="H69" i="49"/>
  <c r="H73" i="49"/>
  <c r="H77" i="49"/>
  <c r="H81" i="49"/>
  <c r="H85" i="49"/>
  <c r="H89" i="49"/>
  <c r="H84" i="49"/>
  <c r="H157" i="49"/>
  <c r="H158" i="49"/>
  <c r="H159" i="49"/>
  <c r="H160" i="49"/>
  <c r="H161" i="49"/>
  <c r="H162" i="49"/>
  <c r="H163" i="49"/>
  <c r="H164" i="49"/>
  <c r="H165" i="49"/>
  <c r="H166" i="49"/>
  <c r="H167" i="49"/>
  <c r="H168" i="49"/>
  <c r="H169" i="49"/>
  <c r="H170" i="49"/>
  <c r="H171" i="49"/>
  <c r="H172" i="49"/>
  <c r="H173" i="49"/>
  <c r="H174" i="49"/>
  <c r="H175" i="49"/>
  <c r="H176" i="49"/>
  <c r="H177" i="49"/>
  <c r="H178" i="49"/>
  <c r="H179" i="49"/>
  <c r="H180" i="49"/>
  <c r="H181" i="49"/>
  <c r="H182" i="49"/>
  <c r="H183" i="49"/>
  <c r="H184" i="49"/>
  <c r="H185" i="49"/>
  <c r="H186" i="49"/>
  <c r="H187" i="49"/>
  <c r="H188" i="49"/>
  <c r="H189" i="49"/>
  <c r="H190" i="49"/>
  <c r="H191" i="49"/>
  <c r="H192" i="49"/>
  <c r="H193" i="49"/>
  <c r="H194" i="49"/>
  <c r="H195" i="49"/>
  <c r="H196" i="49"/>
  <c r="H197" i="49"/>
  <c r="H198" i="49"/>
  <c r="H199" i="49"/>
  <c r="H200" i="49"/>
  <c r="H201" i="49"/>
  <c r="H202" i="49"/>
  <c r="H203" i="49"/>
  <c r="H204" i="49"/>
  <c r="H205" i="49"/>
  <c r="H206" i="49"/>
  <c r="H207" i="49"/>
  <c r="H208" i="49"/>
  <c r="H209" i="49"/>
  <c r="H210" i="49"/>
  <c r="H211" i="49"/>
  <c r="H212" i="49"/>
  <c r="H213" i="49"/>
  <c r="H214" i="49"/>
  <c r="H215" i="49"/>
  <c r="H216" i="49"/>
  <c r="H217" i="49"/>
  <c r="H218" i="49"/>
  <c r="H219" i="49"/>
  <c r="H220" i="49"/>
  <c r="H221" i="49"/>
  <c r="H222" i="49"/>
  <c r="H223" i="49"/>
  <c r="H224" i="49"/>
  <c r="H225" i="49"/>
  <c r="H226" i="49"/>
  <c r="H227" i="49"/>
  <c r="H88" i="49"/>
  <c r="H228" i="49"/>
  <c r="H229" i="49"/>
  <c r="H230" i="49"/>
  <c r="H231" i="49"/>
  <c r="H232" i="49"/>
  <c r="H233" i="49"/>
  <c r="H234" i="49"/>
  <c r="H235" i="49"/>
  <c r="H236" i="49"/>
  <c r="H237" i="49"/>
  <c r="H238" i="49"/>
  <c r="H239" i="49"/>
  <c r="H240" i="49"/>
  <c r="H241" i="49"/>
  <c r="H242" i="49"/>
  <c r="H243" i="49"/>
  <c r="H244" i="49"/>
  <c r="H245" i="49"/>
  <c r="H246" i="49"/>
  <c r="H247" i="49"/>
  <c r="H248" i="49"/>
  <c r="H249" i="49"/>
  <c r="H250" i="49"/>
  <c r="H251" i="49"/>
  <c r="H252" i="49"/>
  <c r="H253" i="49"/>
  <c r="H254" i="49"/>
  <c r="H255" i="49"/>
  <c r="H256" i="49"/>
  <c r="H257" i="49"/>
  <c r="H258" i="49"/>
  <c r="H259" i="49"/>
  <c r="H260" i="49"/>
  <c r="H261" i="49"/>
  <c r="H262" i="49"/>
  <c r="H266" i="49"/>
  <c r="H277" i="49"/>
  <c r="H280" i="49"/>
  <c r="H283" i="49"/>
  <c r="H287" i="49"/>
  <c r="H289" i="49"/>
  <c r="H293" i="49"/>
  <c r="H296" i="49"/>
  <c r="H298" i="49"/>
  <c r="H301" i="49"/>
  <c r="H265" i="49"/>
  <c r="H270" i="49"/>
  <c r="H272" i="49"/>
  <c r="H263" i="49"/>
  <c r="H267" i="49"/>
  <c r="H269" i="49"/>
  <c r="H271" i="49"/>
  <c r="H273" i="49"/>
  <c r="H275" i="49"/>
  <c r="H278" i="49"/>
  <c r="H281" i="49"/>
  <c r="H284" i="49"/>
  <c r="H290" i="49"/>
  <c r="H294" i="49"/>
  <c r="H302" i="49"/>
  <c r="H305" i="49"/>
  <c r="H268" i="49"/>
  <c r="H274" i="49"/>
  <c r="H279" i="49"/>
  <c r="H286" i="49"/>
  <c r="H292" i="49"/>
  <c r="H264" i="49"/>
  <c r="H282" i="49"/>
  <c r="H285" i="49"/>
  <c r="H288" i="49"/>
  <c r="H291" i="49"/>
  <c r="H297" i="49"/>
  <c r="H299" i="49"/>
  <c r="H303" i="49"/>
  <c r="H276" i="49"/>
  <c r="H295" i="49"/>
  <c r="H300" i="49"/>
  <c r="H304" i="49"/>
  <c r="H6" i="49"/>
  <c r="E312" i="34"/>
  <c r="C6" i="39"/>
  <c r="E6" i="39" s="1"/>
  <c r="C6" i="12"/>
  <c r="E6" i="12" s="1"/>
  <c r="C6" i="13"/>
  <c r="I291" i="49" l="1"/>
  <c r="I262" i="49"/>
  <c r="I250" i="49"/>
  <c r="I238" i="49"/>
  <c r="I227" i="49"/>
  <c r="I215" i="49"/>
  <c r="I203" i="49"/>
  <c r="I191" i="49"/>
  <c r="I171" i="49"/>
  <c r="I159" i="49"/>
  <c r="I57" i="49"/>
  <c r="I9" i="49"/>
  <c r="I145" i="49"/>
  <c r="I133" i="49"/>
  <c r="I109" i="49"/>
  <c r="I97" i="49"/>
  <c r="I66" i="49"/>
  <c r="I18" i="49"/>
  <c r="I55" i="49"/>
  <c r="I68" i="49"/>
  <c r="I52" i="49"/>
  <c r="I303" i="49"/>
  <c r="I280" i="49"/>
  <c r="I257" i="49"/>
  <c r="I249" i="49"/>
  <c r="I241" i="49"/>
  <c r="I237" i="49"/>
  <c r="I233" i="49"/>
  <c r="I229" i="49"/>
  <c r="I226" i="49"/>
  <c r="I222" i="49"/>
  <c r="I214" i="49"/>
  <c r="I210" i="49"/>
  <c r="I206" i="49"/>
  <c r="I202" i="49"/>
  <c r="I198" i="49"/>
  <c r="I194" i="49"/>
  <c r="I190" i="49"/>
  <c r="I186" i="49"/>
  <c r="I182" i="49"/>
  <c r="I178" i="49"/>
  <c r="I174" i="49"/>
  <c r="I170" i="49"/>
  <c r="I166" i="49"/>
  <c r="I162" i="49"/>
  <c r="I158" i="49"/>
  <c r="I85" i="49"/>
  <c r="I69" i="49"/>
  <c r="I53" i="49"/>
  <c r="I37" i="49"/>
  <c r="I21" i="49"/>
  <c r="I156" i="49"/>
  <c r="I152" i="49"/>
  <c r="I140" i="49"/>
  <c r="I136" i="49"/>
  <c r="I132" i="49"/>
  <c r="I112" i="49"/>
  <c r="I104" i="49"/>
  <c r="I100" i="49"/>
  <c r="I96" i="49"/>
  <c r="I92" i="49"/>
  <c r="I78" i="49"/>
  <c r="I62" i="49"/>
  <c r="I46" i="49"/>
  <c r="I30" i="49"/>
  <c r="I83" i="49"/>
  <c r="I67" i="49"/>
  <c r="I51" i="49"/>
  <c r="I35" i="49"/>
  <c r="I19" i="49"/>
  <c r="I80" i="49"/>
  <c r="I64" i="49"/>
  <c r="I48" i="49"/>
  <c r="I32" i="49"/>
  <c r="I16" i="49"/>
  <c r="I283" i="49"/>
  <c r="I254" i="49"/>
  <c r="I242" i="49"/>
  <c r="I230" i="49"/>
  <c r="I219" i="49"/>
  <c r="I207" i="49"/>
  <c r="I199" i="49"/>
  <c r="I187" i="49"/>
  <c r="I179" i="49"/>
  <c r="I167" i="49"/>
  <c r="I89" i="49"/>
  <c r="I41" i="49"/>
  <c r="I153" i="49"/>
  <c r="I141" i="49"/>
  <c r="I101" i="49"/>
  <c r="I82" i="49"/>
  <c r="I34" i="49"/>
  <c r="I71" i="49"/>
  <c r="I39" i="49"/>
  <c r="I20" i="49"/>
  <c r="I292" i="49"/>
  <c r="I293" i="49"/>
  <c r="I261" i="49"/>
  <c r="I253" i="49"/>
  <c r="I245" i="49"/>
  <c r="I300" i="49"/>
  <c r="I299" i="49"/>
  <c r="I285" i="49"/>
  <c r="I286" i="49"/>
  <c r="I305" i="49"/>
  <c r="I284" i="49"/>
  <c r="I263" i="49"/>
  <c r="I301" i="49"/>
  <c r="I289" i="49"/>
  <c r="I277" i="49"/>
  <c r="I260" i="49"/>
  <c r="I256" i="49"/>
  <c r="I252" i="49"/>
  <c r="I248" i="49"/>
  <c r="I244" i="49"/>
  <c r="I240" i="49"/>
  <c r="I236" i="49"/>
  <c r="I232" i="49"/>
  <c r="I228" i="49"/>
  <c r="I225" i="49"/>
  <c r="I221" i="49"/>
  <c r="I213" i="49"/>
  <c r="I209" i="49"/>
  <c r="I205" i="49"/>
  <c r="I201" i="49"/>
  <c r="I197" i="49"/>
  <c r="I193" i="49"/>
  <c r="I189" i="49"/>
  <c r="I185" i="49"/>
  <c r="I181" i="49"/>
  <c r="I177" i="49"/>
  <c r="I173" i="49"/>
  <c r="I169" i="49"/>
  <c r="I165" i="49"/>
  <c r="I161" i="49"/>
  <c r="I157" i="49"/>
  <c r="I81" i="49"/>
  <c r="I65" i="49"/>
  <c r="I49" i="49"/>
  <c r="I33" i="49"/>
  <c r="I17" i="49"/>
  <c r="I155" i="49"/>
  <c r="I151" i="49"/>
  <c r="I139" i="49"/>
  <c r="I135" i="49"/>
  <c r="I131" i="49"/>
  <c r="I127" i="49"/>
  <c r="I119" i="49"/>
  <c r="I107" i="49"/>
  <c r="I103" i="49"/>
  <c r="I99" i="49"/>
  <c r="I95" i="49"/>
  <c r="I90" i="49"/>
  <c r="I74" i="49"/>
  <c r="I58" i="49"/>
  <c r="I42" i="49"/>
  <c r="I26" i="49"/>
  <c r="I10" i="49"/>
  <c r="I79" i="49"/>
  <c r="I63" i="49"/>
  <c r="I47" i="49"/>
  <c r="I31" i="49"/>
  <c r="I15" i="49"/>
  <c r="I76" i="49"/>
  <c r="I60" i="49"/>
  <c r="I44" i="49"/>
  <c r="I28" i="49"/>
  <c r="I12" i="49"/>
  <c r="I276" i="49"/>
  <c r="I264" i="49"/>
  <c r="I258" i="49"/>
  <c r="I246" i="49"/>
  <c r="I234" i="49"/>
  <c r="I223" i="49"/>
  <c r="I211" i="49"/>
  <c r="I183" i="49"/>
  <c r="I175" i="49"/>
  <c r="I163" i="49"/>
  <c r="I73" i="49"/>
  <c r="I25" i="49"/>
  <c r="I149" i="49"/>
  <c r="I117" i="49"/>
  <c r="I105" i="49"/>
  <c r="I93" i="49"/>
  <c r="I50" i="49"/>
  <c r="I87" i="49"/>
  <c r="I23" i="49"/>
  <c r="I36" i="49"/>
  <c r="I290" i="49"/>
  <c r="I265" i="49"/>
  <c r="I295" i="49"/>
  <c r="I279" i="49"/>
  <c r="I302" i="49"/>
  <c r="I281" i="49"/>
  <c r="I266" i="49"/>
  <c r="I259" i="49"/>
  <c r="I255" i="49"/>
  <c r="I251" i="49"/>
  <c r="I247" i="49"/>
  <c r="I243" i="49"/>
  <c r="I239" i="49"/>
  <c r="I235" i="49"/>
  <c r="I231" i="49"/>
  <c r="I88" i="49"/>
  <c r="I224" i="49"/>
  <c r="I220" i="49"/>
  <c r="I216" i="49"/>
  <c r="I212" i="49"/>
  <c r="I208" i="49"/>
  <c r="I204" i="49"/>
  <c r="I200" i="49"/>
  <c r="I192" i="49"/>
  <c r="I188" i="49"/>
  <c r="I180" i="49"/>
  <c r="I176" i="49"/>
  <c r="I172" i="49"/>
  <c r="I168" i="49"/>
  <c r="I164" i="49"/>
  <c r="I160" i="49"/>
  <c r="I84" i="49"/>
  <c r="I77" i="49"/>
  <c r="I61" i="49"/>
  <c r="I45" i="49"/>
  <c r="I29" i="49"/>
  <c r="I13" i="49"/>
  <c r="I154" i="49"/>
  <c r="I138" i="49"/>
  <c r="I134" i="49"/>
  <c r="I126" i="49"/>
  <c r="I110" i="49"/>
  <c r="I102" i="49"/>
  <c r="I98" i="49"/>
  <c r="I94" i="49"/>
  <c r="I86" i="49"/>
  <c r="I70" i="49"/>
  <c r="I54" i="49"/>
  <c r="I38" i="49"/>
  <c r="I22" i="49"/>
  <c r="I91" i="49"/>
  <c r="I75" i="49"/>
  <c r="I59" i="49"/>
  <c r="I43" i="49"/>
  <c r="I27" i="49"/>
  <c r="I11" i="49"/>
  <c r="I72" i="49"/>
  <c r="I56" i="49"/>
  <c r="I40" i="49"/>
  <c r="I24" i="49"/>
  <c r="I8" i="49"/>
  <c r="C6" i="11"/>
  <c r="C12" i="34"/>
  <c r="D6" i="37"/>
  <c r="H306" i="49"/>
  <c r="I306" i="49" l="1"/>
  <c r="F6" i="11" l="1"/>
  <c r="G6" i="11" s="1"/>
  <c r="K17" i="11" l="1"/>
  <c r="L17" i="11" s="1"/>
  <c r="K43" i="11"/>
  <c r="L43" i="11" s="1"/>
  <c r="K16" i="11"/>
  <c r="L16" i="11" s="1"/>
  <c r="K47" i="11"/>
  <c r="L47" i="11" s="1"/>
  <c r="K57" i="11"/>
  <c r="L57" i="11" s="1"/>
  <c r="K14" i="11"/>
  <c r="L14" i="11" s="1"/>
  <c r="K62" i="11"/>
  <c r="L62" i="11" s="1"/>
  <c r="K65" i="11"/>
  <c r="L65" i="11" s="1"/>
  <c r="K20" i="11"/>
  <c r="L20" i="11" s="1"/>
  <c r="K22" i="11"/>
  <c r="L22" i="11" s="1"/>
  <c r="K60" i="11"/>
  <c r="L60" i="11" s="1"/>
  <c r="K18" i="11"/>
  <c r="L18" i="11" s="1"/>
  <c r="K11" i="11"/>
  <c r="L11" i="11" s="1"/>
  <c r="K7" i="11"/>
  <c r="L7" i="11" s="1"/>
  <c r="K19" i="11"/>
  <c r="L19" i="11" s="1"/>
  <c r="K44" i="11"/>
  <c r="L44" i="11" s="1"/>
  <c r="K38" i="11"/>
  <c r="L38" i="11" s="1"/>
  <c r="K71" i="11"/>
  <c r="L71" i="11" s="1"/>
  <c r="K59" i="11"/>
  <c r="L59" i="11" s="1"/>
  <c r="K28" i="11"/>
  <c r="L28" i="11" s="1"/>
  <c r="K40" i="11"/>
  <c r="L40" i="11" s="1"/>
  <c r="K21" i="11"/>
  <c r="L21" i="11" s="1"/>
  <c r="K64" i="11"/>
  <c r="L64" i="11" s="1"/>
  <c r="K24" i="11"/>
  <c r="L24" i="11" s="1"/>
  <c r="K49" i="11"/>
  <c r="L49" i="11" s="1"/>
  <c r="K9" i="11"/>
  <c r="L9" i="11" s="1"/>
  <c r="K36" i="11"/>
  <c r="L36" i="11" s="1"/>
  <c r="K56" i="11"/>
  <c r="L56" i="11" s="1"/>
  <c r="K30" i="11"/>
  <c r="L30" i="11" s="1"/>
  <c r="K27" i="11"/>
  <c r="L27" i="11" s="1"/>
  <c r="K45" i="11"/>
  <c r="L45" i="11" s="1"/>
  <c r="K50" i="11"/>
  <c r="L50" i="11" s="1"/>
  <c r="K42" i="11"/>
  <c r="L42" i="11" s="1"/>
  <c r="K69" i="11"/>
  <c r="L69" i="11" s="1"/>
  <c r="K55" i="11"/>
  <c r="L55" i="11" s="1"/>
  <c r="K23" i="11"/>
  <c r="L23" i="11" s="1"/>
  <c r="K25" i="11"/>
  <c r="L25" i="11" s="1"/>
  <c r="K32" i="11"/>
  <c r="L32" i="11" s="1"/>
  <c r="K34" i="11"/>
  <c r="L34" i="11" s="1"/>
  <c r="K31" i="11"/>
  <c r="L31" i="11" s="1"/>
  <c r="K66" i="11"/>
  <c r="L66" i="11" s="1"/>
  <c r="K53" i="11"/>
  <c r="L53" i="11" s="1"/>
  <c r="K13" i="11"/>
  <c r="L13" i="11" s="1"/>
  <c r="K51" i="11"/>
  <c r="L51" i="11" s="1"/>
  <c r="K10" i="11"/>
  <c r="L10" i="11" s="1"/>
  <c r="K12" i="11"/>
  <c r="L12" i="11" s="1"/>
  <c r="K35" i="11"/>
  <c r="L35" i="11" s="1"/>
  <c r="K48" i="11"/>
  <c r="L48" i="11" s="1"/>
  <c r="K68" i="11"/>
  <c r="L68" i="11" s="1"/>
  <c r="K26" i="11"/>
  <c r="L26" i="11" s="1"/>
  <c r="K63" i="11"/>
  <c r="L63" i="11" s="1"/>
  <c r="K70" i="11"/>
  <c r="L70" i="11" s="1"/>
  <c r="K61" i="11"/>
  <c r="L61" i="11" s="1"/>
  <c r="K54" i="11"/>
  <c r="L54" i="11" s="1"/>
  <c r="K37" i="11"/>
  <c r="L37" i="11" s="1"/>
  <c r="K67" i="11"/>
  <c r="L67" i="11" s="1"/>
  <c r="K33" i="11"/>
  <c r="L33" i="11" s="1"/>
  <c r="K41" i="11"/>
  <c r="L41" i="11" s="1"/>
  <c r="K58" i="11"/>
  <c r="L58" i="11" s="1"/>
  <c r="K46" i="11"/>
  <c r="L46" i="11" s="1"/>
  <c r="K39" i="11"/>
  <c r="L39" i="11" s="1"/>
  <c r="K15" i="11"/>
  <c r="L15" i="11" s="1"/>
  <c r="K52" i="11"/>
  <c r="L52" i="11" s="1"/>
  <c r="K8" i="11"/>
  <c r="L8" i="11" s="1"/>
  <c r="K29" i="11"/>
  <c r="L29" i="11" s="1"/>
  <c r="K6" i="11" l="1"/>
  <c r="L6" i="11" l="1"/>
  <c r="F306" i="42" l="1"/>
  <c r="M265" i="42"/>
  <c r="T265" i="42" s="1"/>
  <c r="M306" i="42" l="1"/>
  <c r="M306" i="19"/>
  <c r="T306" i="42" l="1"/>
  <c r="P306" i="19"/>
  <c r="R306" i="19" l="1"/>
  <c r="H45" i="40" s="1"/>
  <c r="K46" i="40" s="1"/>
  <c r="C306" i="12"/>
  <c r="E306" i="12" s="1"/>
  <c r="C306" i="13"/>
  <c r="B46" i="40" l="1"/>
  <c r="G39" i="40"/>
  <c r="AK306" i="42"/>
  <c r="AM306" i="42"/>
  <c r="AC306" i="42"/>
  <c r="AE306" i="42"/>
  <c r="C306" i="39"/>
  <c r="E306" i="39" s="1"/>
  <c r="E5" i="9"/>
  <c r="E306" i="25"/>
  <c r="C306" i="33"/>
  <c r="E306" i="33" s="1"/>
  <c r="J306" i="49"/>
  <c r="K5" i="49" s="1"/>
  <c r="Q306" i="19"/>
  <c r="C306" i="25" s="1"/>
  <c r="K7" i="49" l="1"/>
  <c r="L7" i="49" s="1"/>
  <c r="H7" i="25" s="1"/>
  <c r="K11" i="49"/>
  <c r="L11" i="49" s="1"/>
  <c r="H11" i="25" s="1"/>
  <c r="K15" i="49"/>
  <c r="L15" i="49" s="1"/>
  <c r="H15" i="25" s="1"/>
  <c r="K19" i="49"/>
  <c r="L19" i="49" s="1"/>
  <c r="H19" i="25" s="1"/>
  <c r="K23" i="49"/>
  <c r="L23" i="49" s="1"/>
  <c r="H23" i="25" s="1"/>
  <c r="K27" i="49"/>
  <c r="L27" i="49" s="1"/>
  <c r="H27" i="25" s="1"/>
  <c r="K31" i="49"/>
  <c r="L31" i="49" s="1"/>
  <c r="H31" i="25" s="1"/>
  <c r="K35" i="49"/>
  <c r="L35" i="49" s="1"/>
  <c r="H35" i="25" s="1"/>
  <c r="K39" i="49"/>
  <c r="L39" i="49" s="1"/>
  <c r="H39" i="25" s="1"/>
  <c r="K43" i="49"/>
  <c r="L43" i="49" s="1"/>
  <c r="H43" i="25" s="1"/>
  <c r="K47" i="49"/>
  <c r="L47" i="49" s="1"/>
  <c r="H47" i="25" s="1"/>
  <c r="K51" i="49"/>
  <c r="L51" i="49" s="1"/>
  <c r="H51" i="25" s="1"/>
  <c r="K55" i="49"/>
  <c r="L55" i="49" s="1"/>
  <c r="H55" i="25" s="1"/>
  <c r="K59" i="49"/>
  <c r="L59" i="49" s="1"/>
  <c r="H59" i="25" s="1"/>
  <c r="K63" i="49"/>
  <c r="L63" i="49" s="1"/>
  <c r="H63" i="25" s="1"/>
  <c r="K67" i="49"/>
  <c r="L67" i="49" s="1"/>
  <c r="H67" i="25" s="1"/>
  <c r="K71" i="49"/>
  <c r="L71" i="49" s="1"/>
  <c r="H71" i="25" s="1"/>
  <c r="K75" i="49"/>
  <c r="L75" i="49" s="1"/>
  <c r="H75" i="25" s="1"/>
  <c r="K79" i="49"/>
  <c r="L79" i="49" s="1"/>
  <c r="H79" i="25" s="1"/>
  <c r="K10" i="49"/>
  <c r="L10" i="49" s="1"/>
  <c r="H10" i="25" s="1"/>
  <c r="K14" i="49"/>
  <c r="L14" i="49" s="1"/>
  <c r="H14" i="25" s="1"/>
  <c r="K18" i="49"/>
  <c r="L18" i="49" s="1"/>
  <c r="H18" i="25" s="1"/>
  <c r="K22" i="49"/>
  <c r="L22" i="49" s="1"/>
  <c r="H22" i="25" s="1"/>
  <c r="K26" i="49"/>
  <c r="L26" i="49" s="1"/>
  <c r="H26" i="25" s="1"/>
  <c r="K30" i="49"/>
  <c r="L30" i="49" s="1"/>
  <c r="H30" i="25" s="1"/>
  <c r="K34" i="49"/>
  <c r="L34" i="49" s="1"/>
  <c r="H34" i="25" s="1"/>
  <c r="K38" i="49"/>
  <c r="L38" i="49" s="1"/>
  <c r="H38" i="25" s="1"/>
  <c r="K42" i="49"/>
  <c r="L42" i="49" s="1"/>
  <c r="H42" i="25" s="1"/>
  <c r="K46" i="49"/>
  <c r="L46" i="49" s="1"/>
  <c r="H46" i="25" s="1"/>
  <c r="K50" i="49"/>
  <c r="L50" i="49" s="1"/>
  <c r="H50" i="25" s="1"/>
  <c r="K54" i="49"/>
  <c r="L54" i="49" s="1"/>
  <c r="H54" i="25" s="1"/>
  <c r="K58" i="49"/>
  <c r="L58" i="49" s="1"/>
  <c r="H58" i="25" s="1"/>
  <c r="K62" i="49"/>
  <c r="L62" i="49" s="1"/>
  <c r="H62" i="25" s="1"/>
  <c r="K66" i="49"/>
  <c r="L66" i="49" s="1"/>
  <c r="H66" i="25" s="1"/>
  <c r="K70" i="49"/>
  <c r="L70" i="49" s="1"/>
  <c r="H70" i="25" s="1"/>
  <c r="K74" i="49"/>
  <c r="L74" i="49" s="1"/>
  <c r="H74" i="25" s="1"/>
  <c r="K78" i="49"/>
  <c r="L78" i="49" s="1"/>
  <c r="H78" i="25" s="1"/>
  <c r="K82" i="49"/>
  <c r="L82" i="49" s="1"/>
  <c r="H82" i="25" s="1"/>
  <c r="K86" i="49"/>
  <c r="L86" i="49" s="1"/>
  <c r="H86" i="25" s="1"/>
  <c r="K90" i="49"/>
  <c r="L90" i="49" s="1"/>
  <c r="H90" i="25" s="1"/>
  <c r="K9" i="49"/>
  <c r="L9" i="49" s="1"/>
  <c r="H9" i="25" s="1"/>
  <c r="K13" i="49"/>
  <c r="L13" i="49" s="1"/>
  <c r="H13" i="25" s="1"/>
  <c r="K17" i="49"/>
  <c r="L17" i="49" s="1"/>
  <c r="H17" i="25" s="1"/>
  <c r="K21" i="49"/>
  <c r="L21" i="49" s="1"/>
  <c r="H21" i="25" s="1"/>
  <c r="K25" i="49"/>
  <c r="L25" i="49" s="1"/>
  <c r="H25" i="25" s="1"/>
  <c r="K29" i="49"/>
  <c r="L29" i="49" s="1"/>
  <c r="H29" i="25" s="1"/>
  <c r="K33" i="49"/>
  <c r="L33" i="49" s="1"/>
  <c r="H33" i="25" s="1"/>
  <c r="K37" i="49"/>
  <c r="L37" i="49" s="1"/>
  <c r="H37" i="25" s="1"/>
  <c r="K41" i="49"/>
  <c r="L41" i="49" s="1"/>
  <c r="H41" i="25" s="1"/>
  <c r="K45" i="49"/>
  <c r="L45" i="49" s="1"/>
  <c r="H45" i="25" s="1"/>
  <c r="K49" i="49"/>
  <c r="L49" i="49" s="1"/>
  <c r="H49" i="25" s="1"/>
  <c r="K53" i="49"/>
  <c r="L53" i="49" s="1"/>
  <c r="H53" i="25" s="1"/>
  <c r="K57" i="49"/>
  <c r="L57" i="49" s="1"/>
  <c r="H57" i="25" s="1"/>
  <c r="K61" i="49"/>
  <c r="L61" i="49" s="1"/>
  <c r="H61" i="25" s="1"/>
  <c r="K65" i="49"/>
  <c r="L65" i="49" s="1"/>
  <c r="H65" i="25" s="1"/>
  <c r="K69" i="49"/>
  <c r="L69" i="49" s="1"/>
  <c r="H69" i="25" s="1"/>
  <c r="K73" i="49"/>
  <c r="L73" i="49" s="1"/>
  <c r="H73" i="25" s="1"/>
  <c r="K77" i="49"/>
  <c r="L77" i="49" s="1"/>
  <c r="H77" i="25" s="1"/>
  <c r="K81" i="49"/>
  <c r="L81" i="49" s="1"/>
  <c r="H81" i="25" s="1"/>
  <c r="K85" i="49"/>
  <c r="L85" i="49" s="1"/>
  <c r="H85" i="25" s="1"/>
  <c r="K89" i="49"/>
  <c r="L89" i="49" s="1"/>
  <c r="H89" i="25" s="1"/>
  <c r="K83" i="49"/>
  <c r="L83" i="49" s="1"/>
  <c r="H83" i="25" s="1"/>
  <c r="K87" i="49"/>
  <c r="L87" i="49" s="1"/>
  <c r="H87" i="25" s="1"/>
  <c r="K91" i="49"/>
  <c r="L91" i="49" s="1"/>
  <c r="H91" i="25" s="1"/>
  <c r="K92" i="49"/>
  <c r="L92" i="49" s="1"/>
  <c r="H92" i="25" s="1"/>
  <c r="K93" i="49"/>
  <c r="L93" i="49" s="1"/>
  <c r="H93" i="25" s="1"/>
  <c r="K94" i="49"/>
  <c r="L94" i="49" s="1"/>
  <c r="H94" i="25" s="1"/>
  <c r="K95" i="49"/>
  <c r="L95" i="49" s="1"/>
  <c r="H95" i="25" s="1"/>
  <c r="K96" i="49"/>
  <c r="L96" i="49" s="1"/>
  <c r="H96" i="25" s="1"/>
  <c r="K97" i="49"/>
  <c r="L97" i="49" s="1"/>
  <c r="H97" i="25" s="1"/>
  <c r="K98" i="49"/>
  <c r="L98" i="49" s="1"/>
  <c r="H98" i="25" s="1"/>
  <c r="K99" i="49"/>
  <c r="L99" i="49" s="1"/>
  <c r="H99" i="25" s="1"/>
  <c r="K100" i="49"/>
  <c r="L100" i="49" s="1"/>
  <c r="H100" i="25" s="1"/>
  <c r="K101" i="49"/>
  <c r="L101" i="49" s="1"/>
  <c r="H101" i="25" s="1"/>
  <c r="K102" i="49"/>
  <c r="L102" i="49" s="1"/>
  <c r="H102" i="25" s="1"/>
  <c r="K103" i="49"/>
  <c r="L103" i="49" s="1"/>
  <c r="H103" i="25" s="1"/>
  <c r="K104" i="49"/>
  <c r="L104" i="49" s="1"/>
  <c r="H104" i="25" s="1"/>
  <c r="K105" i="49"/>
  <c r="L105" i="49" s="1"/>
  <c r="H105" i="25" s="1"/>
  <c r="K106" i="49"/>
  <c r="L106" i="49" s="1"/>
  <c r="H106" i="25" s="1"/>
  <c r="K107" i="49"/>
  <c r="L107" i="49" s="1"/>
  <c r="H107" i="25" s="1"/>
  <c r="K108" i="49"/>
  <c r="L108" i="49" s="1"/>
  <c r="H108" i="25" s="1"/>
  <c r="K109" i="49"/>
  <c r="L109" i="49" s="1"/>
  <c r="H109" i="25" s="1"/>
  <c r="K110" i="49"/>
  <c r="L110" i="49" s="1"/>
  <c r="H110" i="25" s="1"/>
  <c r="K111" i="49"/>
  <c r="L111" i="49" s="1"/>
  <c r="H111" i="25" s="1"/>
  <c r="K112" i="49"/>
  <c r="L112" i="49" s="1"/>
  <c r="H112" i="25" s="1"/>
  <c r="K113" i="49"/>
  <c r="L113" i="49" s="1"/>
  <c r="H113" i="25" s="1"/>
  <c r="K114" i="49"/>
  <c r="L114" i="49" s="1"/>
  <c r="H114" i="25" s="1"/>
  <c r="K115" i="49"/>
  <c r="L115" i="49" s="1"/>
  <c r="H115" i="25" s="1"/>
  <c r="K116" i="49"/>
  <c r="L116" i="49" s="1"/>
  <c r="H116" i="25" s="1"/>
  <c r="K117" i="49"/>
  <c r="L117" i="49" s="1"/>
  <c r="H117" i="25" s="1"/>
  <c r="K118" i="49"/>
  <c r="L118" i="49" s="1"/>
  <c r="H118" i="25" s="1"/>
  <c r="K119" i="49"/>
  <c r="L119" i="49" s="1"/>
  <c r="H119" i="25" s="1"/>
  <c r="K120" i="49"/>
  <c r="L120" i="49" s="1"/>
  <c r="H120" i="25" s="1"/>
  <c r="K121" i="49"/>
  <c r="L121" i="49" s="1"/>
  <c r="H121" i="25" s="1"/>
  <c r="K122" i="49"/>
  <c r="L122" i="49" s="1"/>
  <c r="H122" i="25" s="1"/>
  <c r="K123" i="49"/>
  <c r="L123" i="49" s="1"/>
  <c r="H123" i="25" s="1"/>
  <c r="K124" i="49"/>
  <c r="L124" i="49" s="1"/>
  <c r="H124" i="25" s="1"/>
  <c r="K125" i="49"/>
  <c r="L125" i="49" s="1"/>
  <c r="H125" i="25" s="1"/>
  <c r="K126" i="49"/>
  <c r="L126" i="49" s="1"/>
  <c r="H126" i="25" s="1"/>
  <c r="K127" i="49"/>
  <c r="L127" i="49" s="1"/>
  <c r="H127" i="25" s="1"/>
  <c r="K128" i="49"/>
  <c r="L128" i="49" s="1"/>
  <c r="H128" i="25" s="1"/>
  <c r="K129" i="49"/>
  <c r="L129" i="49" s="1"/>
  <c r="H129" i="25" s="1"/>
  <c r="K130" i="49"/>
  <c r="L130" i="49" s="1"/>
  <c r="H130" i="25" s="1"/>
  <c r="K131" i="49"/>
  <c r="L131" i="49" s="1"/>
  <c r="H131" i="25" s="1"/>
  <c r="K132" i="49"/>
  <c r="L132" i="49" s="1"/>
  <c r="H132" i="25" s="1"/>
  <c r="K133" i="49"/>
  <c r="L133" i="49" s="1"/>
  <c r="H133" i="25" s="1"/>
  <c r="K134" i="49"/>
  <c r="L134" i="49" s="1"/>
  <c r="H134" i="25" s="1"/>
  <c r="K135" i="49"/>
  <c r="L135" i="49" s="1"/>
  <c r="H135" i="25" s="1"/>
  <c r="K136" i="49"/>
  <c r="L136" i="49" s="1"/>
  <c r="H136" i="25" s="1"/>
  <c r="K137" i="49"/>
  <c r="L137" i="49" s="1"/>
  <c r="H137" i="25" s="1"/>
  <c r="K138" i="49"/>
  <c r="L138" i="49" s="1"/>
  <c r="H138" i="25" s="1"/>
  <c r="K139" i="49"/>
  <c r="L139" i="49" s="1"/>
  <c r="H139" i="25" s="1"/>
  <c r="K140" i="49"/>
  <c r="L140" i="49" s="1"/>
  <c r="H140" i="25" s="1"/>
  <c r="K141" i="49"/>
  <c r="L141" i="49" s="1"/>
  <c r="H141" i="25" s="1"/>
  <c r="K142" i="49"/>
  <c r="L142" i="49" s="1"/>
  <c r="H142" i="25" s="1"/>
  <c r="K143" i="49"/>
  <c r="L143" i="49" s="1"/>
  <c r="H143" i="25" s="1"/>
  <c r="K144" i="49"/>
  <c r="L144" i="49" s="1"/>
  <c r="H144" i="25" s="1"/>
  <c r="K145" i="49"/>
  <c r="L145" i="49" s="1"/>
  <c r="H145" i="25" s="1"/>
  <c r="K146" i="49"/>
  <c r="L146" i="49" s="1"/>
  <c r="H146" i="25" s="1"/>
  <c r="K147" i="49"/>
  <c r="L147" i="49" s="1"/>
  <c r="H147" i="25" s="1"/>
  <c r="K148" i="49"/>
  <c r="L148" i="49" s="1"/>
  <c r="H148" i="25" s="1"/>
  <c r="K149" i="49"/>
  <c r="L149" i="49" s="1"/>
  <c r="H149" i="25" s="1"/>
  <c r="K150" i="49"/>
  <c r="L150" i="49" s="1"/>
  <c r="H150" i="25" s="1"/>
  <c r="K151" i="49"/>
  <c r="L151" i="49" s="1"/>
  <c r="H151" i="25" s="1"/>
  <c r="K152" i="49"/>
  <c r="L152" i="49" s="1"/>
  <c r="H152" i="25" s="1"/>
  <c r="K153" i="49"/>
  <c r="L153" i="49" s="1"/>
  <c r="H153" i="25" s="1"/>
  <c r="K154" i="49"/>
  <c r="L154" i="49" s="1"/>
  <c r="H154" i="25" s="1"/>
  <c r="K155" i="49"/>
  <c r="L155" i="49" s="1"/>
  <c r="H155" i="25" s="1"/>
  <c r="K84" i="49"/>
  <c r="L84" i="49" s="1"/>
  <c r="H84" i="25" s="1"/>
  <c r="K88" i="49"/>
  <c r="L88" i="49" s="1"/>
  <c r="H88" i="25" s="1"/>
  <c r="K8" i="49"/>
  <c r="L8" i="49" s="1"/>
  <c r="H8" i="25" s="1"/>
  <c r="K12" i="49"/>
  <c r="L12" i="49" s="1"/>
  <c r="H12" i="25" s="1"/>
  <c r="K16" i="49"/>
  <c r="L16" i="49" s="1"/>
  <c r="H16" i="25" s="1"/>
  <c r="K20" i="49"/>
  <c r="L20" i="49" s="1"/>
  <c r="H20" i="25" s="1"/>
  <c r="K24" i="49"/>
  <c r="L24" i="49" s="1"/>
  <c r="H24" i="25" s="1"/>
  <c r="K28" i="49"/>
  <c r="L28" i="49" s="1"/>
  <c r="H28" i="25" s="1"/>
  <c r="K32" i="49"/>
  <c r="L32" i="49" s="1"/>
  <c r="H32" i="25" s="1"/>
  <c r="K36" i="49"/>
  <c r="L36" i="49" s="1"/>
  <c r="H36" i="25" s="1"/>
  <c r="K40" i="49"/>
  <c r="L40" i="49" s="1"/>
  <c r="H40" i="25" s="1"/>
  <c r="K44" i="49"/>
  <c r="L44" i="49" s="1"/>
  <c r="H44" i="25" s="1"/>
  <c r="K48" i="49"/>
  <c r="L48" i="49" s="1"/>
  <c r="H48" i="25" s="1"/>
  <c r="K52" i="49"/>
  <c r="L52" i="49" s="1"/>
  <c r="H52" i="25" s="1"/>
  <c r="K56" i="49"/>
  <c r="L56" i="49" s="1"/>
  <c r="H56" i="25" s="1"/>
  <c r="K60" i="49"/>
  <c r="L60" i="49" s="1"/>
  <c r="H60" i="25" s="1"/>
  <c r="K64" i="49"/>
  <c r="L64" i="49" s="1"/>
  <c r="H64" i="25" s="1"/>
  <c r="K68" i="49"/>
  <c r="L68" i="49" s="1"/>
  <c r="H68" i="25" s="1"/>
  <c r="K72" i="49"/>
  <c r="L72" i="49" s="1"/>
  <c r="H72" i="25" s="1"/>
  <c r="K76" i="49"/>
  <c r="L76" i="49" s="1"/>
  <c r="H76" i="25" s="1"/>
  <c r="K80" i="49"/>
  <c r="L80" i="49" s="1"/>
  <c r="H80" i="25" s="1"/>
  <c r="K156" i="49"/>
  <c r="L156" i="49" s="1"/>
  <c r="H156" i="25" s="1"/>
  <c r="K157" i="49"/>
  <c r="L157" i="49" s="1"/>
  <c r="H157" i="25" s="1"/>
  <c r="K158" i="49"/>
  <c r="L158" i="49" s="1"/>
  <c r="H158" i="25" s="1"/>
  <c r="K159" i="49"/>
  <c r="L159" i="49" s="1"/>
  <c r="H159" i="25" s="1"/>
  <c r="K160" i="49"/>
  <c r="L160" i="49" s="1"/>
  <c r="H160" i="25" s="1"/>
  <c r="K161" i="49"/>
  <c r="L161" i="49" s="1"/>
  <c r="H161" i="25" s="1"/>
  <c r="K162" i="49"/>
  <c r="L162" i="49" s="1"/>
  <c r="H162" i="25" s="1"/>
  <c r="K163" i="49"/>
  <c r="L163" i="49" s="1"/>
  <c r="H163" i="25" s="1"/>
  <c r="K164" i="49"/>
  <c r="L164" i="49" s="1"/>
  <c r="H164" i="25" s="1"/>
  <c r="K165" i="49"/>
  <c r="L165" i="49" s="1"/>
  <c r="H165" i="25" s="1"/>
  <c r="K166" i="49"/>
  <c r="L166" i="49" s="1"/>
  <c r="H166" i="25" s="1"/>
  <c r="K167" i="49"/>
  <c r="L167" i="49" s="1"/>
  <c r="H167" i="25" s="1"/>
  <c r="K168" i="49"/>
  <c r="L168" i="49" s="1"/>
  <c r="H168" i="25" s="1"/>
  <c r="K169" i="49"/>
  <c r="L169" i="49" s="1"/>
  <c r="H169" i="25" s="1"/>
  <c r="K170" i="49"/>
  <c r="L170" i="49" s="1"/>
  <c r="H170" i="25" s="1"/>
  <c r="K171" i="49"/>
  <c r="L171" i="49" s="1"/>
  <c r="H171" i="25" s="1"/>
  <c r="K172" i="49"/>
  <c r="L172" i="49" s="1"/>
  <c r="H172" i="25" s="1"/>
  <c r="K173" i="49"/>
  <c r="L173" i="49" s="1"/>
  <c r="H173" i="25" s="1"/>
  <c r="K174" i="49"/>
  <c r="L174" i="49" s="1"/>
  <c r="H174" i="25" s="1"/>
  <c r="K175" i="49"/>
  <c r="L175" i="49" s="1"/>
  <c r="H175" i="25" s="1"/>
  <c r="K176" i="49"/>
  <c r="L176" i="49" s="1"/>
  <c r="H176" i="25" s="1"/>
  <c r="K177" i="49"/>
  <c r="L177" i="49" s="1"/>
  <c r="H177" i="25" s="1"/>
  <c r="K178" i="49"/>
  <c r="L178" i="49" s="1"/>
  <c r="H178" i="25" s="1"/>
  <c r="K179" i="49"/>
  <c r="L179" i="49" s="1"/>
  <c r="H179" i="25" s="1"/>
  <c r="K180" i="49"/>
  <c r="L180" i="49" s="1"/>
  <c r="H180" i="25" s="1"/>
  <c r="K181" i="49"/>
  <c r="L181" i="49" s="1"/>
  <c r="H181" i="25" s="1"/>
  <c r="K182" i="49"/>
  <c r="L182" i="49" s="1"/>
  <c r="H182" i="25" s="1"/>
  <c r="K183" i="49"/>
  <c r="L183" i="49" s="1"/>
  <c r="H183" i="25" s="1"/>
  <c r="K184" i="49"/>
  <c r="L184" i="49" s="1"/>
  <c r="H184" i="25" s="1"/>
  <c r="K185" i="49"/>
  <c r="L185" i="49" s="1"/>
  <c r="H185" i="25" s="1"/>
  <c r="K186" i="49"/>
  <c r="L186" i="49" s="1"/>
  <c r="H186" i="25" s="1"/>
  <c r="K187" i="49"/>
  <c r="L187" i="49" s="1"/>
  <c r="H187" i="25" s="1"/>
  <c r="K188" i="49"/>
  <c r="L188" i="49" s="1"/>
  <c r="H188" i="25" s="1"/>
  <c r="K189" i="49"/>
  <c r="L189" i="49" s="1"/>
  <c r="H189" i="25" s="1"/>
  <c r="K190" i="49"/>
  <c r="L190" i="49" s="1"/>
  <c r="H190" i="25" s="1"/>
  <c r="K191" i="49"/>
  <c r="L191" i="49" s="1"/>
  <c r="H191" i="25" s="1"/>
  <c r="K192" i="49"/>
  <c r="L192" i="49" s="1"/>
  <c r="H192" i="25" s="1"/>
  <c r="K193" i="49"/>
  <c r="L193" i="49" s="1"/>
  <c r="H193" i="25" s="1"/>
  <c r="K194" i="49"/>
  <c r="L194" i="49" s="1"/>
  <c r="H194" i="25" s="1"/>
  <c r="K195" i="49"/>
  <c r="L195" i="49" s="1"/>
  <c r="H195" i="25" s="1"/>
  <c r="K196" i="49"/>
  <c r="L196" i="49" s="1"/>
  <c r="H196" i="25" s="1"/>
  <c r="K197" i="49"/>
  <c r="L197" i="49" s="1"/>
  <c r="H197" i="25" s="1"/>
  <c r="K198" i="49"/>
  <c r="L198" i="49" s="1"/>
  <c r="H198" i="25" s="1"/>
  <c r="K199" i="49"/>
  <c r="L199" i="49" s="1"/>
  <c r="H199" i="25" s="1"/>
  <c r="K200" i="49"/>
  <c r="L200" i="49" s="1"/>
  <c r="H200" i="25" s="1"/>
  <c r="K201" i="49"/>
  <c r="L201" i="49" s="1"/>
  <c r="H201" i="25" s="1"/>
  <c r="K202" i="49"/>
  <c r="L202" i="49" s="1"/>
  <c r="H202" i="25" s="1"/>
  <c r="K203" i="49"/>
  <c r="L203" i="49" s="1"/>
  <c r="H203" i="25" s="1"/>
  <c r="K204" i="49"/>
  <c r="L204" i="49" s="1"/>
  <c r="H204" i="25" s="1"/>
  <c r="K205" i="49"/>
  <c r="L205" i="49" s="1"/>
  <c r="H205" i="25" s="1"/>
  <c r="K206" i="49"/>
  <c r="L206" i="49" s="1"/>
  <c r="H206" i="25" s="1"/>
  <c r="K207" i="49"/>
  <c r="L207" i="49" s="1"/>
  <c r="H207" i="25" s="1"/>
  <c r="K208" i="49"/>
  <c r="L208" i="49" s="1"/>
  <c r="H208" i="25" s="1"/>
  <c r="K209" i="49"/>
  <c r="L209" i="49" s="1"/>
  <c r="H209" i="25" s="1"/>
  <c r="K210" i="49"/>
  <c r="L210" i="49" s="1"/>
  <c r="H210" i="25" s="1"/>
  <c r="K211" i="49"/>
  <c r="L211" i="49" s="1"/>
  <c r="H211" i="25" s="1"/>
  <c r="K212" i="49"/>
  <c r="L212" i="49" s="1"/>
  <c r="H212" i="25" s="1"/>
  <c r="K213" i="49"/>
  <c r="L213" i="49" s="1"/>
  <c r="H213" i="25" s="1"/>
  <c r="K214" i="49"/>
  <c r="L214" i="49" s="1"/>
  <c r="H214" i="25" s="1"/>
  <c r="K215" i="49"/>
  <c r="L215" i="49" s="1"/>
  <c r="H215" i="25" s="1"/>
  <c r="K216" i="49"/>
  <c r="L216" i="49" s="1"/>
  <c r="H216" i="25" s="1"/>
  <c r="K217" i="49"/>
  <c r="L217" i="49" s="1"/>
  <c r="H217" i="25" s="1"/>
  <c r="K218" i="49"/>
  <c r="L218" i="49" s="1"/>
  <c r="H218" i="25" s="1"/>
  <c r="K219" i="49"/>
  <c r="L219" i="49" s="1"/>
  <c r="H219" i="25" s="1"/>
  <c r="K220" i="49"/>
  <c r="L220" i="49" s="1"/>
  <c r="H220" i="25" s="1"/>
  <c r="K221" i="49"/>
  <c r="L221" i="49" s="1"/>
  <c r="H221" i="25" s="1"/>
  <c r="K222" i="49"/>
  <c r="L222" i="49" s="1"/>
  <c r="H222" i="25" s="1"/>
  <c r="K223" i="49"/>
  <c r="L223" i="49" s="1"/>
  <c r="H223" i="25" s="1"/>
  <c r="K224" i="49"/>
  <c r="L224" i="49" s="1"/>
  <c r="H224" i="25" s="1"/>
  <c r="K225" i="49"/>
  <c r="L225" i="49" s="1"/>
  <c r="H225" i="25" s="1"/>
  <c r="K226" i="49"/>
  <c r="L226" i="49" s="1"/>
  <c r="H226" i="25" s="1"/>
  <c r="K227" i="49"/>
  <c r="L227" i="49" s="1"/>
  <c r="H227" i="25" s="1"/>
  <c r="K264" i="49"/>
  <c r="L264" i="49" s="1"/>
  <c r="H264" i="25" s="1"/>
  <c r="K267" i="49"/>
  <c r="L267" i="49" s="1"/>
  <c r="H267" i="25" s="1"/>
  <c r="K269" i="49"/>
  <c r="L269" i="49" s="1"/>
  <c r="H269" i="25" s="1"/>
  <c r="K271" i="49"/>
  <c r="L271" i="49" s="1"/>
  <c r="H271" i="25" s="1"/>
  <c r="K273" i="49"/>
  <c r="L273" i="49" s="1"/>
  <c r="H273" i="25" s="1"/>
  <c r="K275" i="49"/>
  <c r="L275" i="49" s="1"/>
  <c r="H275" i="25" s="1"/>
  <c r="K278" i="49"/>
  <c r="L278" i="49" s="1"/>
  <c r="H278" i="25" s="1"/>
  <c r="K285" i="49"/>
  <c r="L285" i="49" s="1"/>
  <c r="H285" i="25" s="1"/>
  <c r="K291" i="49"/>
  <c r="L291" i="49" s="1"/>
  <c r="H291" i="25" s="1"/>
  <c r="K294" i="49"/>
  <c r="L294" i="49" s="1"/>
  <c r="H294" i="25" s="1"/>
  <c r="K299" i="49"/>
  <c r="L299" i="49" s="1"/>
  <c r="H299" i="25" s="1"/>
  <c r="K303" i="49"/>
  <c r="L303" i="49" s="1"/>
  <c r="H303" i="25" s="1"/>
  <c r="K298" i="49"/>
  <c r="L298" i="49" s="1"/>
  <c r="H298" i="25" s="1"/>
  <c r="K305" i="49"/>
  <c r="L305" i="49" s="1"/>
  <c r="H305" i="25" s="1"/>
  <c r="K265" i="49"/>
  <c r="L265" i="49" s="1"/>
  <c r="H265" i="25" s="1"/>
  <c r="K276" i="49"/>
  <c r="L276" i="49" s="1"/>
  <c r="H276" i="25" s="1"/>
  <c r="K279" i="49"/>
  <c r="L279" i="49" s="1"/>
  <c r="H279" i="25" s="1"/>
  <c r="K282" i="49"/>
  <c r="L282" i="49" s="1"/>
  <c r="H282" i="25" s="1"/>
  <c r="K286" i="49"/>
  <c r="L286" i="49" s="1"/>
  <c r="H286" i="25" s="1"/>
  <c r="K288" i="49"/>
  <c r="L288" i="49" s="1"/>
  <c r="H288" i="25" s="1"/>
  <c r="K292" i="49"/>
  <c r="L292" i="49" s="1"/>
  <c r="H292" i="25" s="1"/>
  <c r="K295" i="49"/>
  <c r="L295" i="49" s="1"/>
  <c r="H295" i="25" s="1"/>
  <c r="K297" i="49"/>
  <c r="L297" i="49" s="1"/>
  <c r="H297" i="25" s="1"/>
  <c r="K300" i="49"/>
  <c r="L300" i="49" s="1"/>
  <c r="H300" i="25" s="1"/>
  <c r="K284" i="49"/>
  <c r="L284" i="49" s="1"/>
  <c r="H284" i="25" s="1"/>
  <c r="K287" i="49"/>
  <c r="L287" i="49" s="1"/>
  <c r="H287" i="25" s="1"/>
  <c r="K228" i="49"/>
  <c r="L228" i="49" s="1"/>
  <c r="H228" i="25" s="1"/>
  <c r="K229" i="49"/>
  <c r="L229" i="49" s="1"/>
  <c r="H229" i="25" s="1"/>
  <c r="K230" i="49"/>
  <c r="L230" i="49" s="1"/>
  <c r="H230" i="25" s="1"/>
  <c r="K231" i="49"/>
  <c r="L231" i="49" s="1"/>
  <c r="H231" i="25" s="1"/>
  <c r="K232" i="49"/>
  <c r="L232" i="49" s="1"/>
  <c r="H232" i="25" s="1"/>
  <c r="K233" i="49"/>
  <c r="L233" i="49" s="1"/>
  <c r="H233" i="25" s="1"/>
  <c r="K234" i="49"/>
  <c r="L234" i="49" s="1"/>
  <c r="H234" i="25" s="1"/>
  <c r="K235" i="49"/>
  <c r="L235" i="49" s="1"/>
  <c r="H235" i="25" s="1"/>
  <c r="K236" i="49"/>
  <c r="L236" i="49" s="1"/>
  <c r="H236" i="25" s="1"/>
  <c r="K237" i="49"/>
  <c r="L237" i="49" s="1"/>
  <c r="H237" i="25" s="1"/>
  <c r="K238" i="49"/>
  <c r="L238" i="49" s="1"/>
  <c r="H238" i="25" s="1"/>
  <c r="K239" i="49"/>
  <c r="L239" i="49" s="1"/>
  <c r="H239" i="25" s="1"/>
  <c r="K240" i="49"/>
  <c r="L240" i="49" s="1"/>
  <c r="H240" i="25" s="1"/>
  <c r="K241" i="49"/>
  <c r="L241" i="49" s="1"/>
  <c r="H241" i="25" s="1"/>
  <c r="K242" i="49"/>
  <c r="L242" i="49" s="1"/>
  <c r="H242" i="25" s="1"/>
  <c r="K243" i="49"/>
  <c r="L243" i="49" s="1"/>
  <c r="H243" i="25" s="1"/>
  <c r="K244" i="49"/>
  <c r="L244" i="49" s="1"/>
  <c r="H244" i="25" s="1"/>
  <c r="K245" i="49"/>
  <c r="L245" i="49" s="1"/>
  <c r="H245" i="25" s="1"/>
  <c r="K246" i="49"/>
  <c r="L246" i="49" s="1"/>
  <c r="H246" i="25" s="1"/>
  <c r="K247" i="49"/>
  <c r="L247" i="49" s="1"/>
  <c r="H247" i="25" s="1"/>
  <c r="K248" i="49"/>
  <c r="L248" i="49" s="1"/>
  <c r="H248" i="25" s="1"/>
  <c r="K249" i="49"/>
  <c r="L249" i="49" s="1"/>
  <c r="H249" i="25" s="1"/>
  <c r="K250" i="49"/>
  <c r="L250" i="49" s="1"/>
  <c r="H250" i="25" s="1"/>
  <c r="K251" i="49"/>
  <c r="L251" i="49" s="1"/>
  <c r="H251" i="25" s="1"/>
  <c r="K252" i="49"/>
  <c r="L252" i="49" s="1"/>
  <c r="H252" i="25" s="1"/>
  <c r="K253" i="49"/>
  <c r="L253" i="49" s="1"/>
  <c r="H253" i="25" s="1"/>
  <c r="K254" i="49"/>
  <c r="L254" i="49" s="1"/>
  <c r="H254" i="25" s="1"/>
  <c r="K255" i="49"/>
  <c r="L255" i="49" s="1"/>
  <c r="H255" i="25" s="1"/>
  <c r="K256" i="49"/>
  <c r="L256" i="49" s="1"/>
  <c r="H256" i="25" s="1"/>
  <c r="K257" i="49"/>
  <c r="L257" i="49" s="1"/>
  <c r="H257" i="25" s="1"/>
  <c r="K258" i="49"/>
  <c r="L258" i="49" s="1"/>
  <c r="H258" i="25" s="1"/>
  <c r="K259" i="49"/>
  <c r="L259" i="49" s="1"/>
  <c r="H259" i="25" s="1"/>
  <c r="K260" i="49"/>
  <c r="L260" i="49" s="1"/>
  <c r="H260" i="25" s="1"/>
  <c r="K261" i="49"/>
  <c r="L261" i="49" s="1"/>
  <c r="H261" i="25" s="1"/>
  <c r="K262" i="49"/>
  <c r="L262" i="49" s="1"/>
  <c r="H262" i="25" s="1"/>
  <c r="K266" i="49"/>
  <c r="L266" i="49" s="1"/>
  <c r="H266" i="25" s="1"/>
  <c r="K268" i="49"/>
  <c r="L268" i="49" s="1"/>
  <c r="H268" i="25" s="1"/>
  <c r="K270" i="49"/>
  <c r="L270" i="49" s="1"/>
  <c r="H270" i="25" s="1"/>
  <c r="K272" i="49"/>
  <c r="L272" i="49" s="1"/>
  <c r="H272" i="25" s="1"/>
  <c r="K274" i="49"/>
  <c r="L274" i="49" s="1"/>
  <c r="H274" i="25" s="1"/>
  <c r="K277" i="49"/>
  <c r="L277" i="49" s="1"/>
  <c r="H277" i="25" s="1"/>
  <c r="K280" i="49"/>
  <c r="L280" i="49" s="1"/>
  <c r="H280" i="25" s="1"/>
  <c r="K283" i="49"/>
  <c r="L283" i="49" s="1"/>
  <c r="H283" i="25" s="1"/>
  <c r="K289" i="49"/>
  <c r="L289" i="49" s="1"/>
  <c r="H289" i="25" s="1"/>
  <c r="K293" i="49"/>
  <c r="L293" i="49" s="1"/>
  <c r="H293" i="25" s="1"/>
  <c r="K301" i="49"/>
  <c r="L301" i="49" s="1"/>
  <c r="H301" i="25" s="1"/>
  <c r="K304" i="49"/>
  <c r="L304" i="49" s="1"/>
  <c r="H304" i="25" s="1"/>
  <c r="K263" i="49"/>
  <c r="L263" i="49" s="1"/>
  <c r="H263" i="25" s="1"/>
  <c r="K281" i="49"/>
  <c r="L281" i="49" s="1"/>
  <c r="H281" i="25" s="1"/>
  <c r="K290" i="49"/>
  <c r="L290" i="49" s="1"/>
  <c r="H290" i="25" s="1"/>
  <c r="K296" i="49"/>
  <c r="L296" i="49" s="1"/>
  <c r="H296" i="25" s="1"/>
  <c r="K302" i="49"/>
  <c r="L302" i="49" s="1"/>
  <c r="H302" i="25" s="1"/>
  <c r="C312" i="34"/>
  <c r="K6" i="49"/>
  <c r="F306" i="37"/>
  <c r="E306" i="13"/>
  <c r="F306" i="13" s="1"/>
  <c r="C306" i="11"/>
  <c r="K265" i="11"/>
  <c r="L265" i="11" s="1"/>
  <c r="I277" i="54" l="1"/>
  <c r="I299" i="54"/>
  <c r="I182" i="54"/>
  <c r="I139" i="54"/>
  <c r="I35" i="54"/>
  <c r="I263" i="54"/>
  <c r="I274" i="54"/>
  <c r="I259" i="54"/>
  <c r="I251" i="54"/>
  <c r="I243" i="54"/>
  <c r="I235" i="54"/>
  <c r="I287" i="54"/>
  <c r="I282" i="54"/>
  <c r="I294" i="54"/>
  <c r="I267" i="54"/>
  <c r="I221" i="54"/>
  <c r="I213" i="54"/>
  <c r="I205" i="54"/>
  <c r="I197" i="54"/>
  <c r="I189" i="54"/>
  <c r="I181" i="54"/>
  <c r="I173" i="54"/>
  <c r="I165" i="54"/>
  <c r="I157" i="54"/>
  <c r="I56" i="54"/>
  <c r="I24" i="54"/>
  <c r="I154" i="54"/>
  <c r="I146" i="54"/>
  <c r="I138" i="54"/>
  <c r="I130" i="54"/>
  <c r="I122" i="54"/>
  <c r="I114" i="54"/>
  <c r="I106" i="54"/>
  <c r="I98" i="54"/>
  <c r="I87" i="54"/>
  <c r="I65" i="54"/>
  <c r="I33" i="54"/>
  <c r="I86" i="54"/>
  <c r="I54" i="54"/>
  <c r="I22" i="54"/>
  <c r="I63" i="54"/>
  <c r="I31" i="54"/>
  <c r="I286" i="54"/>
  <c r="I190" i="54"/>
  <c r="I155" i="54"/>
  <c r="I91" i="54"/>
  <c r="I90" i="54"/>
  <c r="I258" i="54"/>
  <c r="I250" i="54"/>
  <c r="I242" i="54"/>
  <c r="I234" i="54"/>
  <c r="I284" i="54"/>
  <c r="I279" i="54"/>
  <c r="I291" i="54"/>
  <c r="I264" i="54"/>
  <c r="I220" i="54"/>
  <c r="I212" i="54"/>
  <c r="I204" i="54"/>
  <c r="I196" i="54"/>
  <c r="I188" i="54"/>
  <c r="I180" i="54"/>
  <c r="I172" i="54"/>
  <c r="I164" i="54"/>
  <c r="I156" i="54"/>
  <c r="I52" i="54"/>
  <c r="I20" i="54"/>
  <c r="I153" i="54"/>
  <c r="I145" i="54"/>
  <c r="I137" i="54"/>
  <c r="I129" i="54"/>
  <c r="I121" i="54"/>
  <c r="I113" i="54"/>
  <c r="I105" i="54"/>
  <c r="I97" i="54"/>
  <c r="I83" i="54"/>
  <c r="I61" i="54"/>
  <c r="I29" i="54"/>
  <c r="I82" i="54"/>
  <c r="I50" i="54"/>
  <c r="I18" i="54"/>
  <c r="I59" i="54"/>
  <c r="I27" i="54"/>
  <c r="I228" i="54"/>
  <c r="I198" i="54"/>
  <c r="I28" i="54"/>
  <c r="I107" i="54"/>
  <c r="I69" i="54"/>
  <c r="I304" i="54"/>
  <c r="I270" i="54"/>
  <c r="I257" i="54"/>
  <c r="I249" i="54"/>
  <c r="I241" i="54"/>
  <c r="I233" i="54"/>
  <c r="I300" i="54"/>
  <c r="I276" i="54"/>
  <c r="I285" i="54"/>
  <c r="I227" i="54"/>
  <c r="I219" i="54"/>
  <c r="I211" i="54"/>
  <c r="I203" i="54"/>
  <c r="I195" i="54"/>
  <c r="I187" i="54"/>
  <c r="I179" i="54"/>
  <c r="I171" i="54"/>
  <c r="I163" i="54"/>
  <c r="I80" i="54"/>
  <c r="I48" i="54"/>
  <c r="I16" i="54"/>
  <c r="I152" i="54"/>
  <c r="I144" i="54"/>
  <c r="I136" i="54"/>
  <c r="I128" i="54"/>
  <c r="I120" i="54"/>
  <c r="I112" i="54"/>
  <c r="I104" i="54"/>
  <c r="I96" i="54"/>
  <c r="I89" i="54"/>
  <c r="I57" i="54"/>
  <c r="I25" i="54"/>
  <c r="I78" i="54"/>
  <c r="I46" i="54"/>
  <c r="I14" i="54"/>
  <c r="I55" i="54"/>
  <c r="I23" i="54"/>
  <c r="I281" i="54"/>
  <c r="I236" i="54"/>
  <c r="I206" i="54"/>
  <c r="I166" i="54"/>
  <c r="I147" i="54"/>
  <c r="I99" i="54"/>
  <c r="I37" i="54"/>
  <c r="I272" i="54"/>
  <c r="I301" i="54"/>
  <c r="I293" i="54"/>
  <c r="I268" i="54"/>
  <c r="I256" i="54"/>
  <c r="I248" i="54"/>
  <c r="I240" i="54"/>
  <c r="I232" i="54"/>
  <c r="I297" i="54"/>
  <c r="I265" i="54"/>
  <c r="I278" i="54"/>
  <c r="I226" i="54"/>
  <c r="I218" i="54"/>
  <c r="I210" i="54"/>
  <c r="I202" i="54"/>
  <c r="I194" i="54"/>
  <c r="I186" i="54"/>
  <c r="I178" i="54"/>
  <c r="I170" i="54"/>
  <c r="I162" i="54"/>
  <c r="I76" i="54"/>
  <c r="I44" i="54"/>
  <c r="I12" i="54"/>
  <c r="I151" i="54"/>
  <c r="I143" i="54"/>
  <c r="I135" i="54"/>
  <c r="I127" i="54"/>
  <c r="I119" i="54"/>
  <c r="I111" i="54"/>
  <c r="I103" i="54"/>
  <c r="I95" i="54"/>
  <c r="I85" i="54"/>
  <c r="I53" i="54"/>
  <c r="I21" i="54"/>
  <c r="I74" i="54"/>
  <c r="I42" i="54"/>
  <c r="I10" i="54"/>
  <c r="I51" i="54"/>
  <c r="I19" i="54"/>
  <c r="I260" i="54"/>
  <c r="I269" i="54"/>
  <c r="I158" i="54"/>
  <c r="I115" i="54"/>
  <c r="I58" i="54"/>
  <c r="I302" i="54"/>
  <c r="I289" i="54"/>
  <c r="I266" i="54"/>
  <c r="I255" i="54"/>
  <c r="I247" i="54"/>
  <c r="I239" i="54"/>
  <c r="I231" i="54"/>
  <c r="I295" i="54"/>
  <c r="I305" i="54"/>
  <c r="I275" i="54"/>
  <c r="I225" i="54"/>
  <c r="I217" i="54"/>
  <c r="I209" i="54"/>
  <c r="I201" i="54"/>
  <c r="I193" i="54"/>
  <c r="I185" i="54"/>
  <c r="I177" i="54"/>
  <c r="I169" i="54"/>
  <c r="I161" i="54"/>
  <c r="I72" i="54"/>
  <c r="I40" i="54"/>
  <c r="I8" i="54"/>
  <c r="I150" i="54"/>
  <c r="I142" i="54"/>
  <c r="I134" i="54"/>
  <c r="I126" i="54"/>
  <c r="I118" i="54"/>
  <c r="I110" i="54"/>
  <c r="I102" i="54"/>
  <c r="I94" i="54"/>
  <c r="I81" i="54"/>
  <c r="I49" i="54"/>
  <c r="I17" i="54"/>
  <c r="I70" i="54"/>
  <c r="I38" i="54"/>
  <c r="I79" i="54"/>
  <c r="I47" i="54"/>
  <c r="I15" i="54"/>
  <c r="I244" i="54"/>
  <c r="I222" i="54"/>
  <c r="I174" i="54"/>
  <c r="I123" i="54"/>
  <c r="I26" i="54"/>
  <c r="I296" i="54"/>
  <c r="I283" i="54"/>
  <c r="I262" i="54"/>
  <c r="I254" i="54"/>
  <c r="I246" i="54"/>
  <c r="I238" i="54"/>
  <c r="I230" i="54"/>
  <c r="I292" i="54"/>
  <c r="I298" i="54"/>
  <c r="I273" i="54"/>
  <c r="I224" i="54"/>
  <c r="I216" i="54"/>
  <c r="I208" i="54"/>
  <c r="I200" i="54"/>
  <c r="I192" i="54"/>
  <c r="I184" i="54"/>
  <c r="I176" i="54"/>
  <c r="I168" i="54"/>
  <c r="I160" i="54"/>
  <c r="I68" i="54"/>
  <c r="I36" i="54"/>
  <c r="I88" i="54"/>
  <c r="I149" i="54"/>
  <c r="I141" i="54"/>
  <c r="I133" i="54"/>
  <c r="I125" i="54"/>
  <c r="I117" i="54"/>
  <c r="I109" i="54"/>
  <c r="I101" i="54"/>
  <c r="I93" i="54"/>
  <c r="I77" i="54"/>
  <c r="I45" i="54"/>
  <c r="I13" i="54"/>
  <c r="I66" i="54"/>
  <c r="I34" i="54"/>
  <c r="I75" i="54"/>
  <c r="I43" i="54"/>
  <c r="I11" i="54"/>
  <c r="I252" i="54"/>
  <c r="I214" i="54"/>
  <c r="I60" i="54"/>
  <c r="I131" i="54"/>
  <c r="I67" i="54"/>
  <c r="I290" i="54"/>
  <c r="I280" i="54"/>
  <c r="I261" i="54"/>
  <c r="I253" i="54"/>
  <c r="I245" i="54"/>
  <c r="I237" i="54"/>
  <c r="I229" i="54"/>
  <c r="I288" i="54"/>
  <c r="I303" i="54"/>
  <c r="I271" i="54"/>
  <c r="I223" i="54"/>
  <c r="I215" i="54"/>
  <c r="I207" i="54"/>
  <c r="I199" i="54"/>
  <c r="I191" i="54"/>
  <c r="I183" i="54"/>
  <c r="I175" i="54"/>
  <c r="I167" i="54"/>
  <c r="I159" i="54"/>
  <c r="I64" i="54"/>
  <c r="I32" i="54"/>
  <c r="I84" i="54"/>
  <c r="I148" i="54"/>
  <c r="I140" i="54"/>
  <c r="I132" i="54"/>
  <c r="I124" i="54"/>
  <c r="I116" i="54"/>
  <c r="I108" i="54"/>
  <c r="I100" i="54"/>
  <c r="I92" i="54"/>
  <c r="I73" i="54"/>
  <c r="I41" i="54"/>
  <c r="I9" i="54"/>
  <c r="I62" i="54"/>
  <c r="I30" i="54"/>
  <c r="I71" i="54"/>
  <c r="I39" i="54"/>
  <c r="I7" i="54"/>
  <c r="E11" i="34"/>
  <c r="D7" i="34"/>
  <c r="L6" i="49"/>
  <c r="K306" i="49"/>
  <c r="H31" i="37"/>
  <c r="H35" i="37"/>
  <c r="H67" i="37"/>
  <c r="H103" i="37"/>
  <c r="H133" i="37"/>
  <c r="H19" i="37"/>
  <c r="H51" i="37"/>
  <c r="H79" i="37"/>
  <c r="H82" i="37"/>
  <c r="H107" i="37"/>
  <c r="H26" i="37"/>
  <c r="H30" i="37"/>
  <c r="H55" i="37"/>
  <c r="H58" i="37"/>
  <c r="H62" i="37"/>
  <c r="H105" i="37"/>
  <c r="H71" i="37"/>
  <c r="H78" i="37"/>
  <c r="H101" i="37"/>
  <c r="H39" i="37"/>
  <c r="H46" i="37"/>
  <c r="H113" i="37"/>
  <c r="H131" i="37"/>
  <c r="H135" i="37"/>
  <c r="H151" i="37"/>
  <c r="H153" i="37"/>
  <c r="H215" i="37"/>
  <c r="H229" i="37"/>
  <c r="H231" i="37"/>
  <c r="H233" i="37"/>
  <c r="H235" i="37"/>
  <c r="H237" i="37"/>
  <c r="H239" i="37"/>
  <c r="H241" i="37"/>
  <c r="H243" i="37"/>
  <c r="H245" i="37"/>
  <c r="H247" i="37"/>
  <c r="H249" i="37"/>
  <c r="H251" i="37"/>
  <c r="H253" i="37"/>
  <c r="H255" i="37"/>
  <c r="H257" i="37"/>
  <c r="H259" i="37"/>
  <c r="H261" i="37"/>
  <c r="H263" i="37"/>
  <c r="H265" i="37"/>
  <c r="H267" i="37"/>
  <c r="H269" i="37"/>
  <c r="H271" i="37"/>
  <c r="H273" i="37"/>
  <c r="H275" i="37"/>
  <c r="H277" i="37"/>
  <c r="H279" i="37"/>
  <c r="H74" i="37"/>
  <c r="H42" i="37"/>
  <c r="H109" i="37"/>
  <c r="H137" i="37"/>
  <c r="H152" i="37"/>
  <c r="H223" i="37"/>
  <c r="H283" i="37"/>
  <c r="H291" i="37"/>
  <c r="H299" i="37"/>
  <c r="H281" i="37"/>
  <c r="H289" i="37"/>
  <c r="H297" i="37"/>
  <c r="H305" i="37"/>
  <c r="H287" i="37"/>
  <c r="H295" i="37"/>
  <c r="H303" i="37"/>
  <c r="H285" i="37"/>
  <c r="H293" i="37"/>
  <c r="H301" i="37"/>
  <c r="H304" i="37"/>
  <c r="H272" i="37"/>
  <c r="H290" i="37"/>
  <c r="H262" i="37"/>
  <c r="H219" i="37"/>
  <c r="H199" i="37"/>
  <c r="H183" i="37"/>
  <c r="H167" i="37"/>
  <c r="H149" i="37"/>
  <c r="H284" i="37"/>
  <c r="H252" i="37"/>
  <c r="H294" i="37"/>
  <c r="H258" i="37"/>
  <c r="H240" i="37"/>
  <c r="H232" i="37"/>
  <c r="H210" i="37"/>
  <c r="H202" i="37"/>
  <c r="H194" i="37"/>
  <c r="H186" i="37"/>
  <c r="H178" i="37"/>
  <c r="H170" i="37"/>
  <c r="H162" i="37"/>
  <c r="H154" i="37"/>
  <c r="H36" i="37"/>
  <c r="H221" i="37"/>
  <c r="H128" i="37"/>
  <c r="H98" i="37"/>
  <c r="H50" i="37"/>
  <c r="H218" i="37"/>
  <c r="H205" i="37"/>
  <c r="H197" i="37"/>
  <c r="H189" i="37"/>
  <c r="H181" i="37"/>
  <c r="H173" i="37"/>
  <c r="H157" i="37"/>
  <c r="H120" i="37"/>
  <c r="H90" i="37"/>
  <c r="H213" i="37"/>
  <c r="H125" i="37"/>
  <c r="H83" i="37"/>
  <c r="H87" i="37"/>
  <c r="H37" i="37"/>
  <c r="H16" i="37"/>
  <c r="H139" i="37"/>
  <c r="H81" i="37"/>
  <c r="H64" i="37"/>
  <c r="H22" i="37"/>
  <c r="H138" i="37"/>
  <c r="H114" i="37"/>
  <c r="H49" i="37"/>
  <c r="H28" i="37"/>
  <c r="H9" i="37"/>
  <c r="H108" i="37"/>
  <c r="H72" i="37"/>
  <c r="H56" i="37"/>
  <c r="H40" i="37"/>
  <c r="H8" i="37"/>
  <c r="H296" i="37"/>
  <c r="H264" i="37"/>
  <c r="H282" i="37"/>
  <c r="H254" i="37"/>
  <c r="H211" i="37"/>
  <c r="H195" i="37"/>
  <c r="H179" i="37"/>
  <c r="H163" i="37"/>
  <c r="H147" i="37"/>
  <c r="H276" i="37"/>
  <c r="H286" i="37"/>
  <c r="H250" i="37"/>
  <c r="H238" i="37"/>
  <c r="H230" i="37"/>
  <c r="H217" i="37"/>
  <c r="H208" i="37"/>
  <c r="H200" i="37"/>
  <c r="H192" i="37"/>
  <c r="H184" i="37"/>
  <c r="H176" i="37"/>
  <c r="H168" i="37"/>
  <c r="H160" i="37"/>
  <c r="H146" i="37"/>
  <c r="H124" i="37"/>
  <c r="H97" i="37"/>
  <c r="H225" i="37"/>
  <c r="H169" i="37"/>
  <c r="H148" i="37"/>
  <c r="H119" i="37"/>
  <c r="H224" i="37"/>
  <c r="H118" i="37"/>
  <c r="H99" i="37"/>
  <c r="H80" i="37"/>
  <c r="H52" i="37"/>
  <c r="H86" i="37"/>
  <c r="H48" i="37"/>
  <c r="H15" i="37"/>
  <c r="H144" i="37"/>
  <c r="H122" i="37"/>
  <c r="H96" i="37"/>
  <c r="H63" i="37"/>
  <c r="H32" i="37"/>
  <c r="H18" i="37"/>
  <c r="H136" i="37"/>
  <c r="H112" i="37"/>
  <c r="H91" i="37"/>
  <c r="H65" i="37"/>
  <c r="H44" i="37"/>
  <c r="H24" i="37"/>
  <c r="H134" i="37"/>
  <c r="H106" i="37"/>
  <c r="H93" i="37"/>
  <c r="H288" i="37"/>
  <c r="H256" i="37"/>
  <c r="H278" i="37"/>
  <c r="H246" i="37"/>
  <c r="H207" i="37"/>
  <c r="H191" i="37"/>
  <c r="H175" i="37"/>
  <c r="H159" i="37"/>
  <c r="H300" i="37"/>
  <c r="H268" i="37"/>
  <c r="H274" i="37"/>
  <c r="H244" i="37"/>
  <c r="H236" i="37"/>
  <c r="H228" i="37"/>
  <c r="H206" i="37"/>
  <c r="H198" i="37"/>
  <c r="H190" i="37"/>
  <c r="H182" i="37"/>
  <c r="H174" i="37"/>
  <c r="H166" i="37"/>
  <c r="H158" i="37"/>
  <c r="H129" i="37"/>
  <c r="H216" i="37"/>
  <c r="H142" i="37"/>
  <c r="H123" i="37"/>
  <c r="H68" i="37"/>
  <c r="H209" i="37"/>
  <c r="H201" i="37"/>
  <c r="H193" i="37"/>
  <c r="H185" i="37"/>
  <c r="H177" i="37"/>
  <c r="H165" i="37"/>
  <c r="H145" i="37"/>
  <c r="H222" i="37"/>
  <c r="H117" i="37"/>
  <c r="H94" i="37"/>
  <c r="H73" i="37"/>
  <c r="H41" i="37"/>
  <c r="H10" i="37"/>
  <c r="H75" i="37"/>
  <c r="H47" i="37"/>
  <c r="H7" i="37"/>
  <c r="H14" i="37"/>
  <c r="H130" i="37"/>
  <c r="H121" i="37"/>
  <c r="H95" i="37"/>
  <c r="H70" i="37"/>
  <c r="H59" i="37"/>
  <c r="H27" i="37"/>
  <c r="H12" i="37"/>
  <c r="H110" i="37"/>
  <c r="H89" i="37"/>
  <c r="H60" i="37"/>
  <c r="H21" i="37"/>
  <c r="H132" i="37"/>
  <c r="H104" i="37"/>
  <c r="H84" i="37"/>
  <c r="H17" i="37"/>
  <c r="H280" i="37"/>
  <c r="H248" i="37"/>
  <c r="H298" i="37"/>
  <c r="H270" i="37"/>
  <c r="H227" i="37"/>
  <c r="H203" i="37"/>
  <c r="H187" i="37"/>
  <c r="H171" i="37"/>
  <c r="H155" i="37"/>
  <c r="H292" i="37"/>
  <c r="H260" i="37"/>
  <c r="H302" i="37"/>
  <c r="H266" i="37"/>
  <c r="H242" i="37"/>
  <c r="H234" i="37"/>
  <c r="H226" i="37"/>
  <c r="H212" i="37"/>
  <c r="H204" i="37"/>
  <c r="H196" i="37"/>
  <c r="H188" i="37"/>
  <c r="H180" i="37"/>
  <c r="H172" i="37"/>
  <c r="H164" i="37"/>
  <c r="H156" i="37"/>
  <c r="H57" i="37"/>
  <c r="H214" i="37"/>
  <c r="H141" i="37"/>
  <c r="H115" i="37"/>
  <c r="H220" i="37"/>
  <c r="H161" i="37"/>
  <c r="H127" i="37"/>
  <c r="H92" i="37"/>
  <c r="H143" i="37"/>
  <c r="H111" i="37"/>
  <c r="H88" i="37"/>
  <c r="H66" i="37"/>
  <c r="H34" i="37"/>
  <c r="H69" i="37"/>
  <c r="H54" i="37"/>
  <c r="H43" i="37"/>
  <c r="H20" i="37"/>
  <c r="H25" i="37"/>
  <c r="H150" i="37"/>
  <c r="H140" i="37"/>
  <c r="H126" i="37"/>
  <c r="H100" i="37"/>
  <c r="H85" i="37"/>
  <c r="H53" i="37"/>
  <c r="H38" i="37"/>
  <c r="H23" i="37"/>
  <c r="H11" i="37"/>
  <c r="H116" i="37"/>
  <c r="H76" i="37"/>
  <c r="H33" i="37"/>
  <c r="H13" i="37"/>
  <c r="H102" i="37"/>
  <c r="H77" i="37"/>
  <c r="H61" i="37"/>
  <c r="H45" i="37"/>
  <c r="H29" i="37"/>
  <c r="F21" i="33"/>
  <c r="F33" i="33"/>
  <c r="F17" i="33"/>
  <c r="F62" i="33"/>
  <c r="F63" i="33"/>
  <c r="F43" i="33"/>
  <c r="F46" i="33"/>
  <c r="F47" i="33"/>
  <c r="F71" i="33"/>
  <c r="F79" i="33"/>
  <c r="F74" i="33"/>
  <c r="F81" i="33"/>
  <c r="F89" i="33"/>
  <c r="F97" i="33"/>
  <c r="F105" i="33"/>
  <c r="F113" i="33"/>
  <c r="F121" i="33"/>
  <c r="F39" i="33"/>
  <c r="F59" i="33"/>
  <c r="F66" i="33"/>
  <c r="F85" i="33"/>
  <c r="F93" i="33"/>
  <c r="F101" i="33"/>
  <c r="F109" i="33"/>
  <c r="F117" i="33"/>
  <c r="F125" i="33"/>
  <c r="F142" i="33"/>
  <c r="F158" i="33"/>
  <c r="F174" i="33"/>
  <c r="F182" i="33"/>
  <c r="F132" i="33"/>
  <c r="F137" i="33"/>
  <c r="F146" i="33"/>
  <c r="F162" i="33"/>
  <c r="F178" i="33"/>
  <c r="F238" i="33"/>
  <c r="F150" i="33"/>
  <c r="F166" i="33"/>
  <c r="F191" i="33"/>
  <c r="F199" i="33"/>
  <c r="F207" i="33"/>
  <c r="F215" i="33"/>
  <c r="F223" i="33"/>
  <c r="F195" i="33"/>
  <c r="F203" i="33"/>
  <c r="F211" i="33"/>
  <c r="F219" i="33"/>
  <c r="F235" i="33"/>
  <c r="F186" i="33"/>
  <c r="F227" i="33"/>
  <c r="F288" i="33"/>
  <c r="F299" i="33"/>
  <c r="F277" i="33"/>
  <c r="F252" i="33"/>
  <c r="F304" i="33"/>
  <c r="F256" i="33"/>
  <c r="F296" i="33"/>
  <c r="F289" i="33"/>
  <c r="F264" i="33"/>
  <c r="F247" i="33"/>
  <c r="F231" i="33"/>
  <c r="F297" i="33"/>
  <c r="F302" i="33"/>
  <c r="F286" i="33"/>
  <c r="F285" i="33"/>
  <c r="F260" i="33"/>
  <c r="F216" i="33"/>
  <c r="F149" i="33"/>
  <c r="F226" i="33"/>
  <c r="F210" i="33"/>
  <c r="F194" i="33"/>
  <c r="F165" i="33"/>
  <c r="F220" i="33"/>
  <c r="F188" i="33"/>
  <c r="F172" i="33"/>
  <c r="F140" i="33"/>
  <c r="F225" i="33"/>
  <c r="F222" i="33"/>
  <c r="F190" i="33"/>
  <c r="F177" i="33"/>
  <c r="F155" i="33"/>
  <c r="F145" i="33"/>
  <c r="F106" i="33"/>
  <c r="F157" i="33"/>
  <c r="F64" i="33"/>
  <c r="F169" i="33"/>
  <c r="F147" i="33"/>
  <c r="F118" i="33"/>
  <c r="F86" i="33"/>
  <c r="F70" i="33"/>
  <c r="F14" i="33"/>
  <c r="F104" i="33"/>
  <c r="F44" i="33"/>
  <c r="F72" i="33"/>
  <c r="F68" i="33"/>
  <c r="F36" i="33"/>
  <c r="F56" i="33"/>
  <c r="F50" i="33"/>
  <c r="F9" i="33"/>
  <c r="F25" i="33"/>
  <c r="F22" i="33"/>
  <c r="F12" i="33"/>
  <c r="F294" i="33"/>
  <c r="F293" i="33"/>
  <c r="F268" i="33"/>
  <c r="F246" i="33"/>
  <c r="F281" i="33"/>
  <c r="F305" i="33"/>
  <c r="F263" i="33"/>
  <c r="F258" i="33"/>
  <c r="F242" i="33"/>
  <c r="F241" i="33"/>
  <c r="F265" i="33"/>
  <c r="F301" i="33"/>
  <c r="F259" i="33"/>
  <c r="F254" i="33"/>
  <c r="F243" i="33"/>
  <c r="F239" i="33"/>
  <c r="F192" i="33"/>
  <c r="F7" i="33"/>
  <c r="F181" i="33"/>
  <c r="F208" i="33"/>
  <c r="F212" i="33"/>
  <c r="F179" i="33"/>
  <c r="F200" i="33"/>
  <c r="F230" i="33"/>
  <c r="F201" i="33"/>
  <c r="F198" i="33"/>
  <c r="F170" i="33"/>
  <c r="F154" i="33"/>
  <c r="F138" i="33"/>
  <c r="F185" i="33"/>
  <c r="F127" i="33"/>
  <c r="F114" i="33"/>
  <c r="F82" i="33"/>
  <c r="F173" i="33"/>
  <c r="F153" i="33"/>
  <c r="F136" i="33"/>
  <c r="F134" i="33"/>
  <c r="F116" i="33"/>
  <c r="F100" i="33"/>
  <c r="F84" i="33"/>
  <c r="F42" i="33"/>
  <c r="F110" i="33"/>
  <c r="F40" i="33"/>
  <c r="F112" i="33"/>
  <c r="F80" i="33"/>
  <c r="F58" i="33"/>
  <c r="F51" i="33"/>
  <c r="F29" i="33"/>
  <c r="F32" i="33"/>
  <c r="F26" i="33"/>
  <c r="F41" i="33"/>
  <c r="F16" i="33"/>
  <c r="F24" i="33"/>
  <c r="F11" i="33"/>
  <c r="F271" i="33"/>
  <c r="F284" i="33"/>
  <c r="F267" i="33"/>
  <c r="F280" i="33"/>
  <c r="F274" i="33"/>
  <c r="F257" i="33"/>
  <c r="F282" i="33"/>
  <c r="F292" i="33"/>
  <c r="F275" i="33"/>
  <c r="F234" i="33"/>
  <c r="F228" i="33"/>
  <c r="F133" i="33"/>
  <c r="F175" i="33"/>
  <c r="F143" i="33"/>
  <c r="F122" i="33"/>
  <c r="F141" i="33"/>
  <c r="F135" i="33"/>
  <c r="F92" i="33"/>
  <c r="F131" i="33"/>
  <c r="F52" i="33"/>
  <c r="F120" i="33"/>
  <c r="F88" i="33"/>
  <c r="F37" i="33"/>
  <c r="F54" i="33"/>
  <c r="F34" i="33"/>
  <c r="F19" i="33"/>
  <c r="F28" i="33"/>
  <c r="F15" i="33"/>
  <c r="F245" i="33"/>
  <c r="F249" i="33"/>
  <c r="F232" i="33"/>
  <c r="F303" i="33"/>
  <c r="F270" i="33"/>
  <c r="F196" i="33"/>
  <c r="F217" i="33"/>
  <c r="F90" i="33"/>
  <c r="F77" i="33"/>
  <c r="F67" i="33"/>
  <c r="F20" i="33"/>
  <c r="F255" i="33"/>
  <c r="F300" i="33"/>
  <c r="F262" i="33"/>
  <c r="F287" i="33"/>
  <c r="F290" i="33"/>
  <c r="F279" i="33"/>
  <c r="F248" i="33"/>
  <c r="F250" i="33"/>
  <c r="F291" i="33"/>
  <c r="F224" i="33"/>
  <c r="F218" i="33"/>
  <c r="F206" i="33"/>
  <c r="F171" i="33"/>
  <c r="F98" i="33"/>
  <c r="F163" i="33"/>
  <c r="F126" i="33"/>
  <c r="F23" i="33"/>
  <c r="F55" i="33"/>
  <c r="F30" i="33"/>
  <c r="F278" i="33"/>
  <c r="F261" i="33"/>
  <c r="F266" i="33"/>
  <c r="F295" i="33"/>
  <c r="F272" i="33"/>
  <c r="F269" i="33"/>
  <c r="F244" i="33"/>
  <c r="F240" i="33"/>
  <c r="F236" i="33"/>
  <c r="F156" i="33"/>
  <c r="F183" i="33"/>
  <c r="F161" i="33"/>
  <c r="F129" i="33"/>
  <c r="F76" i="33"/>
  <c r="F167" i="33"/>
  <c r="F151" i="33"/>
  <c r="F108" i="33"/>
  <c r="F94" i="33"/>
  <c r="F96" i="33"/>
  <c r="F57" i="33"/>
  <c r="F10" i="33"/>
  <c r="F31" i="33"/>
  <c r="F27" i="33"/>
  <c r="F18" i="33"/>
  <c r="F8" i="33"/>
  <c r="F251" i="33"/>
  <c r="F298" i="33"/>
  <c r="F276" i="33"/>
  <c r="F253" i="33"/>
  <c r="F202" i="33"/>
  <c r="F214" i="33"/>
  <c r="F159" i="33"/>
  <c r="F130" i="33"/>
  <c r="F139" i="33"/>
  <c r="F124" i="33"/>
  <c r="F75" i="33"/>
  <c r="F102" i="33"/>
  <c r="F60" i="33"/>
  <c r="F13" i="33"/>
  <c r="F283" i="33"/>
  <c r="F273" i="33"/>
  <c r="F204" i="33"/>
  <c r="F128" i="33"/>
  <c r="F233" i="33"/>
  <c r="F209" i="33"/>
  <c r="F78" i="33"/>
  <c r="F38" i="33"/>
  <c r="F35" i="33"/>
  <c r="F184" i="33"/>
  <c r="F53" i="33"/>
  <c r="F176" i="33"/>
  <c r="F48" i="33"/>
  <c r="F144" i="33"/>
  <c r="F123" i="33"/>
  <c r="F69" i="33"/>
  <c r="F221" i="33"/>
  <c r="F168" i="33"/>
  <c r="F148" i="33"/>
  <c r="F180" i="33"/>
  <c r="F45" i="33"/>
  <c r="F87" i="33"/>
  <c r="F152" i="33"/>
  <c r="F164" i="33"/>
  <c r="F99" i="33"/>
  <c r="F189" i="33"/>
  <c r="F49" i="33"/>
  <c r="F111" i="33"/>
  <c r="F95" i="33"/>
  <c r="F193" i="33"/>
  <c r="F205" i="33"/>
  <c r="F61" i="33"/>
  <c r="F73" i="33"/>
  <c r="F115" i="33"/>
  <c r="F103" i="33"/>
  <c r="F160" i="33"/>
  <c r="F197" i="33"/>
  <c r="F229" i="33"/>
  <c r="F187" i="33"/>
  <c r="F91" i="33"/>
  <c r="F237" i="33"/>
  <c r="F65" i="33"/>
  <c r="F83" i="33"/>
  <c r="F119" i="33"/>
  <c r="F107" i="33"/>
  <c r="F213" i="33"/>
  <c r="F48" i="48"/>
  <c r="F50" i="48" s="1"/>
  <c r="H306" i="37"/>
  <c r="H6" i="37"/>
  <c r="I5" i="13"/>
  <c r="K306" i="11"/>
  <c r="J3" i="33"/>
  <c r="F6" i="33"/>
  <c r="I3" i="33"/>
  <c r="D306" i="37"/>
  <c r="K3" i="33"/>
  <c r="H3" i="33"/>
  <c r="G3" i="33"/>
  <c r="F306" i="11"/>
  <c r="D5" i="9"/>
  <c r="D6" i="9"/>
  <c r="L306" i="49" l="1"/>
  <c r="H6" i="25"/>
  <c r="E25" i="37"/>
  <c r="E17" i="37"/>
  <c r="E21" i="37"/>
  <c r="E26" i="37"/>
  <c r="E37" i="37"/>
  <c r="E42" i="37"/>
  <c r="E53" i="37"/>
  <c r="E58" i="37"/>
  <c r="E69" i="37"/>
  <c r="E74" i="37"/>
  <c r="E82" i="37"/>
  <c r="E89" i="37"/>
  <c r="E110" i="37"/>
  <c r="E112" i="37"/>
  <c r="E114" i="37"/>
  <c r="E116" i="37"/>
  <c r="E136" i="37"/>
  <c r="E138" i="37"/>
  <c r="E10" i="37"/>
  <c r="E14" i="37"/>
  <c r="G14" i="37" s="1"/>
  <c r="E30" i="37"/>
  <c r="E41" i="37"/>
  <c r="E46" i="37"/>
  <c r="E57" i="37"/>
  <c r="E62" i="37"/>
  <c r="E73" i="37"/>
  <c r="E78" i="37"/>
  <c r="E81" i="37"/>
  <c r="E85" i="37"/>
  <c r="E94" i="37"/>
  <c r="E96" i="37"/>
  <c r="E98" i="37"/>
  <c r="E118" i="37"/>
  <c r="E120" i="37"/>
  <c r="E122" i="37"/>
  <c r="E124" i="37"/>
  <c r="E140" i="37"/>
  <c r="E142" i="37"/>
  <c r="E29" i="37"/>
  <c r="E50" i="37"/>
  <c r="E61" i="37"/>
  <c r="E90" i="37"/>
  <c r="E106" i="37"/>
  <c r="E8" i="37"/>
  <c r="E34" i="37"/>
  <c r="E45" i="37"/>
  <c r="E66" i="37"/>
  <c r="E77" i="37"/>
  <c r="E93" i="37"/>
  <c r="E102" i="37"/>
  <c r="E18" i="37"/>
  <c r="E22" i="37"/>
  <c r="E38" i="37"/>
  <c r="E49" i="37"/>
  <c r="E70" i="37"/>
  <c r="E100" i="37"/>
  <c r="E108" i="37"/>
  <c r="E86" i="37"/>
  <c r="E126" i="37"/>
  <c r="E144" i="37"/>
  <c r="E175" i="37"/>
  <c r="E179" i="37"/>
  <c r="E183" i="37"/>
  <c r="E187" i="37"/>
  <c r="E191" i="37"/>
  <c r="E195" i="37"/>
  <c r="E199" i="37"/>
  <c r="E203" i="37"/>
  <c r="E207" i="37"/>
  <c r="E211" i="37"/>
  <c r="E218" i="37"/>
  <c r="E227" i="37"/>
  <c r="E65" i="37"/>
  <c r="E104" i="37"/>
  <c r="E128" i="37"/>
  <c r="E214" i="37"/>
  <c r="E223" i="37"/>
  <c r="E33" i="37"/>
  <c r="E54" i="37"/>
  <c r="E132" i="37"/>
  <c r="E146" i="37"/>
  <c r="E154" i="37"/>
  <c r="E158" i="37"/>
  <c r="E162" i="37"/>
  <c r="E166" i="37"/>
  <c r="E170" i="37"/>
  <c r="E174" i="37"/>
  <c r="E178" i="37"/>
  <c r="E182" i="37"/>
  <c r="E186" i="37"/>
  <c r="E190" i="37"/>
  <c r="E194" i="37"/>
  <c r="E198" i="37"/>
  <c r="E202" i="37"/>
  <c r="E206" i="37"/>
  <c r="E210" i="37"/>
  <c r="E219" i="37"/>
  <c r="E226" i="37"/>
  <c r="E230" i="37"/>
  <c r="E232" i="37"/>
  <c r="E234" i="37"/>
  <c r="E236" i="37"/>
  <c r="E238" i="37"/>
  <c r="E240" i="37"/>
  <c r="E242" i="37"/>
  <c r="E244" i="37"/>
  <c r="E246" i="37"/>
  <c r="E248" i="37"/>
  <c r="E250" i="37"/>
  <c r="E252" i="37"/>
  <c r="E254" i="37"/>
  <c r="E256" i="37"/>
  <c r="E258" i="37"/>
  <c r="E260" i="37"/>
  <c r="E262" i="37"/>
  <c r="E264" i="37"/>
  <c r="E266" i="37"/>
  <c r="E268" i="37"/>
  <c r="E270" i="37"/>
  <c r="E272" i="37"/>
  <c r="E274" i="37"/>
  <c r="E276" i="37"/>
  <c r="E278" i="37"/>
  <c r="E280" i="37"/>
  <c r="E282" i="37"/>
  <c r="E284" i="37"/>
  <c r="E286" i="37"/>
  <c r="E288" i="37"/>
  <c r="E290" i="37"/>
  <c r="E292" i="37"/>
  <c r="E294" i="37"/>
  <c r="E296" i="37"/>
  <c r="E298" i="37"/>
  <c r="E300" i="37"/>
  <c r="E302" i="37"/>
  <c r="E304" i="37"/>
  <c r="E130" i="37"/>
  <c r="E134" i="37"/>
  <c r="E150" i="37"/>
  <c r="E215" i="37"/>
  <c r="E222" i="37"/>
  <c r="E267" i="37"/>
  <c r="E143" i="37"/>
  <c r="E111" i="37"/>
  <c r="E71" i="37"/>
  <c r="E97" i="37"/>
  <c r="E263" i="37"/>
  <c r="E188" i="37"/>
  <c r="E48" i="37"/>
  <c r="E79" i="37"/>
  <c r="E241" i="37"/>
  <c r="E105" i="37"/>
  <c r="E155" i="37"/>
  <c r="E39" i="37"/>
  <c r="E35" i="37"/>
  <c r="E180" i="37"/>
  <c r="E115" i="37"/>
  <c r="E271" i="37"/>
  <c r="E76" i="37"/>
  <c r="E177" i="37"/>
  <c r="E101" i="37"/>
  <c r="E119" i="37"/>
  <c r="E64" i="37"/>
  <c r="E127" i="37"/>
  <c r="E20" i="37"/>
  <c r="E213" i="37"/>
  <c r="E293" i="37"/>
  <c r="E193" i="37"/>
  <c r="E31" i="37"/>
  <c r="E237" i="37"/>
  <c r="E129" i="37"/>
  <c r="E299" i="37"/>
  <c r="E225" i="37"/>
  <c r="E47" i="37"/>
  <c r="E84" i="37"/>
  <c r="E44" i="37"/>
  <c r="E145" i="37"/>
  <c r="E68" i="37"/>
  <c r="E80" i="37"/>
  <c r="E13" i="37"/>
  <c r="E28" i="37"/>
  <c r="E36" i="37"/>
  <c r="E305" i="37"/>
  <c r="E233" i="37"/>
  <c r="E52" i="37"/>
  <c r="E16" i="37"/>
  <c r="E229" i="37"/>
  <c r="E55" i="37"/>
  <c r="E27" i="37"/>
  <c r="E51" i="37"/>
  <c r="E197" i="37"/>
  <c r="E19" i="37"/>
  <c r="E7" i="37"/>
  <c r="E165" i="37"/>
  <c r="E297" i="37"/>
  <c r="E301" i="37"/>
  <c r="E107" i="37"/>
  <c r="E201" i="37"/>
  <c r="E220" i="37"/>
  <c r="E141" i="37"/>
  <c r="E95" i="37"/>
  <c r="E151" i="37"/>
  <c r="E59" i="37"/>
  <c r="E149" i="37"/>
  <c r="E196" i="37"/>
  <c r="E137" i="37"/>
  <c r="E23" i="37"/>
  <c r="E209" i="37"/>
  <c r="E228" i="37"/>
  <c r="E192" i="37"/>
  <c r="E12" i="37"/>
  <c r="E257" i="37"/>
  <c r="E163" i="37"/>
  <c r="E139" i="37"/>
  <c r="E185" i="37"/>
  <c r="E153" i="37"/>
  <c r="E212" i="37"/>
  <c r="E88" i="37"/>
  <c r="E43" i="37"/>
  <c r="E24" i="37"/>
  <c r="E303" i="37"/>
  <c r="E131" i="37"/>
  <c r="E167" i="37"/>
  <c r="E171" i="37"/>
  <c r="E113" i="37"/>
  <c r="E32" i="37"/>
  <c r="E147" i="37"/>
  <c r="E181" i="37"/>
  <c r="E217" i="37"/>
  <c r="E208" i="37"/>
  <c r="E157" i="37"/>
  <c r="E245" i="37"/>
  <c r="E161" i="37"/>
  <c r="E184" i="37"/>
  <c r="E205" i="37"/>
  <c r="E123" i="37"/>
  <c r="E249" i="37"/>
  <c r="E295" i="37"/>
  <c r="E289" i="37"/>
  <c r="E125" i="37"/>
  <c r="E60" i="37"/>
  <c r="E133" i="37"/>
  <c r="E99" i="37"/>
  <c r="E216" i="37"/>
  <c r="E11" i="37"/>
  <c r="E169" i="37"/>
  <c r="E200" i="37"/>
  <c r="E135" i="37"/>
  <c r="E221" i="37"/>
  <c r="E15" i="37"/>
  <c r="E159" i="37"/>
  <c r="E279" i="37"/>
  <c r="E103" i="37"/>
  <c r="E56" i="37"/>
  <c r="E224" i="37"/>
  <c r="E253" i="37"/>
  <c r="E261" i="37"/>
  <c r="E291" i="37"/>
  <c r="E204" i="37"/>
  <c r="E92" i="37"/>
  <c r="E72" i="37"/>
  <c r="E189" i="37"/>
  <c r="E121" i="37"/>
  <c r="E109" i="37"/>
  <c r="E40" i="37"/>
  <c r="E173" i="37"/>
  <c r="E117" i="37"/>
  <c r="E63" i="37"/>
  <c r="E285" i="37"/>
  <c r="E91" i="37"/>
  <c r="E283" i="37"/>
  <c r="E83" i="37"/>
  <c r="E156" i="37"/>
  <c r="E287" i="37"/>
  <c r="E67" i="37"/>
  <c r="E251" i="37"/>
  <c r="E168" i="37"/>
  <c r="E160" i="37"/>
  <c r="E75" i="37"/>
  <c r="E231" i="37"/>
  <c r="E9" i="37"/>
  <c r="E281" i="37"/>
  <c r="E152" i="37"/>
  <c r="E259" i="37"/>
  <c r="E172" i="37"/>
  <c r="E164" i="37"/>
  <c r="E176" i="37"/>
  <c r="E255" i="37"/>
  <c r="E243" i="37"/>
  <c r="E239" i="37"/>
  <c r="E265" i="37"/>
  <c r="E269" i="37"/>
  <c r="E273" i="37"/>
  <c r="E277" i="37"/>
  <c r="E275" i="37"/>
  <c r="E247" i="37"/>
  <c r="E235" i="37"/>
  <c r="E148" i="37"/>
  <c r="E87" i="37"/>
  <c r="I14" i="37"/>
  <c r="F20" i="34" s="1"/>
  <c r="F14" i="12" s="1"/>
  <c r="H15" i="33"/>
  <c r="H43" i="33"/>
  <c r="H35" i="33"/>
  <c r="H41" i="33"/>
  <c r="H31" i="33"/>
  <c r="H63" i="33"/>
  <c r="H79" i="33"/>
  <c r="H47" i="33"/>
  <c r="H60" i="33"/>
  <c r="H72" i="33"/>
  <c r="H182" i="33"/>
  <c r="H233" i="33"/>
  <c r="H67" i="33"/>
  <c r="H19" i="33"/>
  <c r="H135" i="33"/>
  <c r="H255" i="33"/>
  <c r="H294" i="33"/>
  <c r="H283" i="33"/>
  <c r="H268" i="33"/>
  <c r="H298" i="33"/>
  <c r="H295" i="33"/>
  <c r="H280" i="33"/>
  <c r="H274" i="33"/>
  <c r="H242" i="33"/>
  <c r="H201" i="33"/>
  <c r="H282" i="33"/>
  <c r="H302" i="33"/>
  <c r="H291" i="33"/>
  <c r="H276" i="33"/>
  <c r="H216" i="33"/>
  <c r="H297" i="33"/>
  <c r="H281" i="33"/>
  <c r="H265" i="33"/>
  <c r="H249" i="33"/>
  <c r="H238" i="33"/>
  <c r="H218" i="33"/>
  <c r="H202" i="33"/>
  <c r="H181" i="33"/>
  <c r="H220" i="33"/>
  <c r="H188" i="33"/>
  <c r="H172" i="33"/>
  <c r="H140" i="33"/>
  <c r="H133" i="33"/>
  <c r="H206" i="33"/>
  <c r="H183" i="33"/>
  <c r="H130" i="33"/>
  <c r="H185" i="33"/>
  <c r="H161" i="33"/>
  <c r="H155" i="33"/>
  <c r="H150" i="33"/>
  <c r="H127" i="33"/>
  <c r="H106" i="33"/>
  <c r="H215" i="33"/>
  <c r="H199" i="33"/>
  <c r="H64" i="33"/>
  <c r="H186" i="33"/>
  <c r="H158" i="33"/>
  <c r="H147" i="33"/>
  <c r="H136" i="33"/>
  <c r="H118" i="33"/>
  <c r="H86" i="33"/>
  <c r="H40" i="33"/>
  <c r="H14" i="33"/>
  <c r="H120" i="33"/>
  <c r="H88" i="33"/>
  <c r="H58" i="33"/>
  <c r="H50" i="33"/>
  <c r="H117" i="33"/>
  <c r="H101" i="33"/>
  <c r="H85" i="33"/>
  <c r="H71" i="33"/>
  <c r="H57" i="33"/>
  <c r="H55" i="33"/>
  <c r="H38" i="33"/>
  <c r="H54" i="33"/>
  <c r="H39" i="33"/>
  <c r="H28" i="33"/>
  <c r="H22" i="33"/>
  <c r="H299" i="33"/>
  <c r="H284" i="33"/>
  <c r="H296" i="33"/>
  <c r="H290" i="33"/>
  <c r="H247" i="33"/>
  <c r="H225" i="33"/>
  <c r="H292" i="33"/>
  <c r="H243" i="33"/>
  <c r="H192" i="33"/>
  <c r="H7" i="33"/>
  <c r="H293" i="33"/>
  <c r="H277" i="33"/>
  <c r="H261" i="33"/>
  <c r="H245" i="33"/>
  <c r="H235" i="33"/>
  <c r="H208" i="33"/>
  <c r="H212" i="33"/>
  <c r="H200" i="33"/>
  <c r="H239" i="33"/>
  <c r="H214" i="33"/>
  <c r="H114" i="33"/>
  <c r="H82" i="33"/>
  <c r="H227" i="33"/>
  <c r="H211" i="33"/>
  <c r="H195" i="33"/>
  <c r="H141" i="33"/>
  <c r="H142" i="33"/>
  <c r="H124" i="33"/>
  <c r="H108" i="33"/>
  <c r="H92" i="33"/>
  <c r="H75" i="33"/>
  <c r="H110" i="33"/>
  <c r="H70" i="33"/>
  <c r="H52" i="33"/>
  <c r="H96" i="33"/>
  <c r="H113" i="33"/>
  <c r="H97" i="33"/>
  <c r="H81" i="33"/>
  <c r="H66" i="33"/>
  <c r="H27" i="33"/>
  <c r="H26" i="33"/>
  <c r="H20" i="33"/>
  <c r="H8" i="33"/>
  <c r="H251" i="33"/>
  <c r="H304" i="33"/>
  <c r="H303" i="33"/>
  <c r="H272" i="33"/>
  <c r="H270" i="33"/>
  <c r="H259" i="33"/>
  <c r="H244" i="33"/>
  <c r="H305" i="33"/>
  <c r="H273" i="33"/>
  <c r="H241" i="33"/>
  <c r="H196" i="33"/>
  <c r="H179" i="33"/>
  <c r="H198" i="33"/>
  <c r="H170" i="33"/>
  <c r="H159" i="33"/>
  <c r="H138" i="33"/>
  <c r="H145" i="33"/>
  <c r="H139" i="33"/>
  <c r="H90" i="33"/>
  <c r="H223" i="33"/>
  <c r="H191" i="33"/>
  <c r="H169" i="33"/>
  <c r="H100" i="33"/>
  <c r="H102" i="33"/>
  <c r="H112" i="33"/>
  <c r="H104" i="33"/>
  <c r="H80" i="33"/>
  <c r="H44" i="33"/>
  <c r="H68" i="33"/>
  <c r="H36" i="33"/>
  <c r="H29" i="33"/>
  <c r="H105" i="33"/>
  <c r="H74" i="33"/>
  <c r="H46" i="33"/>
  <c r="H13" i="33"/>
  <c r="H300" i="33"/>
  <c r="H262" i="33"/>
  <c r="H263" i="33"/>
  <c r="H248" i="33"/>
  <c r="H149" i="33"/>
  <c r="H289" i="33"/>
  <c r="H210" i="33"/>
  <c r="H228" i="33"/>
  <c r="H230" i="33"/>
  <c r="H175" i="33"/>
  <c r="H143" i="33"/>
  <c r="H162" i="33"/>
  <c r="H134" i="33"/>
  <c r="H89" i="33"/>
  <c r="H56" i="33"/>
  <c r="H12" i="33"/>
  <c r="H278" i="33"/>
  <c r="H275" i="33"/>
  <c r="H285" i="33"/>
  <c r="H190" i="33"/>
  <c r="H203" i="33"/>
  <c r="H167" i="33"/>
  <c r="H151" i="33"/>
  <c r="H178" i="33"/>
  <c r="H37" i="33"/>
  <c r="H59" i="33"/>
  <c r="H10" i="33"/>
  <c r="H18" i="33"/>
  <c r="H288" i="33"/>
  <c r="H246" i="33"/>
  <c r="H287" i="33"/>
  <c r="H256" i="33"/>
  <c r="H279" i="33"/>
  <c r="H264" i="33"/>
  <c r="H232" i="33"/>
  <c r="H250" i="33"/>
  <c r="H286" i="33"/>
  <c r="H254" i="33"/>
  <c r="H224" i="33"/>
  <c r="H301" i="33"/>
  <c r="H269" i="33"/>
  <c r="H194" i="33"/>
  <c r="H204" i="33"/>
  <c r="H236" i="33"/>
  <c r="H231" i="33"/>
  <c r="H171" i="33"/>
  <c r="H98" i="33"/>
  <c r="H219" i="33"/>
  <c r="H146" i="33"/>
  <c r="H137" i="33"/>
  <c r="H163" i="33"/>
  <c r="H116" i="33"/>
  <c r="H42" i="33"/>
  <c r="H126" i="33"/>
  <c r="H23" i="33"/>
  <c r="H131" i="33"/>
  <c r="H51" i="33"/>
  <c r="H125" i="33"/>
  <c r="H93" i="33"/>
  <c r="H11" i="33"/>
  <c r="H30" i="33"/>
  <c r="H16" i="33"/>
  <c r="H21" i="33"/>
  <c r="H271" i="33"/>
  <c r="H252" i="33"/>
  <c r="H217" i="33"/>
  <c r="H257" i="33"/>
  <c r="H128" i="33"/>
  <c r="H234" i="33"/>
  <c r="H154" i="33"/>
  <c r="H177" i="33"/>
  <c r="H122" i="33"/>
  <c r="H207" i="33"/>
  <c r="H153" i="33"/>
  <c r="H129" i="33"/>
  <c r="H78" i="33"/>
  <c r="H121" i="33"/>
  <c r="H32" i="33"/>
  <c r="H34" i="33"/>
  <c r="H25" i="33"/>
  <c r="H33" i="33"/>
  <c r="H267" i="33"/>
  <c r="H266" i="33"/>
  <c r="H258" i="33"/>
  <c r="H209" i="33"/>
  <c r="H260" i="33"/>
  <c r="H240" i="33"/>
  <c r="H253" i="33"/>
  <c r="H226" i="33"/>
  <c r="H165" i="33"/>
  <c r="H156" i="33"/>
  <c r="H222" i="33"/>
  <c r="H166" i="33"/>
  <c r="H76" i="33"/>
  <c r="H173" i="33"/>
  <c r="H157" i="33"/>
  <c r="H77" i="33"/>
  <c r="H174" i="33"/>
  <c r="H84" i="33"/>
  <c r="H132" i="33"/>
  <c r="H94" i="33"/>
  <c r="H109" i="33"/>
  <c r="H62" i="33"/>
  <c r="H9" i="33"/>
  <c r="H17" i="33"/>
  <c r="H24" i="33"/>
  <c r="H49" i="33"/>
  <c r="H180" i="33"/>
  <c r="H61" i="33"/>
  <c r="H237" i="33"/>
  <c r="H187" i="33"/>
  <c r="H144" i="33"/>
  <c r="H91" i="33"/>
  <c r="H73" i="33"/>
  <c r="H83" i="33"/>
  <c r="H119" i="33"/>
  <c r="H107" i="33"/>
  <c r="H213" i="33"/>
  <c r="H99" i="33"/>
  <c r="H189" i="33"/>
  <c r="H69" i="33"/>
  <c r="H184" i="33"/>
  <c r="H111" i="33"/>
  <c r="H95" i="33"/>
  <c r="H193" i="33"/>
  <c r="H205" i="33"/>
  <c r="H115" i="33"/>
  <c r="H103" i="33"/>
  <c r="H160" i="33"/>
  <c r="H53" i="33"/>
  <c r="H176" i="33"/>
  <c r="H197" i="33"/>
  <c r="H229" i="33"/>
  <c r="H65" i="33"/>
  <c r="H48" i="33"/>
  <c r="H123" i="33"/>
  <c r="H221" i="33"/>
  <c r="H168" i="33"/>
  <c r="H148" i="33"/>
  <c r="H45" i="33"/>
  <c r="H87" i="33"/>
  <c r="H152" i="33"/>
  <c r="H164" i="33"/>
  <c r="G8" i="33"/>
  <c r="G24" i="33"/>
  <c r="G12" i="33"/>
  <c r="G28" i="33"/>
  <c r="G56" i="33"/>
  <c r="G38" i="33"/>
  <c r="G54" i="33"/>
  <c r="G60" i="33"/>
  <c r="G80" i="33"/>
  <c r="G88" i="33"/>
  <c r="G96" i="33"/>
  <c r="G104" i="33"/>
  <c r="G112" i="33"/>
  <c r="G120" i="33"/>
  <c r="G131" i="33"/>
  <c r="G134" i="33"/>
  <c r="G153" i="33"/>
  <c r="G169" i="33"/>
  <c r="G194" i="33"/>
  <c r="G202" i="33"/>
  <c r="G210" i="33"/>
  <c r="G218" i="33"/>
  <c r="G226" i="33"/>
  <c r="G157" i="33"/>
  <c r="G177" i="33"/>
  <c r="G185" i="33"/>
  <c r="G238" i="33"/>
  <c r="G234" i="33"/>
  <c r="G141" i="33"/>
  <c r="G173" i="33"/>
  <c r="G288" i="33"/>
  <c r="G267" i="33"/>
  <c r="G252" i="33"/>
  <c r="G246" i="33"/>
  <c r="G287" i="33"/>
  <c r="G256" i="33"/>
  <c r="G206" i="33"/>
  <c r="G264" i="33"/>
  <c r="G258" i="33"/>
  <c r="G232" i="33"/>
  <c r="G230" i="33"/>
  <c r="G275" i="33"/>
  <c r="G270" i="33"/>
  <c r="G260" i="33"/>
  <c r="G254" i="33"/>
  <c r="G243" i="33"/>
  <c r="G240" i="33"/>
  <c r="G204" i="33"/>
  <c r="G179" i="33"/>
  <c r="G156" i="33"/>
  <c r="G231" i="33"/>
  <c r="G215" i="33"/>
  <c r="G209" i="33"/>
  <c r="G178" i="33"/>
  <c r="G171" i="33"/>
  <c r="G166" i="33"/>
  <c r="G139" i="33"/>
  <c r="G122" i="33"/>
  <c r="G90" i="33"/>
  <c r="G151" i="33"/>
  <c r="G146" i="33"/>
  <c r="G161" i="33"/>
  <c r="G125" i="33"/>
  <c r="G109" i="33"/>
  <c r="G93" i="33"/>
  <c r="G42" i="33"/>
  <c r="G129" i="33"/>
  <c r="G102" i="33"/>
  <c r="G52" i="33"/>
  <c r="G116" i="33"/>
  <c r="G97" i="33"/>
  <c r="G84" i="33"/>
  <c r="G67" i="33"/>
  <c r="G59" i="33"/>
  <c r="G32" i="33"/>
  <c r="G74" i="33"/>
  <c r="G10" i="33"/>
  <c r="G63" i="33"/>
  <c r="G9" i="33"/>
  <c r="G35" i="33"/>
  <c r="G25" i="33"/>
  <c r="G33" i="33"/>
  <c r="G15" i="33"/>
  <c r="G13" i="33"/>
  <c r="G21" i="33"/>
  <c r="G271" i="33"/>
  <c r="G255" i="33"/>
  <c r="G283" i="33"/>
  <c r="G278" i="33"/>
  <c r="G268" i="33"/>
  <c r="G262" i="33"/>
  <c r="G251" i="33"/>
  <c r="G298" i="33"/>
  <c r="G266" i="33"/>
  <c r="G295" i="33"/>
  <c r="G280" i="33"/>
  <c r="G274" i="33"/>
  <c r="G303" i="33"/>
  <c r="G282" i="33"/>
  <c r="G250" i="33"/>
  <c r="G214" i="33"/>
  <c r="G276" i="33"/>
  <c r="G236" i="33"/>
  <c r="G224" i="33"/>
  <c r="G227" i="33"/>
  <c r="G211" i="33"/>
  <c r="G195" i="33"/>
  <c r="G305" i="33"/>
  <c r="G297" i="33"/>
  <c r="G289" i="33"/>
  <c r="G281" i="33"/>
  <c r="G273" i="33"/>
  <c r="G265" i="33"/>
  <c r="G257" i="33"/>
  <c r="G249" i="33"/>
  <c r="G241" i="33"/>
  <c r="G228" i="33"/>
  <c r="G196" i="33"/>
  <c r="G133" i="33"/>
  <c r="G223" i="33"/>
  <c r="G217" i="33"/>
  <c r="G191" i="33"/>
  <c r="G175" i="33"/>
  <c r="G170" i="33"/>
  <c r="G159" i="33"/>
  <c r="G154" i="33"/>
  <c r="G143" i="33"/>
  <c r="G138" i="33"/>
  <c r="G130" i="33"/>
  <c r="G186" i="33"/>
  <c r="G98" i="33"/>
  <c r="G76" i="33"/>
  <c r="G167" i="33"/>
  <c r="G162" i="33"/>
  <c r="G137" i="33"/>
  <c r="G135" i="33"/>
  <c r="G77" i="33"/>
  <c r="G174" i="33"/>
  <c r="G163" i="33"/>
  <c r="G145" i="33"/>
  <c r="G126" i="33"/>
  <c r="G94" i="33"/>
  <c r="G70" i="33"/>
  <c r="G23" i="33"/>
  <c r="G124" i="33"/>
  <c r="G105" i="33"/>
  <c r="G92" i="33"/>
  <c r="G44" i="33"/>
  <c r="G29" i="33"/>
  <c r="G55" i="33"/>
  <c r="G50" i="33"/>
  <c r="G66" i="33"/>
  <c r="G34" i="33"/>
  <c r="G20" i="33"/>
  <c r="G19" i="33"/>
  <c r="G31" i="33"/>
  <c r="G30" i="33"/>
  <c r="G17" i="33"/>
  <c r="G27" i="33"/>
  <c r="G18" i="33"/>
  <c r="G198" i="33"/>
  <c r="G296" i="33"/>
  <c r="G290" i="33"/>
  <c r="G302" i="33"/>
  <c r="G149" i="33"/>
  <c r="G301" i="33"/>
  <c r="G285" i="33"/>
  <c r="G269" i="33"/>
  <c r="G253" i="33"/>
  <c r="G128" i="33"/>
  <c r="G239" i="33"/>
  <c r="G106" i="33"/>
  <c r="G142" i="33"/>
  <c r="G136" i="33"/>
  <c r="G117" i="33"/>
  <c r="G86" i="33"/>
  <c r="G132" i="33"/>
  <c r="G78" i="33"/>
  <c r="G62" i="33"/>
  <c r="G26" i="33"/>
  <c r="G41" i="33"/>
  <c r="G43" i="33"/>
  <c r="G284" i="33"/>
  <c r="G279" i="33"/>
  <c r="G292" i="33"/>
  <c r="G286" i="33"/>
  <c r="G208" i="33"/>
  <c r="G293" i="33"/>
  <c r="G261" i="33"/>
  <c r="G207" i="33"/>
  <c r="G150" i="33"/>
  <c r="G118" i="33"/>
  <c r="G14" i="33"/>
  <c r="G108" i="33"/>
  <c r="G58" i="33"/>
  <c r="G36" i="33"/>
  <c r="G22" i="33"/>
  <c r="G222" i="33"/>
  <c r="G259" i="33"/>
  <c r="G235" i="33"/>
  <c r="G220" i="33"/>
  <c r="G172" i="33"/>
  <c r="G155" i="33"/>
  <c r="G82" i="33"/>
  <c r="G121" i="33"/>
  <c r="G89" i="33"/>
  <c r="G81" i="33"/>
  <c r="G51" i="33"/>
  <c r="G79" i="33"/>
  <c r="G16" i="33"/>
  <c r="G11" i="33"/>
  <c r="G300" i="33"/>
  <c r="G294" i="33"/>
  <c r="G263" i="33"/>
  <c r="G248" i="33"/>
  <c r="G242" i="33"/>
  <c r="G233" i="33"/>
  <c r="G192" i="33"/>
  <c r="G203" i="33"/>
  <c r="G165" i="33"/>
  <c r="G188" i="33"/>
  <c r="G140" i="33"/>
  <c r="G225" i="33"/>
  <c r="G114" i="33"/>
  <c r="G147" i="33"/>
  <c r="G75" i="33"/>
  <c r="G110" i="33"/>
  <c r="G40" i="33"/>
  <c r="G37" i="33"/>
  <c r="G72" i="33"/>
  <c r="G46" i="33"/>
  <c r="G57" i="33"/>
  <c r="G299" i="33"/>
  <c r="G247" i="33"/>
  <c r="G190" i="33"/>
  <c r="G291" i="33"/>
  <c r="G216" i="33"/>
  <c r="G219" i="33"/>
  <c r="G181" i="33"/>
  <c r="G277" i="33"/>
  <c r="G245" i="33"/>
  <c r="G212" i="33"/>
  <c r="G200" i="33"/>
  <c r="G201" i="33"/>
  <c r="G64" i="33"/>
  <c r="G182" i="33"/>
  <c r="G85" i="33"/>
  <c r="G100" i="33"/>
  <c r="G71" i="33"/>
  <c r="G47" i="33"/>
  <c r="G304" i="33"/>
  <c r="G272" i="33"/>
  <c r="G244" i="33"/>
  <c r="G7" i="33"/>
  <c r="G199" i="33"/>
  <c r="G183" i="33"/>
  <c r="G127" i="33"/>
  <c r="G158" i="33"/>
  <c r="G101" i="33"/>
  <c r="G113" i="33"/>
  <c r="G68" i="33"/>
  <c r="G39" i="33"/>
  <c r="G69" i="33"/>
  <c r="G111" i="33"/>
  <c r="G193" i="33"/>
  <c r="G205" i="33"/>
  <c r="G103" i="33"/>
  <c r="G197" i="33"/>
  <c r="G144" i="33"/>
  <c r="G123" i="33"/>
  <c r="G184" i="33"/>
  <c r="G221" i="33"/>
  <c r="G91" i="33"/>
  <c r="G168" i="33"/>
  <c r="G237" i="33"/>
  <c r="G65" i="33"/>
  <c r="G148" i="33"/>
  <c r="G180" i="33"/>
  <c r="G187" i="33"/>
  <c r="G48" i="33"/>
  <c r="G45" i="33"/>
  <c r="G73" i="33"/>
  <c r="G83" i="33"/>
  <c r="G87" i="33"/>
  <c r="G119" i="33"/>
  <c r="G152" i="33"/>
  <c r="G53" i="33"/>
  <c r="G107" i="33"/>
  <c r="G176" i="33"/>
  <c r="G164" i="33"/>
  <c r="G213" i="33"/>
  <c r="G99" i="33"/>
  <c r="G189" i="33"/>
  <c r="G49" i="33"/>
  <c r="G95" i="33"/>
  <c r="G61" i="33"/>
  <c r="G115" i="33"/>
  <c r="G160" i="33"/>
  <c r="G229" i="33"/>
  <c r="I30" i="33"/>
  <c r="I10" i="33"/>
  <c r="I26" i="33"/>
  <c r="I22" i="33"/>
  <c r="I55" i="33"/>
  <c r="I81" i="33"/>
  <c r="I85" i="33"/>
  <c r="I89" i="33"/>
  <c r="I93" i="33"/>
  <c r="I97" i="33"/>
  <c r="I101" i="33"/>
  <c r="I105" i="33"/>
  <c r="I109" i="33"/>
  <c r="I113" i="33"/>
  <c r="I117" i="33"/>
  <c r="I121" i="33"/>
  <c r="I125" i="33"/>
  <c r="I68" i="33"/>
  <c r="I71" i="33"/>
  <c r="I147" i="33"/>
  <c r="I163" i="33"/>
  <c r="I54" i="33"/>
  <c r="I151" i="33"/>
  <c r="I167" i="33"/>
  <c r="I191" i="33"/>
  <c r="I195" i="33"/>
  <c r="I199" i="33"/>
  <c r="I203" i="33"/>
  <c r="I207" i="33"/>
  <c r="I211" i="33"/>
  <c r="I215" i="33"/>
  <c r="I219" i="33"/>
  <c r="I223" i="33"/>
  <c r="I227" i="33"/>
  <c r="I129" i="33"/>
  <c r="I235" i="33"/>
  <c r="I241" i="33"/>
  <c r="I297" i="33"/>
  <c r="I139" i="33"/>
  <c r="I155" i="33"/>
  <c r="I171" i="33"/>
  <c r="I257" i="33"/>
  <c r="I289" i="33"/>
  <c r="I271" i="33"/>
  <c r="I300" i="33"/>
  <c r="I251" i="33"/>
  <c r="I246" i="33"/>
  <c r="I263" i="33"/>
  <c r="I258" i="33"/>
  <c r="I248" i="33"/>
  <c r="I303" i="33"/>
  <c r="I272" i="33"/>
  <c r="I259" i="33"/>
  <c r="I254" i="33"/>
  <c r="I244" i="33"/>
  <c r="I240" i="33"/>
  <c r="I228" i="33"/>
  <c r="I196" i="33"/>
  <c r="I285" i="33"/>
  <c r="I261" i="33"/>
  <c r="I7" i="33"/>
  <c r="I181" i="33"/>
  <c r="I253" i="33"/>
  <c r="I128" i="33"/>
  <c r="I234" i="33"/>
  <c r="I230" i="33"/>
  <c r="I224" i="33"/>
  <c r="I201" i="33"/>
  <c r="I198" i="33"/>
  <c r="I192" i="33"/>
  <c r="I175" i="33"/>
  <c r="I170" i="33"/>
  <c r="I159" i="33"/>
  <c r="I154" i="33"/>
  <c r="I143" i="33"/>
  <c r="I138" i="33"/>
  <c r="I127" i="33"/>
  <c r="I118" i="33"/>
  <c r="I98" i="33"/>
  <c r="I86" i="33"/>
  <c r="I76" i="33"/>
  <c r="I173" i="33"/>
  <c r="I162" i="33"/>
  <c r="I174" i="33"/>
  <c r="I153" i="33"/>
  <c r="I136" i="33"/>
  <c r="I134" i="33"/>
  <c r="I116" i="33"/>
  <c r="I100" i="33"/>
  <c r="I84" i="33"/>
  <c r="I132" i="33"/>
  <c r="I40" i="33"/>
  <c r="I112" i="33"/>
  <c r="I80" i="33"/>
  <c r="I78" i="33"/>
  <c r="I58" i="33"/>
  <c r="I37" i="33"/>
  <c r="I57" i="33"/>
  <c r="I36" i="33"/>
  <c r="I29" i="33"/>
  <c r="I74" i="33"/>
  <c r="I46" i="33"/>
  <c r="I32" i="33"/>
  <c r="I67" i="33"/>
  <c r="I62" i="33"/>
  <c r="I60" i="33"/>
  <c r="I34" i="33"/>
  <c r="I41" i="33"/>
  <c r="I16" i="33"/>
  <c r="I21" i="33"/>
  <c r="I17" i="33"/>
  <c r="I24" i="33"/>
  <c r="I11" i="33"/>
  <c r="I288" i="33"/>
  <c r="I255" i="33"/>
  <c r="I267" i="33"/>
  <c r="I262" i="33"/>
  <c r="I298" i="33"/>
  <c r="I287" i="33"/>
  <c r="I256" i="33"/>
  <c r="I280" i="33"/>
  <c r="I279" i="33"/>
  <c r="I274" i="33"/>
  <c r="I264" i="33"/>
  <c r="I183" i="33"/>
  <c r="I282" i="33"/>
  <c r="I291" i="33"/>
  <c r="I276" i="33"/>
  <c r="I275" i="33"/>
  <c r="I270" i="33"/>
  <c r="I260" i="33"/>
  <c r="I220" i="33"/>
  <c r="I188" i="33"/>
  <c r="I277" i="33"/>
  <c r="I249" i="33"/>
  <c r="I238" i="33"/>
  <c r="I218" i="33"/>
  <c r="I202" i="33"/>
  <c r="I305" i="33"/>
  <c r="I179" i="33"/>
  <c r="I156" i="33"/>
  <c r="I133" i="33"/>
  <c r="I233" i="33"/>
  <c r="I209" i="33"/>
  <c r="I206" i="33"/>
  <c r="I200" i="33"/>
  <c r="I161" i="33"/>
  <c r="I150" i="33"/>
  <c r="I126" i="33"/>
  <c r="I106" i="33"/>
  <c r="I94" i="33"/>
  <c r="I135" i="33"/>
  <c r="I64" i="33"/>
  <c r="I185" i="33"/>
  <c r="I182" i="33"/>
  <c r="I158" i="33"/>
  <c r="I42" i="33"/>
  <c r="I131" i="33"/>
  <c r="I14" i="33"/>
  <c r="I120" i="33"/>
  <c r="I88" i="33"/>
  <c r="I50" i="33"/>
  <c r="I38" i="33"/>
  <c r="I72" i="33"/>
  <c r="I39" i="33"/>
  <c r="I47" i="33"/>
  <c r="I43" i="33"/>
  <c r="I28" i="33"/>
  <c r="I15" i="33"/>
  <c r="I299" i="33"/>
  <c r="I278" i="33"/>
  <c r="I266" i="33"/>
  <c r="I295" i="33"/>
  <c r="I232" i="33"/>
  <c r="I286" i="33"/>
  <c r="I301" i="33"/>
  <c r="I245" i="33"/>
  <c r="I226" i="33"/>
  <c r="I273" i="33"/>
  <c r="I165" i="33"/>
  <c r="I140" i="33"/>
  <c r="I225" i="33"/>
  <c r="I222" i="33"/>
  <c r="I216" i="33"/>
  <c r="I190" i="33"/>
  <c r="I130" i="33"/>
  <c r="I166" i="33"/>
  <c r="I82" i="33"/>
  <c r="I157" i="33"/>
  <c r="I177" i="33"/>
  <c r="I108" i="33"/>
  <c r="I96" i="33"/>
  <c r="I59" i="33"/>
  <c r="I66" i="33"/>
  <c r="I79" i="33"/>
  <c r="I9" i="33"/>
  <c r="I31" i="33"/>
  <c r="I18" i="33"/>
  <c r="I27" i="33"/>
  <c r="I8" i="33"/>
  <c r="I290" i="33"/>
  <c r="I250" i="33"/>
  <c r="I212" i="33"/>
  <c r="I194" i="33"/>
  <c r="I172" i="33"/>
  <c r="I186" i="33"/>
  <c r="I114" i="33"/>
  <c r="I146" i="33"/>
  <c r="I52" i="33"/>
  <c r="I63" i="33"/>
  <c r="I243" i="33"/>
  <c r="I204" i="33"/>
  <c r="I149" i="33"/>
  <c r="I281" i="33"/>
  <c r="I122" i="33"/>
  <c r="I92" i="33"/>
  <c r="I75" i="33"/>
  <c r="I19" i="33"/>
  <c r="I12" i="33"/>
  <c r="I284" i="33"/>
  <c r="I304" i="33"/>
  <c r="I247" i="33"/>
  <c r="I292" i="33"/>
  <c r="I293" i="33"/>
  <c r="I239" i="33"/>
  <c r="I231" i="33"/>
  <c r="I217" i="33"/>
  <c r="I214" i="33"/>
  <c r="I208" i="33"/>
  <c r="I178" i="33"/>
  <c r="I145" i="33"/>
  <c r="I90" i="33"/>
  <c r="I77" i="33"/>
  <c r="I169" i="33"/>
  <c r="I142" i="33"/>
  <c r="I124" i="33"/>
  <c r="I104" i="33"/>
  <c r="I20" i="33"/>
  <c r="I13" i="33"/>
  <c r="I283" i="33"/>
  <c r="I268" i="33"/>
  <c r="I296" i="33"/>
  <c r="I269" i="33"/>
  <c r="I102" i="33"/>
  <c r="I137" i="33"/>
  <c r="I70" i="33"/>
  <c r="I23" i="33"/>
  <c r="I51" i="33"/>
  <c r="I35" i="33"/>
  <c r="I294" i="33"/>
  <c r="I252" i="33"/>
  <c r="I242" i="33"/>
  <c r="I302" i="33"/>
  <c r="I265" i="33"/>
  <c r="I210" i="33"/>
  <c r="I236" i="33"/>
  <c r="I110" i="33"/>
  <c r="I141" i="33"/>
  <c r="I44" i="33"/>
  <c r="I56" i="33"/>
  <c r="I25" i="33"/>
  <c r="I33" i="33"/>
  <c r="I99" i="33"/>
  <c r="I189" i="33"/>
  <c r="I69" i="33"/>
  <c r="I184" i="33"/>
  <c r="I111" i="33"/>
  <c r="I95" i="33"/>
  <c r="I193" i="33"/>
  <c r="I65" i="33"/>
  <c r="I180" i="33"/>
  <c r="I205" i="33"/>
  <c r="I61" i="33"/>
  <c r="I73" i="33"/>
  <c r="I115" i="33"/>
  <c r="I103" i="33"/>
  <c r="I160" i="33"/>
  <c r="I53" i="33"/>
  <c r="I176" i="33"/>
  <c r="I197" i="33"/>
  <c r="I229" i="33"/>
  <c r="I144" i="33"/>
  <c r="I123" i="33"/>
  <c r="I221" i="33"/>
  <c r="I168" i="33"/>
  <c r="I148" i="33"/>
  <c r="I83" i="33"/>
  <c r="I152" i="33"/>
  <c r="I164" i="33"/>
  <c r="I48" i="33"/>
  <c r="I49" i="33"/>
  <c r="I91" i="33"/>
  <c r="I237" i="33"/>
  <c r="I45" i="33"/>
  <c r="I87" i="33"/>
  <c r="I119" i="33"/>
  <c r="I107" i="33"/>
  <c r="I213" i="33"/>
  <c r="I187" i="33"/>
  <c r="K12" i="33"/>
  <c r="K8" i="33"/>
  <c r="K24" i="33"/>
  <c r="K20" i="33"/>
  <c r="K66" i="33"/>
  <c r="K28" i="33"/>
  <c r="K50" i="33"/>
  <c r="K56" i="33"/>
  <c r="K74" i="33"/>
  <c r="K79" i="33"/>
  <c r="K84" i="33"/>
  <c r="K92" i="33"/>
  <c r="K100" i="33"/>
  <c r="K108" i="33"/>
  <c r="K116" i="33"/>
  <c r="K124" i="33"/>
  <c r="K131" i="33"/>
  <c r="K62" i="33"/>
  <c r="K80" i="33"/>
  <c r="K88" i="33"/>
  <c r="K96" i="33"/>
  <c r="K104" i="33"/>
  <c r="K112" i="33"/>
  <c r="K120" i="33"/>
  <c r="K137" i="33"/>
  <c r="K153" i="33"/>
  <c r="K169" i="33"/>
  <c r="K181" i="33"/>
  <c r="K233" i="33"/>
  <c r="K198" i="33"/>
  <c r="K222" i="33"/>
  <c r="K194" i="33"/>
  <c r="K202" i="33"/>
  <c r="K210" i="33"/>
  <c r="K218" i="33"/>
  <c r="K226" i="33"/>
  <c r="K238" i="33"/>
  <c r="K190" i="33"/>
  <c r="K206" i="33"/>
  <c r="K214" i="33"/>
  <c r="K230" i="33"/>
  <c r="K300" i="33"/>
  <c r="K294" i="33"/>
  <c r="K267" i="33"/>
  <c r="K304" i="33"/>
  <c r="K279" i="33"/>
  <c r="K248" i="33"/>
  <c r="K242" i="33"/>
  <c r="K272" i="33"/>
  <c r="K275" i="33"/>
  <c r="K244" i="33"/>
  <c r="K192" i="33"/>
  <c r="K7" i="33"/>
  <c r="K235" i="33"/>
  <c r="K208" i="33"/>
  <c r="K305" i="33"/>
  <c r="K297" i="33"/>
  <c r="K289" i="33"/>
  <c r="K281" i="33"/>
  <c r="K273" i="33"/>
  <c r="K265" i="33"/>
  <c r="K257" i="33"/>
  <c r="K249" i="33"/>
  <c r="K241" i="33"/>
  <c r="K212" i="33"/>
  <c r="K200" i="33"/>
  <c r="K239" i="33"/>
  <c r="K201" i="33"/>
  <c r="K114" i="33"/>
  <c r="K82" i="33"/>
  <c r="K185" i="33"/>
  <c r="K145" i="33"/>
  <c r="K135" i="33"/>
  <c r="K219" i="33"/>
  <c r="K203" i="33"/>
  <c r="K182" i="33"/>
  <c r="K142" i="33"/>
  <c r="K75" i="33"/>
  <c r="K110" i="33"/>
  <c r="K44" i="33"/>
  <c r="K121" i="33"/>
  <c r="K105" i="33"/>
  <c r="K89" i="33"/>
  <c r="K26" i="33"/>
  <c r="K47" i="33"/>
  <c r="K16" i="33"/>
  <c r="K11" i="33"/>
  <c r="K288" i="33"/>
  <c r="K283" i="33"/>
  <c r="K252" i="33"/>
  <c r="K246" i="33"/>
  <c r="K256" i="33"/>
  <c r="K295" i="33"/>
  <c r="K264" i="33"/>
  <c r="K258" i="33"/>
  <c r="K232" i="33"/>
  <c r="K291" i="33"/>
  <c r="K270" i="33"/>
  <c r="K260" i="33"/>
  <c r="K254" i="33"/>
  <c r="K240" i="33"/>
  <c r="K204" i="33"/>
  <c r="K156" i="33"/>
  <c r="K128" i="33"/>
  <c r="K231" i="33"/>
  <c r="K209" i="33"/>
  <c r="K183" i="33"/>
  <c r="K178" i="33"/>
  <c r="K171" i="33"/>
  <c r="K166" i="33"/>
  <c r="K139" i="33"/>
  <c r="K122" i="33"/>
  <c r="K90" i="33"/>
  <c r="K161" i="33"/>
  <c r="K151" i="33"/>
  <c r="K146" i="33"/>
  <c r="K215" i="33"/>
  <c r="K199" i="33"/>
  <c r="K173" i="33"/>
  <c r="K134" i="33"/>
  <c r="K129" i="33"/>
  <c r="K102" i="33"/>
  <c r="K40" i="33"/>
  <c r="K78" i="33"/>
  <c r="K67" i="33"/>
  <c r="K59" i="33"/>
  <c r="K117" i="33"/>
  <c r="K101" i="33"/>
  <c r="K85" i="33"/>
  <c r="K60" i="33"/>
  <c r="K10" i="33"/>
  <c r="K63" i="33"/>
  <c r="K9" i="33"/>
  <c r="K35" i="33"/>
  <c r="K25" i="33"/>
  <c r="K33" i="33"/>
  <c r="K15" i="33"/>
  <c r="K13" i="33"/>
  <c r="K268" i="33"/>
  <c r="K262" i="33"/>
  <c r="K298" i="33"/>
  <c r="K247" i="33"/>
  <c r="K250" i="33"/>
  <c r="K276" i="33"/>
  <c r="K234" i="33"/>
  <c r="K224" i="33"/>
  <c r="K220" i="33"/>
  <c r="K172" i="33"/>
  <c r="K155" i="33"/>
  <c r="K98" i="33"/>
  <c r="K77" i="33"/>
  <c r="K223" i="33"/>
  <c r="K191" i="33"/>
  <c r="K163" i="33"/>
  <c r="K158" i="33"/>
  <c r="K127" i="33"/>
  <c r="K126" i="33"/>
  <c r="K23" i="33"/>
  <c r="K51" i="33"/>
  <c r="K32" i="33"/>
  <c r="K109" i="33"/>
  <c r="K39" i="33"/>
  <c r="K30" i="33"/>
  <c r="K21" i="33"/>
  <c r="K255" i="33"/>
  <c r="K278" i="33"/>
  <c r="K287" i="33"/>
  <c r="K243" i="33"/>
  <c r="K236" i="33"/>
  <c r="K140" i="33"/>
  <c r="K76" i="33"/>
  <c r="K177" i="33"/>
  <c r="K207" i="33"/>
  <c r="K174" i="33"/>
  <c r="K147" i="33"/>
  <c r="K42" i="33"/>
  <c r="K94" i="33"/>
  <c r="K37" i="33"/>
  <c r="K55" i="33"/>
  <c r="K125" i="33"/>
  <c r="K68" i="33"/>
  <c r="K31" i="33"/>
  <c r="K18" i="33"/>
  <c r="K284" i="33"/>
  <c r="K263" i="33"/>
  <c r="K292" i="33"/>
  <c r="K301" i="33"/>
  <c r="K285" i="33"/>
  <c r="K253" i="33"/>
  <c r="K196" i="33"/>
  <c r="K133" i="33"/>
  <c r="K217" i="33"/>
  <c r="K170" i="33"/>
  <c r="K130" i="33"/>
  <c r="K227" i="33"/>
  <c r="K136" i="33"/>
  <c r="K70" i="33"/>
  <c r="K29" i="33"/>
  <c r="K81" i="33"/>
  <c r="K46" i="33"/>
  <c r="K22" i="33"/>
  <c r="K299" i="33"/>
  <c r="K251" i="33"/>
  <c r="K296" i="33"/>
  <c r="K290" i="33"/>
  <c r="K303" i="33"/>
  <c r="K302" i="33"/>
  <c r="K259" i="33"/>
  <c r="K149" i="33"/>
  <c r="K293" i="33"/>
  <c r="K277" i="33"/>
  <c r="K261" i="33"/>
  <c r="K245" i="33"/>
  <c r="K228" i="33"/>
  <c r="K179" i="33"/>
  <c r="K175" i="33"/>
  <c r="K154" i="33"/>
  <c r="K143" i="33"/>
  <c r="K186" i="33"/>
  <c r="K106" i="33"/>
  <c r="K162" i="33"/>
  <c r="K64" i="33"/>
  <c r="K211" i="33"/>
  <c r="K157" i="33"/>
  <c r="K86" i="33"/>
  <c r="K58" i="33"/>
  <c r="K36" i="33"/>
  <c r="K38" i="33"/>
  <c r="K97" i="33"/>
  <c r="K54" i="33"/>
  <c r="K34" i="33"/>
  <c r="K19" i="33"/>
  <c r="K41" i="33"/>
  <c r="K43" i="33"/>
  <c r="K266" i="33"/>
  <c r="K280" i="33"/>
  <c r="K274" i="33"/>
  <c r="K282" i="33"/>
  <c r="K165" i="33"/>
  <c r="K188" i="33"/>
  <c r="K225" i="33"/>
  <c r="K167" i="33"/>
  <c r="K141" i="33"/>
  <c r="K72" i="33"/>
  <c r="K57" i="33"/>
  <c r="K93" i="33"/>
  <c r="K17" i="33"/>
  <c r="K27" i="33"/>
  <c r="K271" i="33"/>
  <c r="K286" i="33"/>
  <c r="K216" i="33"/>
  <c r="K269" i="33"/>
  <c r="K159" i="33"/>
  <c r="K138" i="33"/>
  <c r="K150" i="33"/>
  <c r="K195" i="33"/>
  <c r="K132" i="33"/>
  <c r="K118" i="33"/>
  <c r="K52" i="33"/>
  <c r="K14" i="33"/>
  <c r="K71" i="33"/>
  <c r="K113" i="33"/>
  <c r="K99" i="33"/>
  <c r="K189" i="33"/>
  <c r="K111" i="33"/>
  <c r="K95" i="33"/>
  <c r="K193" i="33"/>
  <c r="K187" i="33"/>
  <c r="K205" i="33"/>
  <c r="K48" i="33"/>
  <c r="K45" i="33"/>
  <c r="K73" i="33"/>
  <c r="K115" i="33"/>
  <c r="K103" i="33"/>
  <c r="K160" i="33"/>
  <c r="K197" i="33"/>
  <c r="K229" i="33"/>
  <c r="K144" i="33"/>
  <c r="K91" i="33"/>
  <c r="K180" i="33"/>
  <c r="K61" i="33"/>
  <c r="K119" i="33"/>
  <c r="K107" i="33"/>
  <c r="K213" i="33"/>
  <c r="K49" i="33"/>
  <c r="K237" i="33"/>
  <c r="K53" i="33"/>
  <c r="K69" i="33"/>
  <c r="K65" i="33"/>
  <c r="K123" i="33"/>
  <c r="K184" i="33"/>
  <c r="K221" i="33"/>
  <c r="K168" i="33"/>
  <c r="K148" i="33"/>
  <c r="K83" i="33"/>
  <c r="K87" i="33"/>
  <c r="K152" i="33"/>
  <c r="K176" i="33"/>
  <c r="K164" i="33"/>
  <c r="J21" i="33"/>
  <c r="J43" i="33"/>
  <c r="J47" i="33"/>
  <c r="J63" i="33"/>
  <c r="J39" i="33"/>
  <c r="J17" i="33"/>
  <c r="J35" i="33"/>
  <c r="J74" i="33"/>
  <c r="J79" i="33"/>
  <c r="J13" i="33"/>
  <c r="J62" i="33"/>
  <c r="J85" i="33"/>
  <c r="J93" i="33"/>
  <c r="J101" i="33"/>
  <c r="J109" i="33"/>
  <c r="J117" i="33"/>
  <c r="J125" i="33"/>
  <c r="J33" i="33"/>
  <c r="J55" i="33"/>
  <c r="J132" i="33"/>
  <c r="J78" i="33"/>
  <c r="J81" i="33"/>
  <c r="J89" i="33"/>
  <c r="J97" i="33"/>
  <c r="J105" i="33"/>
  <c r="J113" i="33"/>
  <c r="J121" i="33"/>
  <c r="J70" i="33"/>
  <c r="J136" i="33"/>
  <c r="J29" i="33"/>
  <c r="J46" i="33"/>
  <c r="J142" i="33"/>
  <c r="J158" i="33"/>
  <c r="J174" i="33"/>
  <c r="J195" i="33"/>
  <c r="J203" i="33"/>
  <c r="J211" i="33"/>
  <c r="J219" i="33"/>
  <c r="J227" i="33"/>
  <c r="J234" i="33"/>
  <c r="J239" i="33"/>
  <c r="J182" i="33"/>
  <c r="J235" i="33"/>
  <c r="J231" i="33"/>
  <c r="J41" i="33"/>
  <c r="J146" i="33"/>
  <c r="J162" i="33"/>
  <c r="J191" i="33"/>
  <c r="J199" i="33"/>
  <c r="J207" i="33"/>
  <c r="J215" i="33"/>
  <c r="J223" i="33"/>
  <c r="J238" i="33"/>
  <c r="J255" i="33"/>
  <c r="J284" i="33"/>
  <c r="J283" i="33"/>
  <c r="J278" i="33"/>
  <c r="J262" i="33"/>
  <c r="J287" i="33"/>
  <c r="J266" i="33"/>
  <c r="J295" i="33"/>
  <c r="J290" i="33"/>
  <c r="J279" i="33"/>
  <c r="J250" i="33"/>
  <c r="J292" i="33"/>
  <c r="J291" i="33"/>
  <c r="J236" i="33"/>
  <c r="J224" i="33"/>
  <c r="J228" i="33"/>
  <c r="J196" i="33"/>
  <c r="J128" i="33"/>
  <c r="J297" i="33"/>
  <c r="J281" i="33"/>
  <c r="J265" i="33"/>
  <c r="J249" i="33"/>
  <c r="J217" i="33"/>
  <c r="J214" i="33"/>
  <c r="J175" i="33"/>
  <c r="J159" i="33"/>
  <c r="J143" i="33"/>
  <c r="J130" i="33"/>
  <c r="J98" i="33"/>
  <c r="J76" i="33"/>
  <c r="J167" i="33"/>
  <c r="J141" i="33"/>
  <c r="J137" i="33"/>
  <c r="J77" i="33"/>
  <c r="J163" i="33"/>
  <c r="J124" i="33"/>
  <c r="J108" i="33"/>
  <c r="J92" i="33"/>
  <c r="J75" i="33"/>
  <c r="J126" i="33"/>
  <c r="J94" i="33"/>
  <c r="J23" i="33"/>
  <c r="J129" i="33"/>
  <c r="J96" i="33"/>
  <c r="J51" i="33"/>
  <c r="J34" i="33"/>
  <c r="J20" i="33"/>
  <c r="J19" i="33"/>
  <c r="J31" i="33"/>
  <c r="J30" i="33"/>
  <c r="J27" i="33"/>
  <c r="J18" i="33"/>
  <c r="J8" i="33"/>
  <c r="J300" i="33"/>
  <c r="J299" i="33"/>
  <c r="J252" i="33"/>
  <c r="J304" i="33"/>
  <c r="J248" i="33"/>
  <c r="J247" i="33"/>
  <c r="J272" i="33"/>
  <c r="J302" i="33"/>
  <c r="J286" i="33"/>
  <c r="J244" i="33"/>
  <c r="J216" i="33"/>
  <c r="J149" i="33"/>
  <c r="J226" i="33"/>
  <c r="J210" i="33"/>
  <c r="J194" i="33"/>
  <c r="J165" i="33"/>
  <c r="J220" i="33"/>
  <c r="J188" i="33"/>
  <c r="J172" i="33"/>
  <c r="J140" i="33"/>
  <c r="J293" i="33"/>
  <c r="J277" i="33"/>
  <c r="J261" i="33"/>
  <c r="J245" i="33"/>
  <c r="J225" i="33"/>
  <c r="J222" i="33"/>
  <c r="J190" i="33"/>
  <c r="J177" i="33"/>
  <c r="J155" i="33"/>
  <c r="J145" i="33"/>
  <c r="J106" i="33"/>
  <c r="J178" i="33"/>
  <c r="J157" i="33"/>
  <c r="J64" i="33"/>
  <c r="J169" i="33"/>
  <c r="J147" i="33"/>
  <c r="J118" i="33"/>
  <c r="J86" i="33"/>
  <c r="J14" i="33"/>
  <c r="J104" i="33"/>
  <c r="J58" i="33"/>
  <c r="J44" i="33"/>
  <c r="J37" i="33"/>
  <c r="J72" i="33"/>
  <c r="J68" i="33"/>
  <c r="J57" i="33"/>
  <c r="J36" i="33"/>
  <c r="J56" i="33"/>
  <c r="J54" i="33"/>
  <c r="J9" i="33"/>
  <c r="J25" i="33"/>
  <c r="J22" i="33"/>
  <c r="J12" i="33"/>
  <c r="J288" i="33"/>
  <c r="J294" i="33"/>
  <c r="J246" i="33"/>
  <c r="J256" i="33"/>
  <c r="J264" i="33"/>
  <c r="J263" i="33"/>
  <c r="J242" i="33"/>
  <c r="J254" i="33"/>
  <c r="J243" i="33"/>
  <c r="J192" i="33"/>
  <c r="J218" i="33"/>
  <c r="J204" i="33"/>
  <c r="J301" i="33"/>
  <c r="J269" i="33"/>
  <c r="J233" i="33"/>
  <c r="J209" i="33"/>
  <c r="J206" i="33"/>
  <c r="J171" i="33"/>
  <c r="J114" i="33"/>
  <c r="J173" i="33"/>
  <c r="J150" i="33"/>
  <c r="J84" i="33"/>
  <c r="J42" i="33"/>
  <c r="J110" i="33"/>
  <c r="J40" i="33"/>
  <c r="J38" i="33"/>
  <c r="J59" i="33"/>
  <c r="J24" i="33"/>
  <c r="J259" i="33"/>
  <c r="J253" i="33"/>
  <c r="J127" i="33"/>
  <c r="J116" i="33"/>
  <c r="J10" i="33"/>
  <c r="J16" i="33"/>
  <c r="J251" i="33"/>
  <c r="J232" i="33"/>
  <c r="J303" i="33"/>
  <c r="J202" i="33"/>
  <c r="J305" i="33"/>
  <c r="J241" i="33"/>
  <c r="J230" i="33"/>
  <c r="J154" i="33"/>
  <c r="J139" i="33"/>
  <c r="J135" i="33"/>
  <c r="J153" i="33"/>
  <c r="J102" i="33"/>
  <c r="J32" i="33"/>
  <c r="J60" i="33"/>
  <c r="J271" i="33"/>
  <c r="J268" i="33"/>
  <c r="J267" i="33"/>
  <c r="J274" i="33"/>
  <c r="J282" i="33"/>
  <c r="J276" i="33"/>
  <c r="J275" i="33"/>
  <c r="J181" i="33"/>
  <c r="J208" i="33"/>
  <c r="J212" i="33"/>
  <c r="J133" i="33"/>
  <c r="J200" i="33"/>
  <c r="J289" i="33"/>
  <c r="J257" i="33"/>
  <c r="J201" i="33"/>
  <c r="J198" i="33"/>
  <c r="J170" i="33"/>
  <c r="J138" i="33"/>
  <c r="J122" i="33"/>
  <c r="J186" i="33"/>
  <c r="J134" i="33"/>
  <c r="J100" i="33"/>
  <c r="J131" i="33"/>
  <c r="J52" i="33"/>
  <c r="J120" i="33"/>
  <c r="J112" i="33"/>
  <c r="J88" i="33"/>
  <c r="J80" i="33"/>
  <c r="J67" i="33"/>
  <c r="J66" i="33"/>
  <c r="J71" i="33"/>
  <c r="J28" i="33"/>
  <c r="J15" i="33"/>
  <c r="J258" i="33"/>
  <c r="J260" i="33"/>
  <c r="J240" i="33"/>
  <c r="J7" i="33"/>
  <c r="J156" i="33"/>
  <c r="J285" i="33"/>
  <c r="J183" i="33"/>
  <c r="J161" i="33"/>
  <c r="J82" i="33"/>
  <c r="J151" i="33"/>
  <c r="J166" i="33"/>
  <c r="J11" i="33"/>
  <c r="J298" i="33"/>
  <c r="J296" i="33"/>
  <c r="J280" i="33"/>
  <c r="J270" i="33"/>
  <c r="J179" i="33"/>
  <c r="J273" i="33"/>
  <c r="J185" i="33"/>
  <c r="J90" i="33"/>
  <c r="J50" i="33"/>
  <c r="J26" i="33"/>
  <c r="J144" i="33"/>
  <c r="J123" i="33"/>
  <c r="J221" i="33"/>
  <c r="J91" i="33"/>
  <c r="J168" i="33"/>
  <c r="J237" i="33"/>
  <c r="J65" i="33"/>
  <c r="J148" i="33"/>
  <c r="J83" i="33"/>
  <c r="J87" i="33"/>
  <c r="J119" i="33"/>
  <c r="J152" i="33"/>
  <c r="J107" i="33"/>
  <c r="J164" i="33"/>
  <c r="J213" i="33"/>
  <c r="J69" i="33"/>
  <c r="J49" i="33"/>
  <c r="J111" i="33"/>
  <c r="J193" i="33"/>
  <c r="J45" i="33"/>
  <c r="J115" i="33"/>
  <c r="J103" i="33"/>
  <c r="J53" i="33"/>
  <c r="J197" i="33"/>
  <c r="J180" i="33"/>
  <c r="J61" i="33"/>
  <c r="J99" i="33"/>
  <c r="J189" i="33"/>
  <c r="J95" i="33"/>
  <c r="J205" i="33"/>
  <c r="J73" i="33"/>
  <c r="J160" i="33"/>
  <c r="J229" i="33"/>
  <c r="J184" i="33"/>
  <c r="J187" i="33"/>
  <c r="J48" i="33"/>
  <c r="J176" i="33"/>
  <c r="H6" i="33"/>
  <c r="J6" i="33"/>
  <c r="K6" i="33"/>
  <c r="G6" i="33"/>
  <c r="L306" i="11"/>
  <c r="G306" i="11"/>
  <c r="E6" i="37"/>
  <c r="G6" i="37" s="1"/>
  <c r="I6" i="33"/>
  <c r="H306" i="25" l="1"/>
  <c r="I6" i="54"/>
  <c r="I306" i="54" s="1"/>
  <c r="G277" i="37"/>
  <c r="I277" i="37" s="1"/>
  <c r="F283" i="34" s="1"/>
  <c r="F277" i="12" s="1"/>
  <c r="G164" i="37"/>
  <c r="I164" i="37" s="1"/>
  <c r="F170" i="34" s="1"/>
  <c r="F164" i="12" s="1"/>
  <c r="G160" i="37"/>
  <c r="I160" i="37" s="1"/>
  <c r="F166" i="34" s="1"/>
  <c r="F160" i="12" s="1"/>
  <c r="G91" i="37"/>
  <c r="I91" i="37" s="1"/>
  <c r="F97" i="34" s="1"/>
  <c r="F91" i="12" s="1"/>
  <c r="G189" i="37"/>
  <c r="I189" i="37" s="1"/>
  <c r="F195" i="34" s="1"/>
  <c r="F189" i="12" s="1"/>
  <c r="G56" i="37"/>
  <c r="I56" i="37" s="1"/>
  <c r="F62" i="34" s="1"/>
  <c r="F56" i="12" s="1"/>
  <c r="G169" i="37"/>
  <c r="I169" i="37" s="1"/>
  <c r="F175" i="34" s="1"/>
  <c r="F169" i="12" s="1"/>
  <c r="G295" i="37"/>
  <c r="I295" i="37" s="1"/>
  <c r="F301" i="34" s="1"/>
  <c r="F295" i="12" s="1"/>
  <c r="G208" i="37"/>
  <c r="I208" i="37" s="1"/>
  <c r="F214" i="34" s="1"/>
  <c r="F208" i="12" s="1"/>
  <c r="G131" i="37"/>
  <c r="I131" i="37" s="1"/>
  <c r="F137" i="34" s="1"/>
  <c r="F131" i="12" s="1"/>
  <c r="G139" i="37"/>
  <c r="I139" i="37" s="1"/>
  <c r="F145" i="34" s="1"/>
  <c r="F139" i="12" s="1"/>
  <c r="G137" i="37"/>
  <c r="I137" i="37" s="1"/>
  <c r="F143" i="34" s="1"/>
  <c r="F137" i="12" s="1"/>
  <c r="G201" i="37"/>
  <c r="I201" i="37" s="1"/>
  <c r="F207" i="34" s="1"/>
  <c r="F201" i="12" s="1"/>
  <c r="G51" i="37"/>
  <c r="I51" i="37" s="1"/>
  <c r="F57" i="34" s="1"/>
  <c r="F51" i="12" s="1"/>
  <c r="G36" i="37"/>
  <c r="I36" i="37" s="1"/>
  <c r="F42" i="34" s="1"/>
  <c r="F36" i="12" s="1"/>
  <c r="G47" i="37"/>
  <c r="I47" i="37" s="1"/>
  <c r="F53" i="34" s="1"/>
  <c r="F47" i="12" s="1"/>
  <c r="G213" i="37"/>
  <c r="I213" i="37" s="1"/>
  <c r="F219" i="34" s="1"/>
  <c r="F213" i="12" s="1"/>
  <c r="G271" i="37"/>
  <c r="I271" i="37" s="1"/>
  <c r="F277" i="34" s="1"/>
  <c r="F271" i="12" s="1"/>
  <c r="G79" i="37"/>
  <c r="I79" i="37" s="1"/>
  <c r="F85" i="34" s="1"/>
  <c r="F79" i="12" s="1"/>
  <c r="G267" i="37"/>
  <c r="I267" i="37" s="1"/>
  <c r="F273" i="34" s="1"/>
  <c r="F267" i="12" s="1"/>
  <c r="G300" i="37"/>
  <c r="I300" i="37" s="1"/>
  <c r="F306" i="34" s="1"/>
  <c r="F300" i="12" s="1"/>
  <c r="G284" i="37"/>
  <c r="I284" i="37" s="1"/>
  <c r="F290" i="34" s="1"/>
  <c r="F284" i="12" s="1"/>
  <c r="G268" i="37"/>
  <c r="I268" i="37" s="1"/>
  <c r="F274" i="34" s="1"/>
  <c r="F268" i="12" s="1"/>
  <c r="G252" i="37"/>
  <c r="I252" i="37" s="1"/>
  <c r="F258" i="34" s="1"/>
  <c r="F252" i="12" s="1"/>
  <c r="G236" i="37"/>
  <c r="I236" i="37" s="1"/>
  <c r="F242" i="34" s="1"/>
  <c r="F236" i="12" s="1"/>
  <c r="G202" i="37"/>
  <c r="I202" i="37" s="1"/>
  <c r="F208" i="34" s="1"/>
  <c r="F202" i="12" s="1"/>
  <c r="G170" i="37"/>
  <c r="I170" i="37" s="1"/>
  <c r="F176" i="34" s="1"/>
  <c r="F170" i="12" s="1"/>
  <c r="G33" i="37"/>
  <c r="I33" i="37" s="1"/>
  <c r="F39" i="34" s="1"/>
  <c r="F33" i="12" s="1"/>
  <c r="G211" i="37"/>
  <c r="I211" i="37" s="1"/>
  <c r="F217" i="34" s="1"/>
  <c r="F211" i="12" s="1"/>
  <c r="G179" i="37"/>
  <c r="I179" i="37" s="1"/>
  <c r="F185" i="34" s="1"/>
  <c r="F179" i="12" s="1"/>
  <c r="G49" i="37"/>
  <c r="I49" i="37" s="1"/>
  <c r="F55" i="34" s="1"/>
  <c r="F49" i="12" s="1"/>
  <c r="G45" i="37"/>
  <c r="I45" i="37" s="1"/>
  <c r="F51" i="34" s="1"/>
  <c r="F45" i="12" s="1"/>
  <c r="G142" i="37"/>
  <c r="I142" i="37" s="1"/>
  <c r="F148" i="34" s="1"/>
  <c r="F142" i="12" s="1"/>
  <c r="G94" i="37"/>
  <c r="I94" i="37" s="1"/>
  <c r="F100" i="34" s="1"/>
  <c r="F94" i="12" s="1"/>
  <c r="G41" i="37"/>
  <c r="I41" i="37" s="1"/>
  <c r="F47" i="34" s="1"/>
  <c r="F41" i="12" s="1"/>
  <c r="G112" i="37"/>
  <c r="I112" i="37" s="1"/>
  <c r="F118" i="34" s="1"/>
  <c r="F112" i="12" s="1"/>
  <c r="G42" i="37"/>
  <c r="I42" i="37" s="1"/>
  <c r="F48" i="34" s="1"/>
  <c r="F42" i="12" s="1"/>
  <c r="G273" i="37"/>
  <c r="I273" i="37" s="1"/>
  <c r="F279" i="34" s="1"/>
  <c r="F273" i="12" s="1"/>
  <c r="G172" i="37"/>
  <c r="I172" i="37" s="1"/>
  <c r="F178" i="34" s="1"/>
  <c r="F172" i="12" s="1"/>
  <c r="G168" i="37"/>
  <c r="I168" i="37" s="1"/>
  <c r="F174" i="34" s="1"/>
  <c r="F168" i="12" s="1"/>
  <c r="G285" i="37"/>
  <c r="I285" i="37" s="1"/>
  <c r="F291" i="34" s="1"/>
  <c r="F285" i="12" s="1"/>
  <c r="G72" i="37"/>
  <c r="I72" i="37" s="1"/>
  <c r="F78" i="34" s="1"/>
  <c r="F72" i="12" s="1"/>
  <c r="G103" i="37"/>
  <c r="I103" i="37" s="1"/>
  <c r="F109" i="34" s="1"/>
  <c r="F103" i="12" s="1"/>
  <c r="G11" i="37"/>
  <c r="I11" i="37" s="1"/>
  <c r="F17" i="34" s="1"/>
  <c r="F11" i="12" s="1"/>
  <c r="G249" i="37"/>
  <c r="I249" i="37" s="1"/>
  <c r="F255" i="34" s="1"/>
  <c r="F249" i="12" s="1"/>
  <c r="G217" i="37"/>
  <c r="I217" i="37" s="1"/>
  <c r="F223" i="34" s="1"/>
  <c r="F217" i="12" s="1"/>
  <c r="G303" i="37"/>
  <c r="I303" i="37" s="1"/>
  <c r="F309" i="34" s="1"/>
  <c r="F303" i="12" s="1"/>
  <c r="G163" i="37"/>
  <c r="I163" i="37" s="1"/>
  <c r="F169" i="34" s="1"/>
  <c r="F163" i="12" s="1"/>
  <c r="G196" i="37"/>
  <c r="I196" i="37" s="1"/>
  <c r="F202" i="34" s="1"/>
  <c r="F196" i="12" s="1"/>
  <c r="G107" i="37"/>
  <c r="I107" i="37" s="1"/>
  <c r="F113" i="34" s="1"/>
  <c r="F107" i="12" s="1"/>
  <c r="G27" i="37"/>
  <c r="I27" i="37" s="1"/>
  <c r="F33" i="34" s="1"/>
  <c r="F27" i="12" s="1"/>
  <c r="G28" i="37"/>
  <c r="I28" i="37" s="1"/>
  <c r="F34" i="34" s="1"/>
  <c r="F28" i="12" s="1"/>
  <c r="G225" i="37"/>
  <c r="I225" i="37" s="1"/>
  <c r="F231" i="34" s="1"/>
  <c r="F225" i="12" s="1"/>
  <c r="G20" i="37"/>
  <c r="I20" i="37" s="1"/>
  <c r="F26" i="34" s="1"/>
  <c r="F20" i="12" s="1"/>
  <c r="G115" i="37"/>
  <c r="I115" i="37" s="1"/>
  <c r="F121" i="34" s="1"/>
  <c r="F115" i="12" s="1"/>
  <c r="G48" i="37"/>
  <c r="I48" i="37" s="1"/>
  <c r="F54" i="34" s="1"/>
  <c r="F48" i="12" s="1"/>
  <c r="G222" i="37"/>
  <c r="I222" i="37" s="1"/>
  <c r="F228" i="34" s="1"/>
  <c r="F222" i="12" s="1"/>
  <c r="G298" i="37"/>
  <c r="I298" i="37" s="1"/>
  <c r="F304" i="34" s="1"/>
  <c r="F298" i="12" s="1"/>
  <c r="G282" i="37"/>
  <c r="I282" i="37" s="1"/>
  <c r="F288" i="34" s="1"/>
  <c r="F282" i="12" s="1"/>
  <c r="G266" i="37"/>
  <c r="I266" i="37" s="1"/>
  <c r="F272" i="34" s="1"/>
  <c r="F266" i="12" s="1"/>
  <c r="G250" i="37"/>
  <c r="I250" i="37" s="1"/>
  <c r="F256" i="34" s="1"/>
  <c r="F250" i="12" s="1"/>
  <c r="G234" i="37"/>
  <c r="I234" i="37" s="1"/>
  <c r="F240" i="34" s="1"/>
  <c r="F234" i="12" s="1"/>
  <c r="G198" i="37"/>
  <c r="I198" i="37" s="1"/>
  <c r="F204" i="34" s="1"/>
  <c r="F198" i="12" s="1"/>
  <c r="G166" i="37"/>
  <c r="I166" i="37" s="1"/>
  <c r="F172" i="34" s="1"/>
  <c r="F166" i="12" s="1"/>
  <c r="G223" i="37"/>
  <c r="I223" i="37" s="1"/>
  <c r="F229" i="34" s="1"/>
  <c r="F223" i="12" s="1"/>
  <c r="G207" i="37"/>
  <c r="I207" i="37" s="1"/>
  <c r="F213" i="34" s="1"/>
  <c r="F207" i="12" s="1"/>
  <c r="G175" i="37"/>
  <c r="I175" i="37" s="1"/>
  <c r="F181" i="34" s="1"/>
  <c r="F175" i="12" s="1"/>
  <c r="G38" i="37"/>
  <c r="I38" i="37" s="1"/>
  <c r="F44" i="34" s="1"/>
  <c r="F38" i="12" s="1"/>
  <c r="G34" i="37"/>
  <c r="I34" i="37" s="1"/>
  <c r="F40" i="34" s="1"/>
  <c r="F34" i="12" s="1"/>
  <c r="G140" i="37"/>
  <c r="I140" i="37" s="1"/>
  <c r="F146" i="34" s="1"/>
  <c r="F140" i="12" s="1"/>
  <c r="G85" i="37"/>
  <c r="I85" i="37" s="1"/>
  <c r="F91" i="34" s="1"/>
  <c r="F85" i="12" s="1"/>
  <c r="G30" i="37"/>
  <c r="I30" i="37" s="1"/>
  <c r="F36" i="34" s="1"/>
  <c r="F30" i="12" s="1"/>
  <c r="G110" i="37"/>
  <c r="I110" i="37" s="1"/>
  <c r="F116" i="34" s="1"/>
  <c r="F110" i="12" s="1"/>
  <c r="G37" i="37"/>
  <c r="I37" i="37" s="1"/>
  <c r="F43" i="34" s="1"/>
  <c r="F37" i="12" s="1"/>
  <c r="G269" i="37"/>
  <c r="I269" i="37" s="1"/>
  <c r="F275" i="34" s="1"/>
  <c r="F269" i="12" s="1"/>
  <c r="G259" i="37"/>
  <c r="I259" i="37" s="1"/>
  <c r="F265" i="34" s="1"/>
  <c r="F259" i="12" s="1"/>
  <c r="G251" i="37"/>
  <c r="I251" i="37" s="1"/>
  <c r="F257" i="34" s="1"/>
  <c r="F251" i="12" s="1"/>
  <c r="G63" i="37"/>
  <c r="I63" i="37" s="1"/>
  <c r="F69" i="34" s="1"/>
  <c r="F63" i="12" s="1"/>
  <c r="G92" i="37"/>
  <c r="I92" i="37" s="1"/>
  <c r="F98" i="34" s="1"/>
  <c r="F92" i="12" s="1"/>
  <c r="G279" i="37"/>
  <c r="I279" i="37" s="1"/>
  <c r="F285" i="34" s="1"/>
  <c r="F279" i="12" s="1"/>
  <c r="G216" i="37"/>
  <c r="I216" i="37" s="1"/>
  <c r="F222" i="34" s="1"/>
  <c r="F216" i="12" s="1"/>
  <c r="G123" i="37"/>
  <c r="I123" i="37" s="1"/>
  <c r="F129" i="34" s="1"/>
  <c r="F123" i="12" s="1"/>
  <c r="G181" i="37"/>
  <c r="I181" i="37" s="1"/>
  <c r="F187" i="34" s="1"/>
  <c r="F181" i="12" s="1"/>
  <c r="G24" i="37"/>
  <c r="I24" i="37" s="1"/>
  <c r="F30" i="34" s="1"/>
  <c r="F24" i="12" s="1"/>
  <c r="G257" i="37"/>
  <c r="I257" i="37" s="1"/>
  <c r="F263" i="34" s="1"/>
  <c r="F257" i="12" s="1"/>
  <c r="G149" i="37"/>
  <c r="I149" i="37" s="1"/>
  <c r="F155" i="34" s="1"/>
  <c r="F149" i="12" s="1"/>
  <c r="G301" i="37"/>
  <c r="I301" i="37" s="1"/>
  <c r="F307" i="34" s="1"/>
  <c r="F301" i="12" s="1"/>
  <c r="G55" i="37"/>
  <c r="I55" i="37" s="1"/>
  <c r="F61" i="34" s="1"/>
  <c r="F55" i="12" s="1"/>
  <c r="G13" i="37"/>
  <c r="I13" i="37" s="1"/>
  <c r="F19" i="34" s="1"/>
  <c r="F13" i="12" s="1"/>
  <c r="G299" i="37"/>
  <c r="I299" i="37" s="1"/>
  <c r="F305" i="34" s="1"/>
  <c r="F299" i="12" s="1"/>
  <c r="G127" i="37"/>
  <c r="I127" i="37" s="1"/>
  <c r="F133" i="34" s="1"/>
  <c r="F127" i="12" s="1"/>
  <c r="G180" i="37"/>
  <c r="I180" i="37" s="1"/>
  <c r="F186" i="34" s="1"/>
  <c r="F180" i="12" s="1"/>
  <c r="G188" i="37"/>
  <c r="I188" i="37" s="1"/>
  <c r="F194" i="34" s="1"/>
  <c r="F188" i="12" s="1"/>
  <c r="G215" i="37"/>
  <c r="I215" i="37" s="1"/>
  <c r="F221" i="34" s="1"/>
  <c r="F215" i="12" s="1"/>
  <c r="G296" i="37"/>
  <c r="I296" i="37" s="1"/>
  <c r="F302" i="34" s="1"/>
  <c r="F296" i="12" s="1"/>
  <c r="G280" i="37"/>
  <c r="I280" i="37" s="1"/>
  <c r="F286" i="34" s="1"/>
  <c r="F280" i="12" s="1"/>
  <c r="G264" i="37"/>
  <c r="I264" i="37" s="1"/>
  <c r="F270" i="34" s="1"/>
  <c r="F264" i="12" s="1"/>
  <c r="G248" i="37"/>
  <c r="I248" i="37" s="1"/>
  <c r="F254" i="34" s="1"/>
  <c r="F248" i="12" s="1"/>
  <c r="G232" i="37"/>
  <c r="I232" i="37" s="1"/>
  <c r="F238" i="34" s="1"/>
  <c r="F232" i="12" s="1"/>
  <c r="G194" i="37"/>
  <c r="I194" i="37" s="1"/>
  <c r="F200" i="34" s="1"/>
  <c r="F194" i="12" s="1"/>
  <c r="G162" i="37"/>
  <c r="I162" i="37" s="1"/>
  <c r="F168" i="34" s="1"/>
  <c r="F162" i="12" s="1"/>
  <c r="G214" i="37"/>
  <c r="I214" i="37" s="1"/>
  <c r="F220" i="34" s="1"/>
  <c r="F214" i="12" s="1"/>
  <c r="G203" i="37"/>
  <c r="I203" i="37" s="1"/>
  <c r="F209" i="34" s="1"/>
  <c r="F203" i="12" s="1"/>
  <c r="G144" i="37"/>
  <c r="I144" i="37" s="1"/>
  <c r="F150" i="34" s="1"/>
  <c r="F144" i="12" s="1"/>
  <c r="G22" i="37"/>
  <c r="I22" i="37" s="1"/>
  <c r="F28" i="34" s="1"/>
  <c r="F22" i="12" s="1"/>
  <c r="G8" i="37"/>
  <c r="I8" i="37" s="1"/>
  <c r="F14" i="34" s="1"/>
  <c r="F8" i="12" s="1"/>
  <c r="G124" i="37"/>
  <c r="I124" i="37" s="1"/>
  <c r="F130" i="34" s="1"/>
  <c r="F124" i="12" s="1"/>
  <c r="G81" i="37"/>
  <c r="I81" i="37" s="1"/>
  <c r="F87" i="34" s="1"/>
  <c r="F81" i="12" s="1"/>
  <c r="G89" i="37"/>
  <c r="I89" i="37" s="1"/>
  <c r="F95" i="34" s="1"/>
  <c r="F89" i="12" s="1"/>
  <c r="G26" i="37"/>
  <c r="I26" i="37" s="1"/>
  <c r="F32" i="34" s="1"/>
  <c r="F26" i="12" s="1"/>
  <c r="G87" i="37"/>
  <c r="I87" i="37" s="1"/>
  <c r="F93" i="34" s="1"/>
  <c r="F87" i="12" s="1"/>
  <c r="G265" i="37"/>
  <c r="I265" i="37" s="1"/>
  <c r="F271" i="34" s="1"/>
  <c r="F265" i="12" s="1"/>
  <c r="G152" i="37"/>
  <c r="I152" i="37" s="1"/>
  <c r="F158" i="34" s="1"/>
  <c r="F152" i="12" s="1"/>
  <c r="G67" i="37"/>
  <c r="I67" i="37" s="1"/>
  <c r="F73" i="34" s="1"/>
  <c r="F67" i="12" s="1"/>
  <c r="G117" i="37"/>
  <c r="I117" i="37" s="1"/>
  <c r="F123" i="34" s="1"/>
  <c r="F117" i="12" s="1"/>
  <c r="G204" i="37"/>
  <c r="I204" i="37" s="1"/>
  <c r="F210" i="34" s="1"/>
  <c r="F204" i="12" s="1"/>
  <c r="G159" i="37"/>
  <c r="I159" i="37" s="1"/>
  <c r="F165" i="34" s="1"/>
  <c r="F159" i="12" s="1"/>
  <c r="G99" i="37"/>
  <c r="I99" i="37" s="1"/>
  <c r="F105" i="34" s="1"/>
  <c r="F99" i="12" s="1"/>
  <c r="G205" i="37"/>
  <c r="I205" i="37" s="1"/>
  <c r="F211" i="34" s="1"/>
  <c r="F205" i="12" s="1"/>
  <c r="G147" i="37"/>
  <c r="I147" i="37" s="1"/>
  <c r="F153" i="34" s="1"/>
  <c r="F147" i="12" s="1"/>
  <c r="G43" i="37"/>
  <c r="I43" i="37" s="1"/>
  <c r="F49" i="34" s="1"/>
  <c r="F43" i="12" s="1"/>
  <c r="G12" i="37"/>
  <c r="I12" i="37" s="1"/>
  <c r="F18" i="34" s="1"/>
  <c r="F12" i="12" s="1"/>
  <c r="G59" i="37"/>
  <c r="I59" i="37" s="1"/>
  <c r="F65" i="34" s="1"/>
  <c r="F59" i="12" s="1"/>
  <c r="G297" i="37"/>
  <c r="I297" i="37" s="1"/>
  <c r="F303" i="34" s="1"/>
  <c r="F297" i="12" s="1"/>
  <c r="G229" i="37"/>
  <c r="I229" i="37" s="1"/>
  <c r="F235" i="34" s="1"/>
  <c r="F229" i="12" s="1"/>
  <c r="G80" i="37"/>
  <c r="I80" i="37" s="1"/>
  <c r="F86" i="34" s="1"/>
  <c r="F80" i="12" s="1"/>
  <c r="G129" i="37"/>
  <c r="I129" i="37" s="1"/>
  <c r="F135" i="34" s="1"/>
  <c r="F129" i="12" s="1"/>
  <c r="G64" i="37"/>
  <c r="I64" i="37" s="1"/>
  <c r="F70" i="34" s="1"/>
  <c r="F64" i="12" s="1"/>
  <c r="G35" i="37"/>
  <c r="I35" i="37" s="1"/>
  <c r="F41" i="34" s="1"/>
  <c r="F35" i="12" s="1"/>
  <c r="G263" i="37"/>
  <c r="I263" i="37" s="1"/>
  <c r="F269" i="34" s="1"/>
  <c r="F263" i="12" s="1"/>
  <c r="G150" i="37"/>
  <c r="I150" i="37" s="1"/>
  <c r="F156" i="34" s="1"/>
  <c r="F150" i="12" s="1"/>
  <c r="G294" i="37"/>
  <c r="I294" i="37" s="1"/>
  <c r="F300" i="34" s="1"/>
  <c r="F294" i="12" s="1"/>
  <c r="G278" i="37"/>
  <c r="I278" i="37" s="1"/>
  <c r="F284" i="34" s="1"/>
  <c r="F278" i="12" s="1"/>
  <c r="G262" i="37"/>
  <c r="I262" i="37" s="1"/>
  <c r="F268" i="34" s="1"/>
  <c r="F262" i="12" s="1"/>
  <c r="G246" i="37"/>
  <c r="I246" i="37" s="1"/>
  <c r="F252" i="34" s="1"/>
  <c r="F246" i="12" s="1"/>
  <c r="G230" i="37"/>
  <c r="I230" i="37" s="1"/>
  <c r="F236" i="34" s="1"/>
  <c r="F230" i="12" s="1"/>
  <c r="G190" i="37"/>
  <c r="I190" i="37" s="1"/>
  <c r="F196" i="34" s="1"/>
  <c r="F190" i="12" s="1"/>
  <c r="G158" i="37"/>
  <c r="I158" i="37" s="1"/>
  <c r="F164" i="34" s="1"/>
  <c r="F158" i="12" s="1"/>
  <c r="G128" i="37"/>
  <c r="I128" i="37" s="1"/>
  <c r="F134" i="34" s="1"/>
  <c r="F128" i="12" s="1"/>
  <c r="G199" i="37"/>
  <c r="I199" i="37" s="1"/>
  <c r="F205" i="34" s="1"/>
  <c r="F199" i="12" s="1"/>
  <c r="G126" i="37"/>
  <c r="I126" i="37" s="1"/>
  <c r="F132" i="34" s="1"/>
  <c r="F126" i="12" s="1"/>
  <c r="G18" i="37"/>
  <c r="I18" i="37" s="1"/>
  <c r="F24" i="34" s="1"/>
  <c r="F18" i="12" s="1"/>
  <c r="G106" i="37"/>
  <c r="I106" i="37" s="1"/>
  <c r="F112" i="34" s="1"/>
  <c r="F106" i="12" s="1"/>
  <c r="G122" i="37"/>
  <c r="I122" i="37" s="1"/>
  <c r="F128" i="34" s="1"/>
  <c r="F122" i="12" s="1"/>
  <c r="G78" i="37"/>
  <c r="I78" i="37" s="1"/>
  <c r="F84" i="34" s="1"/>
  <c r="F78" i="12" s="1"/>
  <c r="G10" i="37"/>
  <c r="I10" i="37" s="1"/>
  <c r="F16" i="34" s="1"/>
  <c r="F10" i="12" s="1"/>
  <c r="G82" i="37"/>
  <c r="I82" i="37" s="1"/>
  <c r="F88" i="34" s="1"/>
  <c r="F82" i="12" s="1"/>
  <c r="G21" i="37"/>
  <c r="I21" i="37" s="1"/>
  <c r="F27" i="34" s="1"/>
  <c r="F21" i="12" s="1"/>
  <c r="G148" i="37"/>
  <c r="I148" i="37" s="1"/>
  <c r="F154" i="34" s="1"/>
  <c r="F148" i="12" s="1"/>
  <c r="G239" i="37"/>
  <c r="I239" i="37" s="1"/>
  <c r="F245" i="34" s="1"/>
  <c r="F239" i="12" s="1"/>
  <c r="G281" i="37"/>
  <c r="I281" i="37" s="1"/>
  <c r="F287" i="34" s="1"/>
  <c r="F281" i="12" s="1"/>
  <c r="G287" i="37"/>
  <c r="I287" i="37" s="1"/>
  <c r="F293" i="34" s="1"/>
  <c r="F287" i="12" s="1"/>
  <c r="G173" i="37"/>
  <c r="I173" i="37" s="1"/>
  <c r="F179" i="34" s="1"/>
  <c r="F173" i="12" s="1"/>
  <c r="G291" i="37"/>
  <c r="I291" i="37" s="1"/>
  <c r="F297" i="34" s="1"/>
  <c r="F291" i="12" s="1"/>
  <c r="G15" i="37"/>
  <c r="I15" i="37" s="1"/>
  <c r="F21" i="34" s="1"/>
  <c r="F15" i="12" s="1"/>
  <c r="G133" i="37"/>
  <c r="I133" i="37" s="1"/>
  <c r="F139" i="34" s="1"/>
  <c r="F133" i="12" s="1"/>
  <c r="G184" i="37"/>
  <c r="I184" i="37" s="1"/>
  <c r="F190" i="34" s="1"/>
  <c r="F184" i="12" s="1"/>
  <c r="G32" i="37"/>
  <c r="I32" i="37" s="1"/>
  <c r="F38" i="34" s="1"/>
  <c r="F32" i="12" s="1"/>
  <c r="G88" i="37"/>
  <c r="I88" i="37" s="1"/>
  <c r="F94" i="34" s="1"/>
  <c r="F88" i="12" s="1"/>
  <c r="G192" i="37"/>
  <c r="I192" i="37" s="1"/>
  <c r="F198" i="34" s="1"/>
  <c r="F192" i="12" s="1"/>
  <c r="G151" i="37"/>
  <c r="I151" i="37" s="1"/>
  <c r="F157" i="34" s="1"/>
  <c r="F151" i="12" s="1"/>
  <c r="G165" i="37"/>
  <c r="I165" i="37" s="1"/>
  <c r="F171" i="34" s="1"/>
  <c r="F165" i="12" s="1"/>
  <c r="G16" i="37"/>
  <c r="I16" i="37" s="1"/>
  <c r="F22" i="34" s="1"/>
  <c r="F16" i="12" s="1"/>
  <c r="G68" i="37"/>
  <c r="I68" i="37" s="1"/>
  <c r="F74" i="34" s="1"/>
  <c r="F68" i="12" s="1"/>
  <c r="G237" i="37"/>
  <c r="I237" i="37" s="1"/>
  <c r="F243" i="34" s="1"/>
  <c r="F237" i="12" s="1"/>
  <c r="G119" i="37"/>
  <c r="I119" i="37" s="1"/>
  <c r="F125" i="34" s="1"/>
  <c r="F119" i="12" s="1"/>
  <c r="G39" i="37"/>
  <c r="I39" i="37" s="1"/>
  <c r="F45" i="34" s="1"/>
  <c r="F39" i="12" s="1"/>
  <c r="G97" i="37"/>
  <c r="I97" i="37" s="1"/>
  <c r="F103" i="34" s="1"/>
  <c r="F97" i="12" s="1"/>
  <c r="G134" i="37"/>
  <c r="I134" i="37" s="1"/>
  <c r="F140" i="34" s="1"/>
  <c r="F134" i="12" s="1"/>
  <c r="G292" i="37"/>
  <c r="I292" i="37" s="1"/>
  <c r="F298" i="34" s="1"/>
  <c r="F292" i="12" s="1"/>
  <c r="G276" i="37"/>
  <c r="I276" i="37" s="1"/>
  <c r="F282" i="34" s="1"/>
  <c r="F276" i="12" s="1"/>
  <c r="G260" i="37"/>
  <c r="I260" i="37" s="1"/>
  <c r="F266" i="34" s="1"/>
  <c r="F260" i="12" s="1"/>
  <c r="G244" i="37"/>
  <c r="I244" i="37" s="1"/>
  <c r="F250" i="34" s="1"/>
  <c r="F244" i="12" s="1"/>
  <c r="G226" i="37"/>
  <c r="I226" i="37" s="1"/>
  <c r="F232" i="34" s="1"/>
  <c r="F226" i="12" s="1"/>
  <c r="G186" i="37"/>
  <c r="I186" i="37" s="1"/>
  <c r="F192" i="34" s="1"/>
  <c r="F186" i="12" s="1"/>
  <c r="G154" i="37"/>
  <c r="I154" i="37" s="1"/>
  <c r="F160" i="34" s="1"/>
  <c r="F154" i="12" s="1"/>
  <c r="G104" i="37"/>
  <c r="I104" i="37" s="1"/>
  <c r="F110" i="34" s="1"/>
  <c r="F104" i="12" s="1"/>
  <c r="G195" i="37"/>
  <c r="I195" i="37" s="1"/>
  <c r="F201" i="34" s="1"/>
  <c r="F195" i="12" s="1"/>
  <c r="G86" i="37"/>
  <c r="I86" i="37" s="1"/>
  <c r="F92" i="34" s="1"/>
  <c r="F86" i="12" s="1"/>
  <c r="G102" i="37"/>
  <c r="I102" i="37" s="1"/>
  <c r="F108" i="34" s="1"/>
  <c r="F102" i="12" s="1"/>
  <c r="G90" i="37"/>
  <c r="I90" i="37" s="1"/>
  <c r="F96" i="34" s="1"/>
  <c r="F90" i="12" s="1"/>
  <c r="G120" i="37"/>
  <c r="I120" i="37" s="1"/>
  <c r="F126" i="34" s="1"/>
  <c r="F120" i="12" s="1"/>
  <c r="G73" i="37"/>
  <c r="I73" i="37" s="1"/>
  <c r="F79" i="34" s="1"/>
  <c r="F73" i="12" s="1"/>
  <c r="G138" i="37"/>
  <c r="I138" i="37" s="1"/>
  <c r="F144" i="34" s="1"/>
  <c r="F138" i="12" s="1"/>
  <c r="G74" i="37"/>
  <c r="I74" i="37" s="1"/>
  <c r="F80" i="34" s="1"/>
  <c r="F74" i="12" s="1"/>
  <c r="G17" i="37"/>
  <c r="I17" i="37" s="1"/>
  <c r="F23" i="34" s="1"/>
  <c r="F17" i="12" s="1"/>
  <c r="G235" i="37"/>
  <c r="I235" i="37" s="1"/>
  <c r="F241" i="34" s="1"/>
  <c r="F235" i="12" s="1"/>
  <c r="G243" i="37"/>
  <c r="I243" i="37" s="1"/>
  <c r="F249" i="34" s="1"/>
  <c r="F243" i="12" s="1"/>
  <c r="G9" i="37"/>
  <c r="I9" i="37" s="1"/>
  <c r="F15" i="34" s="1"/>
  <c r="F9" i="12" s="1"/>
  <c r="G156" i="37"/>
  <c r="I156" i="37" s="1"/>
  <c r="F162" i="34" s="1"/>
  <c r="F156" i="12" s="1"/>
  <c r="G40" i="37"/>
  <c r="I40" i="37" s="1"/>
  <c r="F46" i="34" s="1"/>
  <c r="F40" i="12" s="1"/>
  <c r="G261" i="37"/>
  <c r="I261" i="37" s="1"/>
  <c r="F267" i="34" s="1"/>
  <c r="F261" i="12" s="1"/>
  <c r="G221" i="37"/>
  <c r="I221" i="37" s="1"/>
  <c r="F227" i="34" s="1"/>
  <c r="F221" i="12" s="1"/>
  <c r="G60" i="37"/>
  <c r="I60" i="37" s="1"/>
  <c r="F66" i="34" s="1"/>
  <c r="F60" i="12" s="1"/>
  <c r="G161" i="37"/>
  <c r="I161" i="37" s="1"/>
  <c r="F167" i="34" s="1"/>
  <c r="F161" i="12" s="1"/>
  <c r="G113" i="37"/>
  <c r="I113" i="37" s="1"/>
  <c r="F119" i="34" s="1"/>
  <c r="F113" i="12" s="1"/>
  <c r="G212" i="37"/>
  <c r="I212" i="37" s="1"/>
  <c r="F218" i="34" s="1"/>
  <c r="F212" i="12" s="1"/>
  <c r="G228" i="37"/>
  <c r="I228" i="37" s="1"/>
  <c r="F234" i="34" s="1"/>
  <c r="F228" i="12" s="1"/>
  <c r="G95" i="37"/>
  <c r="I95" i="37" s="1"/>
  <c r="F101" i="34" s="1"/>
  <c r="F95" i="12" s="1"/>
  <c r="G7" i="37"/>
  <c r="I7" i="37" s="1"/>
  <c r="F13" i="34" s="1"/>
  <c r="F7" i="12" s="1"/>
  <c r="G52" i="37"/>
  <c r="I52" i="37" s="1"/>
  <c r="F58" i="34" s="1"/>
  <c r="F52" i="12" s="1"/>
  <c r="G145" i="37"/>
  <c r="I145" i="37" s="1"/>
  <c r="F151" i="34" s="1"/>
  <c r="F145" i="12" s="1"/>
  <c r="G31" i="37"/>
  <c r="I31" i="37" s="1"/>
  <c r="F37" i="34" s="1"/>
  <c r="F31" i="12" s="1"/>
  <c r="G101" i="37"/>
  <c r="I101" i="37" s="1"/>
  <c r="F107" i="34" s="1"/>
  <c r="F101" i="12" s="1"/>
  <c r="G155" i="37"/>
  <c r="I155" i="37" s="1"/>
  <c r="F161" i="34" s="1"/>
  <c r="F155" i="12" s="1"/>
  <c r="G71" i="37"/>
  <c r="I71" i="37" s="1"/>
  <c r="F77" i="34" s="1"/>
  <c r="F71" i="12" s="1"/>
  <c r="G130" i="37"/>
  <c r="I130" i="37" s="1"/>
  <c r="F136" i="34" s="1"/>
  <c r="F130" i="12" s="1"/>
  <c r="G290" i="37"/>
  <c r="I290" i="37" s="1"/>
  <c r="F296" i="34" s="1"/>
  <c r="F290" i="12" s="1"/>
  <c r="G274" i="37"/>
  <c r="I274" i="37" s="1"/>
  <c r="F280" i="34" s="1"/>
  <c r="F274" i="12" s="1"/>
  <c r="G258" i="37"/>
  <c r="I258" i="37" s="1"/>
  <c r="F264" i="34" s="1"/>
  <c r="F258" i="12" s="1"/>
  <c r="G242" i="37"/>
  <c r="I242" i="37" s="1"/>
  <c r="F248" i="34" s="1"/>
  <c r="F242" i="12" s="1"/>
  <c r="G219" i="37"/>
  <c r="I219" i="37" s="1"/>
  <c r="F225" i="34" s="1"/>
  <c r="F219" i="12" s="1"/>
  <c r="G182" i="37"/>
  <c r="I182" i="37" s="1"/>
  <c r="F188" i="34" s="1"/>
  <c r="F182" i="12" s="1"/>
  <c r="G146" i="37"/>
  <c r="I146" i="37" s="1"/>
  <c r="F152" i="34" s="1"/>
  <c r="F146" i="12" s="1"/>
  <c r="G65" i="37"/>
  <c r="I65" i="37" s="1"/>
  <c r="F71" i="34" s="1"/>
  <c r="F65" i="12" s="1"/>
  <c r="G191" i="37"/>
  <c r="I191" i="37" s="1"/>
  <c r="F197" i="34" s="1"/>
  <c r="F191" i="12" s="1"/>
  <c r="G108" i="37"/>
  <c r="I108" i="37" s="1"/>
  <c r="F114" i="34" s="1"/>
  <c r="F108" i="12" s="1"/>
  <c r="G93" i="37"/>
  <c r="I93" i="37" s="1"/>
  <c r="F99" i="34" s="1"/>
  <c r="F93" i="12" s="1"/>
  <c r="G61" i="37"/>
  <c r="I61" i="37" s="1"/>
  <c r="F67" i="34" s="1"/>
  <c r="F61" i="12" s="1"/>
  <c r="G118" i="37"/>
  <c r="I118" i="37" s="1"/>
  <c r="F124" i="34" s="1"/>
  <c r="F118" i="12" s="1"/>
  <c r="G62" i="37"/>
  <c r="I62" i="37" s="1"/>
  <c r="F68" i="34" s="1"/>
  <c r="F62" i="12" s="1"/>
  <c r="G136" i="37"/>
  <c r="I136" i="37" s="1"/>
  <c r="F142" i="34" s="1"/>
  <c r="F136" i="12" s="1"/>
  <c r="G69" i="37"/>
  <c r="I69" i="37" s="1"/>
  <c r="F75" i="34" s="1"/>
  <c r="F69" i="12" s="1"/>
  <c r="G25" i="37"/>
  <c r="I25" i="37" s="1"/>
  <c r="F31" i="34" s="1"/>
  <c r="F25" i="12" s="1"/>
  <c r="G247" i="37"/>
  <c r="I247" i="37" s="1"/>
  <c r="F253" i="34" s="1"/>
  <c r="F247" i="12" s="1"/>
  <c r="G255" i="37"/>
  <c r="I255" i="37" s="1"/>
  <c r="F261" i="34" s="1"/>
  <c r="F255" i="12" s="1"/>
  <c r="G231" i="37"/>
  <c r="I231" i="37" s="1"/>
  <c r="F237" i="34" s="1"/>
  <c r="F231" i="12" s="1"/>
  <c r="G83" i="37"/>
  <c r="I83" i="37" s="1"/>
  <c r="F89" i="34" s="1"/>
  <c r="F83" i="12" s="1"/>
  <c r="G109" i="37"/>
  <c r="I109" i="37" s="1"/>
  <c r="F115" i="34" s="1"/>
  <c r="F109" i="12" s="1"/>
  <c r="G253" i="37"/>
  <c r="I253" i="37" s="1"/>
  <c r="F259" i="34" s="1"/>
  <c r="F253" i="12" s="1"/>
  <c r="G135" i="37"/>
  <c r="I135" i="37" s="1"/>
  <c r="F141" i="34" s="1"/>
  <c r="F135" i="12" s="1"/>
  <c r="G125" i="37"/>
  <c r="I125" i="37" s="1"/>
  <c r="F131" i="34" s="1"/>
  <c r="F125" i="12" s="1"/>
  <c r="G245" i="37"/>
  <c r="I245" i="37" s="1"/>
  <c r="F251" i="34" s="1"/>
  <c r="F245" i="12" s="1"/>
  <c r="G171" i="37"/>
  <c r="I171" i="37" s="1"/>
  <c r="F177" i="34" s="1"/>
  <c r="F171" i="12" s="1"/>
  <c r="G153" i="37"/>
  <c r="I153" i="37" s="1"/>
  <c r="F159" i="34" s="1"/>
  <c r="F153" i="12" s="1"/>
  <c r="G209" i="37"/>
  <c r="I209" i="37" s="1"/>
  <c r="F215" i="34" s="1"/>
  <c r="F209" i="12" s="1"/>
  <c r="G141" i="37"/>
  <c r="I141" i="37" s="1"/>
  <c r="F147" i="34" s="1"/>
  <c r="F141" i="12" s="1"/>
  <c r="G19" i="37"/>
  <c r="I19" i="37" s="1"/>
  <c r="F25" i="34" s="1"/>
  <c r="F19" i="12" s="1"/>
  <c r="G233" i="37"/>
  <c r="I233" i="37" s="1"/>
  <c r="F239" i="34" s="1"/>
  <c r="F233" i="12" s="1"/>
  <c r="G44" i="37"/>
  <c r="I44" i="37" s="1"/>
  <c r="F50" i="34" s="1"/>
  <c r="F44" i="12" s="1"/>
  <c r="G193" i="37"/>
  <c r="I193" i="37" s="1"/>
  <c r="F199" i="34" s="1"/>
  <c r="F193" i="12" s="1"/>
  <c r="G177" i="37"/>
  <c r="I177" i="37" s="1"/>
  <c r="F183" i="34" s="1"/>
  <c r="F177" i="12" s="1"/>
  <c r="G105" i="37"/>
  <c r="I105" i="37" s="1"/>
  <c r="F111" i="34" s="1"/>
  <c r="F105" i="12" s="1"/>
  <c r="G111" i="37"/>
  <c r="I111" i="37" s="1"/>
  <c r="F117" i="34" s="1"/>
  <c r="F111" i="12" s="1"/>
  <c r="G304" i="37"/>
  <c r="I304" i="37" s="1"/>
  <c r="F310" i="34" s="1"/>
  <c r="F304" i="12" s="1"/>
  <c r="G288" i="37"/>
  <c r="I288" i="37" s="1"/>
  <c r="F294" i="34" s="1"/>
  <c r="F288" i="12" s="1"/>
  <c r="G272" i="37"/>
  <c r="I272" i="37" s="1"/>
  <c r="F278" i="34" s="1"/>
  <c r="F272" i="12" s="1"/>
  <c r="G256" i="37"/>
  <c r="I256" i="37" s="1"/>
  <c r="F262" i="34" s="1"/>
  <c r="F256" i="12" s="1"/>
  <c r="G240" i="37"/>
  <c r="I240" i="37" s="1"/>
  <c r="F246" i="34" s="1"/>
  <c r="F240" i="12" s="1"/>
  <c r="G210" i="37"/>
  <c r="I210" i="37" s="1"/>
  <c r="F216" i="34" s="1"/>
  <c r="F210" i="12" s="1"/>
  <c r="G178" i="37"/>
  <c r="I178" i="37" s="1"/>
  <c r="F184" i="34" s="1"/>
  <c r="F178" i="12" s="1"/>
  <c r="G132" i="37"/>
  <c r="I132" i="37" s="1"/>
  <c r="F138" i="34" s="1"/>
  <c r="F132" i="12" s="1"/>
  <c r="G227" i="37"/>
  <c r="I227" i="37" s="1"/>
  <c r="F233" i="34" s="1"/>
  <c r="F227" i="12" s="1"/>
  <c r="G187" i="37"/>
  <c r="I187" i="37" s="1"/>
  <c r="F193" i="34" s="1"/>
  <c r="F187" i="12" s="1"/>
  <c r="G100" i="37"/>
  <c r="I100" i="37" s="1"/>
  <c r="F106" i="34" s="1"/>
  <c r="F100" i="12" s="1"/>
  <c r="G77" i="37"/>
  <c r="I77" i="37" s="1"/>
  <c r="F83" i="34" s="1"/>
  <c r="F77" i="12" s="1"/>
  <c r="G50" i="37"/>
  <c r="I50" i="37" s="1"/>
  <c r="F56" i="34" s="1"/>
  <c r="F50" i="12" s="1"/>
  <c r="G98" i="37"/>
  <c r="I98" i="37" s="1"/>
  <c r="F104" i="34" s="1"/>
  <c r="F98" i="12" s="1"/>
  <c r="G57" i="37"/>
  <c r="I57" i="37" s="1"/>
  <c r="F63" i="34" s="1"/>
  <c r="F57" i="12" s="1"/>
  <c r="G116" i="37"/>
  <c r="I116" i="37" s="1"/>
  <c r="F122" i="34" s="1"/>
  <c r="F116" i="12" s="1"/>
  <c r="G58" i="37"/>
  <c r="I58" i="37" s="1"/>
  <c r="F64" i="34" s="1"/>
  <c r="F58" i="12" s="1"/>
  <c r="G275" i="37"/>
  <c r="I275" i="37" s="1"/>
  <c r="F281" i="34" s="1"/>
  <c r="F275" i="12" s="1"/>
  <c r="G176" i="37"/>
  <c r="I176" i="37" s="1"/>
  <c r="F182" i="34" s="1"/>
  <c r="F176" i="12" s="1"/>
  <c r="G75" i="37"/>
  <c r="I75" i="37" s="1"/>
  <c r="F81" i="34" s="1"/>
  <c r="F75" i="12" s="1"/>
  <c r="G283" i="37"/>
  <c r="I283" i="37" s="1"/>
  <c r="F289" i="34" s="1"/>
  <c r="F283" i="12" s="1"/>
  <c r="G121" i="37"/>
  <c r="I121" i="37" s="1"/>
  <c r="F127" i="34" s="1"/>
  <c r="F121" i="12" s="1"/>
  <c r="G224" i="37"/>
  <c r="I224" i="37" s="1"/>
  <c r="F230" i="34" s="1"/>
  <c r="F224" i="12" s="1"/>
  <c r="G200" i="37"/>
  <c r="I200" i="37" s="1"/>
  <c r="F206" i="34" s="1"/>
  <c r="F200" i="12" s="1"/>
  <c r="G289" i="37"/>
  <c r="I289" i="37" s="1"/>
  <c r="F295" i="34" s="1"/>
  <c r="F289" i="12" s="1"/>
  <c r="G157" i="37"/>
  <c r="I157" i="37" s="1"/>
  <c r="F163" i="34" s="1"/>
  <c r="F157" i="12" s="1"/>
  <c r="G167" i="37"/>
  <c r="I167" i="37" s="1"/>
  <c r="F173" i="34" s="1"/>
  <c r="F167" i="12" s="1"/>
  <c r="G185" i="37"/>
  <c r="I185" i="37" s="1"/>
  <c r="F191" i="34" s="1"/>
  <c r="F185" i="12" s="1"/>
  <c r="G23" i="37"/>
  <c r="I23" i="37" s="1"/>
  <c r="F29" i="34" s="1"/>
  <c r="F23" i="12" s="1"/>
  <c r="G220" i="37"/>
  <c r="I220" i="37" s="1"/>
  <c r="F226" i="34" s="1"/>
  <c r="F220" i="12" s="1"/>
  <c r="G197" i="37"/>
  <c r="I197" i="37" s="1"/>
  <c r="F203" i="34" s="1"/>
  <c r="F197" i="12" s="1"/>
  <c r="G305" i="37"/>
  <c r="I305" i="37" s="1"/>
  <c r="F311" i="34" s="1"/>
  <c r="F305" i="12" s="1"/>
  <c r="G84" i="37"/>
  <c r="I84" i="37" s="1"/>
  <c r="F90" i="34" s="1"/>
  <c r="F84" i="12" s="1"/>
  <c r="G293" i="37"/>
  <c r="I293" i="37" s="1"/>
  <c r="F299" i="34" s="1"/>
  <c r="F293" i="12" s="1"/>
  <c r="G76" i="37"/>
  <c r="I76" i="37" s="1"/>
  <c r="F82" i="34" s="1"/>
  <c r="F76" i="12" s="1"/>
  <c r="G241" i="37"/>
  <c r="I241" i="37" s="1"/>
  <c r="F247" i="34" s="1"/>
  <c r="F241" i="12" s="1"/>
  <c r="G143" i="37"/>
  <c r="I143" i="37" s="1"/>
  <c r="F149" i="34" s="1"/>
  <c r="F143" i="12" s="1"/>
  <c r="G302" i="37"/>
  <c r="I302" i="37" s="1"/>
  <c r="F308" i="34" s="1"/>
  <c r="F302" i="12" s="1"/>
  <c r="G286" i="37"/>
  <c r="I286" i="37" s="1"/>
  <c r="F292" i="34" s="1"/>
  <c r="F286" i="12" s="1"/>
  <c r="G270" i="37"/>
  <c r="I270" i="37" s="1"/>
  <c r="F276" i="34" s="1"/>
  <c r="F270" i="12" s="1"/>
  <c r="G254" i="37"/>
  <c r="I254" i="37" s="1"/>
  <c r="F260" i="34" s="1"/>
  <c r="F254" i="12" s="1"/>
  <c r="G238" i="37"/>
  <c r="I238" i="37" s="1"/>
  <c r="F244" i="34" s="1"/>
  <c r="F238" i="12" s="1"/>
  <c r="G206" i="37"/>
  <c r="I206" i="37" s="1"/>
  <c r="F212" i="34" s="1"/>
  <c r="F206" i="12" s="1"/>
  <c r="G174" i="37"/>
  <c r="I174" i="37" s="1"/>
  <c r="F180" i="34" s="1"/>
  <c r="F174" i="12" s="1"/>
  <c r="G54" i="37"/>
  <c r="I54" i="37" s="1"/>
  <c r="F60" i="34" s="1"/>
  <c r="F54" i="12" s="1"/>
  <c r="G218" i="37"/>
  <c r="I218" i="37" s="1"/>
  <c r="F224" i="34" s="1"/>
  <c r="F218" i="12" s="1"/>
  <c r="G183" i="37"/>
  <c r="I183" i="37" s="1"/>
  <c r="F189" i="34" s="1"/>
  <c r="F183" i="12" s="1"/>
  <c r="G70" i="37"/>
  <c r="I70" i="37" s="1"/>
  <c r="F76" i="34" s="1"/>
  <c r="F70" i="12" s="1"/>
  <c r="G66" i="37"/>
  <c r="I66" i="37" s="1"/>
  <c r="F72" i="34" s="1"/>
  <c r="F66" i="12" s="1"/>
  <c r="G29" i="37"/>
  <c r="I29" i="37" s="1"/>
  <c r="F35" i="34" s="1"/>
  <c r="F29" i="12" s="1"/>
  <c r="G96" i="37"/>
  <c r="I96" i="37" s="1"/>
  <c r="F102" i="34" s="1"/>
  <c r="F96" i="12" s="1"/>
  <c r="G46" i="37"/>
  <c r="I46" i="37" s="1"/>
  <c r="F52" i="34" s="1"/>
  <c r="F46" i="12" s="1"/>
  <c r="G114" i="37"/>
  <c r="I114" i="37" s="1"/>
  <c r="F120" i="34" s="1"/>
  <c r="F114" i="12" s="1"/>
  <c r="G53" i="37"/>
  <c r="I53" i="37" s="1"/>
  <c r="F59" i="34" s="1"/>
  <c r="F53" i="12" s="1"/>
  <c r="K38" i="40"/>
  <c r="K39" i="40" s="1"/>
  <c r="H39" i="40" s="1"/>
  <c r="L10" i="33"/>
  <c r="M10" i="33" s="1"/>
  <c r="G16" i="9" s="1"/>
  <c r="L115" i="33"/>
  <c r="M115" i="33" s="1"/>
  <c r="G121" i="9" s="1"/>
  <c r="L189" i="33"/>
  <c r="M189" i="33" s="1"/>
  <c r="G195" i="9" s="1"/>
  <c r="L176" i="33"/>
  <c r="M176" i="33" s="1"/>
  <c r="G182" i="9" s="1"/>
  <c r="L119" i="33"/>
  <c r="M119" i="33" s="1"/>
  <c r="G125" i="9" s="1"/>
  <c r="L127" i="33"/>
  <c r="M127" i="33" s="1"/>
  <c r="G133" i="9" s="1"/>
  <c r="L71" i="33"/>
  <c r="M71" i="33" s="1"/>
  <c r="G77" i="9" s="1"/>
  <c r="L245" i="33"/>
  <c r="M245" i="33" s="1"/>
  <c r="G251" i="9" s="1"/>
  <c r="L37" i="33"/>
  <c r="M37" i="33" s="1"/>
  <c r="G43" i="9" s="1"/>
  <c r="L233" i="33"/>
  <c r="M233" i="33" s="1"/>
  <c r="G239" i="9" s="1"/>
  <c r="L79" i="33"/>
  <c r="M79" i="33" s="1"/>
  <c r="G85" i="9" s="1"/>
  <c r="L121" i="33"/>
  <c r="M121" i="33" s="1"/>
  <c r="G127" i="9" s="1"/>
  <c r="L22" i="33"/>
  <c r="M22" i="33" s="1"/>
  <c r="G28" i="9" s="1"/>
  <c r="L14" i="33"/>
  <c r="M14" i="33" s="1"/>
  <c r="G20" i="9" s="1"/>
  <c r="L261" i="33"/>
  <c r="M261" i="33" s="1"/>
  <c r="G267" i="9" s="1"/>
  <c r="L292" i="33"/>
  <c r="M292" i="33" s="1"/>
  <c r="G298" i="9" s="1"/>
  <c r="L41" i="33"/>
  <c r="M41" i="33" s="1"/>
  <c r="G47" i="9" s="1"/>
  <c r="L253" i="33"/>
  <c r="M253" i="33" s="1"/>
  <c r="G259" i="9" s="1"/>
  <c r="L149" i="33"/>
  <c r="M149" i="33" s="1"/>
  <c r="G155" i="9" s="1"/>
  <c r="L198" i="33"/>
  <c r="M198" i="33" s="1"/>
  <c r="G204" i="9" s="1"/>
  <c r="L29" i="33"/>
  <c r="M29" i="33" s="1"/>
  <c r="G35" i="9" s="1"/>
  <c r="L124" i="33"/>
  <c r="M124" i="33" s="1"/>
  <c r="G130" i="9" s="1"/>
  <c r="L126" i="33"/>
  <c r="M126" i="33" s="1"/>
  <c r="G132" i="9" s="1"/>
  <c r="L159" i="33"/>
  <c r="M159" i="33" s="1"/>
  <c r="G165" i="9" s="1"/>
  <c r="L228" i="33"/>
  <c r="M228" i="33" s="1"/>
  <c r="G234" i="9" s="1"/>
  <c r="L214" i="33"/>
  <c r="M214" i="33" s="1"/>
  <c r="G220" i="9" s="1"/>
  <c r="L274" i="33"/>
  <c r="M274" i="33" s="1"/>
  <c r="G280" i="9" s="1"/>
  <c r="L278" i="33"/>
  <c r="M278" i="33" s="1"/>
  <c r="G284" i="9" s="1"/>
  <c r="L93" i="33"/>
  <c r="M93" i="33" s="1"/>
  <c r="G99" i="9" s="1"/>
  <c r="L146" i="33"/>
  <c r="M146" i="33" s="1"/>
  <c r="G152" i="9" s="1"/>
  <c r="L209" i="33"/>
  <c r="M209" i="33" s="1"/>
  <c r="G215" i="9" s="1"/>
  <c r="L252" i="33"/>
  <c r="M252" i="33" s="1"/>
  <c r="G258" i="9" s="1"/>
  <c r="L56" i="33"/>
  <c r="M56" i="33" s="1"/>
  <c r="G62" i="9" s="1"/>
  <c r="L8" i="33"/>
  <c r="M8" i="33" s="1"/>
  <c r="G14" i="9" s="1"/>
  <c r="L91" i="33"/>
  <c r="M91" i="33" s="1"/>
  <c r="G97" i="9" s="1"/>
  <c r="L299" i="33"/>
  <c r="M299" i="33" s="1"/>
  <c r="G305" i="9" s="1"/>
  <c r="L147" i="33"/>
  <c r="M147" i="33" s="1"/>
  <c r="G153" i="9" s="1"/>
  <c r="L132" i="33"/>
  <c r="M132" i="33" s="1"/>
  <c r="G138" i="9" s="1"/>
  <c r="L77" i="33"/>
  <c r="M77" i="33" s="1"/>
  <c r="G83" i="9" s="1"/>
  <c r="L167" i="33"/>
  <c r="M167" i="33" s="1"/>
  <c r="G173" i="9" s="1"/>
  <c r="L130" i="33"/>
  <c r="M130" i="33" s="1"/>
  <c r="G136" i="9" s="1"/>
  <c r="L217" i="33"/>
  <c r="M217" i="33" s="1"/>
  <c r="G223" i="9" s="1"/>
  <c r="L297" i="33"/>
  <c r="M297" i="33" s="1"/>
  <c r="G303" i="9" s="1"/>
  <c r="L227" i="33"/>
  <c r="M227" i="33" s="1"/>
  <c r="G233" i="9" s="1"/>
  <c r="L139" i="33"/>
  <c r="M139" i="33" s="1"/>
  <c r="G145" i="9" s="1"/>
  <c r="L61" i="33"/>
  <c r="M61" i="33" s="1"/>
  <c r="G67" i="9" s="1"/>
  <c r="L99" i="33"/>
  <c r="M99" i="33" s="1"/>
  <c r="G105" i="9" s="1"/>
  <c r="L107" i="33"/>
  <c r="M107" i="33" s="1"/>
  <c r="G113" i="9" s="1"/>
  <c r="L87" i="33"/>
  <c r="M87" i="33" s="1"/>
  <c r="G93" i="9" s="1"/>
  <c r="L48" i="33"/>
  <c r="M48" i="33" s="1"/>
  <c r="G54" i="9" s="1"/>
  <c r="L65" i="33"/>
  <c r="M65" i="33" s="1"/>
  <c r="G71" i="9" s="1"/>
  <c r="L221" i="33"/>
  <c r="M221" i="33" s="1"/>
  <c r="G227" i="9" s="1"/>
  <c r="L197" i="33"/>
  <c r="M197" i="33" s="1"/>
  <c r="G203" i="9" s="1"/>
  <c r="L111" i="33"/>
  <c r="M111" i="33" s="1"/>
  <c r="G117" i="9" s="1"/>
  <c r="L113" i="33"/>
  <c r="M113" i="33" s="1"/>
  <c r="G119" i="9" s="1"/>
  <c r="L183" i="33"/>
  <c r="M183" i="33" s="1"/>
  <c r="G189" i="9" s="1"/>
  <c r="L272" i="33"/>
  <c r="M272" i="33" s="1"/>
  <c r="G278" i="9" s="1"/>
  <c r="L100" i="33"/>
  <c r="M100" i="33" s="1"/>
  <c r="G106" i="9" s="1"/>
  <c r="L201" i="33"/>
  <c r="M201" i="33" s="1"/>
  <c r="G207" i="9" s="1"/>
  <c r="L277" i="33"/>
  <c r="M277" i="33" s="1"/>
  <c r="G283" i="9" s="1"/>
  <c r="L291" i="33"/>
  <c r="M291" i="33" s="1"/>
  <c r="G297" i="9" s="1"/>
  <c r="L57" i="33"/>
  <c r="M57" i="33" s="1"/>
  <c r="G63" i="9" s="1"/>
  <c r="L40" i="33"/>
  <c r="M40" i="33" s="1"/>
  <c r="G46" i="9" s="1"/>
  <c r="L114" i="33"/>
  <c r="M114" i="33" s="1"/>
  <c r="G120" i="9" s="1"/>
  <c r="L165" i="33"/>
  <c r="M165" i="33" s="1"/>
  <c r="G171" i="9" s="1"/>
  <c r="L242" i="33"/>
  <c r="M242" i="33" s="1"/>
  <c r="G248" i="9" s="1"/>
  <c r="L300" i="33"/>
  <c r="M300" i="33" s="1"/>
  <c r="G306" i="9" s="1"/>
  <c r="L51" i="33"/>
  <c r="M51" i="33" s="1"/>
  <c r="G57" i="9" s="1"/>
  <c r="L82" i="33"/>
  <c r="M82" i="33" s="1"/>
  <c r="G88" i="9" s="1"/>
  <c r="L235" i="33"/>
  <c r="M235" i="33" s="1"/>
  <c r="G241" i="9" s="1"/>
  <c r="L36" i="33"/>
  <c r="M36" i="33" s="1"/>
  <c r="G42" i="9" s="1"/>
  <c r="L118" i="33"/>
  <c r="M118" i="33" s="1"/>
  <c r="G124" i="9" s="1"/>
  <c r="L293" i="33"/>
  <c r="M293" i="33" s="1"/>
  <c r="G299" i="9" s="1"/>
  <c r="L279" i="33"/>
  <c r="M279" i="33" s="1"/>
  <c r="G285" i="9" s="1"/>
  <c r="L26" i="33"/>
  <c r="M26" i="33" s="1"/>
  <c r="G32" i="9" s="1"/>
  <c r="L86" i="33"/>
  <c r="M86" i="33" s="1"/>
  <c r="G92" i="9" s="1"/>
  <c r="L106" i="33"/>
  <c r="M106" i="33" s="1"/>
  <c r="G112" i="9" s="1"/>
  <c r="L269" i="33"/>
  <c r="M269" i="33" s="1"/>
  <c r="G275" i="9" s="1"/>
  <c r="L302" i="33"/>
  <c r="M302" i="33" s="1"/>
  <c r="G308" i="9" s="1"/>
  <c r="L18" i="33"/>
  <c r="M18" i="33" s="1"/>
  <c r="G24" i="9" s="1"/>
  <c r="L31" i="33"/>
  <c r="M31" i="33" s="1"/>
  <c r="G37" i="9" s="1"/>
  <c r="L66" i="33"/>
  <c r="M66" i="33" s="1"/>
  <c r="G72" i="9" s="1"/>
  <c r="L44" i="33"/>
  <c r="M44" i="33" s="1"/>
  <c r="G50" i="9" s="1"/>
  <c r="L23" i="33"/>
  <c r="M23" i="33" s="1"/>
  <c r="G29" i="9" s="1"/>
  <c r="L145" i="33"/>
  <c r="M145" i="33" s="1"/>
  <c r="G151" i="9" s="1"/>
  <c r="L135" i="33"/>
  <c r="M135" i="33" s="1"/>
  <c r="G141" i="9" s="1"/>
  <c r="L76" i="33"/>
  <c r="M76" i="33" s="1"/>
  <c r="G82" i="9" s="1"/>
  <c r="L138" i="33"/>
  <c r="M138" i="33" s="1"/>
  <c r="G144" i="9" s="1"/>
  <c r="L170" i="33"/>
  <c r="M170" i="33" s="1"/>
  <c r="G176" i="9" s="1"/>
  <c r="L223" i="33"/>
  <c r="M223" i="33" s="1"/>
  <c r="G229" i="9" s="1"/>
  <c r="L241" i="33"/>
  <c r="M241" i="33" s="1"/>
  <c r="G247" i="9" s="1"/>
  <c r="L273" i="33"/>
  <c r="M273" i="33" s="1"/>
  <c r="G279" i="9" s="1"/>
  <c r="L305" i="33"/>
  <c r="M305" i="33" s="1"/>
  <c r="G311" i="9" s="1"/>
  <c r="L224" i="33"/>
  <c r="M224" i="33" s="1"/>
  <c r="G230" i="9" s="1"/>
  <c r="L250" i="33"/>
  <c r="M250" i="33" s="1"/>
  <c r="G256" i="9" s="1"/>
  <c r="L280" i="33"/>
  <c r="M280" i="33" s="1"/>
  <c r="G286" i="9" s="1"/>
  <c r="L251" i="33"/>
  <c r="M251" i="33" s="1"/>
  <c r="G257" i="9" s="1"/>
  <c r="L283" i="33"/>
  <c r="M283" i="33" s="1"/>
  <c r="G289" i="9" s="1"/>
  <c r="L13" i="33"/>
  <c r="M13" i="33" s="1"/>
  <c r="G19" i="9" s="1"/>
  <c r="L35" i="33"/>
  <c r="M35" i="33" s="1"/>
  <c r="G41" i="9" s="1"/>
  <c r="L74" i="33"/>
  <c r="M74" i="33" s="1"/>
  <c r="G80" i="9" s="1"/>
  <c r="L84" i="33"/>
  <c r="M84" i="33" s="1"/>
  <c r="G90" i="9" s="1"/>
  <c r="L102" i="33"/>
  <c r="M102" i="33" s="1"/>
  <c r="G108" i="9" s="1"/>
  <c r="L109" i="33"/>
  <c r="M109" i="33" s="1"/>
  <c r="G115" i="9" s="1"/>
  <c r="L151" i="33"/>
  <c r="M151" i="33" s="1"/>
  <c r="G157" i="9" s="1"/>
  <c r="L166" i="33"/>
  <c r="M166" i="33" s="1"/>
  <c r="G172" i="9" s="1"/>
  <c r="L215" i="33"/>
  <c r="M215" i="33" s="1"/>
  <c r="G221" i="9" s="1"/>
  <c r="L204" i="33"/>
  <c r="M204" i="33" s="1"/>
  <c r="G210" i="9" s="1"/>
  <c r="L260" i="33"/>
  <c r="M260" i="33" s="1"/>
  <c r="G266" i="9" s="1"/>
  <c r="L232" i="33"/>
  <c r="M232" i="33" s="1"/>
  <c r="G238" i="9" s="1"/>
  <c r="L256" i="33"/>
  <c r="M256" i="33" s="1"/>
  <c r="G262" i="9" s="1"/>
  <c r="L267" i="33"/>
  <c r="M267" i="33" s="1"/>
  <c r="G273" i="9" s="1"/>
  <c r="L234" i="33"/>
  <c r="M234" i="33" s="1"/>
  <c r="G240" i="9" s="1"/>
  <c r="L157" i="33"/>
  <c r="M157" i="33" s="1"/>
  <c r="G163" i="9" s="1"/>
  <c r="L202" i="33"/>
  <c r="M202" i="33" s="1"/>
  <c r="G208" i="9" s="1"/>
  <c r="L134" i="33"/>
  <c r="M134" i="33" s="1"/>
  <c r="G140" i="9" s="1"/>
  <c r="L104" i="33"/>
  <c r="M104" i="33" s="1"/>
  <c r="G110" i="9" s="1"/>
  <c r="L60" i="33"/>
  <c r="M60" i="33" s="1"/>
  <c r="G66" i="9" s="1"/>
  <c r="L28" i="33"/>
  <c r="M28" i="33" s="1"/>
  <c r="G34" i="9" s="1"/>
  <c r="L45" i="33"/>
  <c r="M45" i="33" s="1"/>
  <c r="G51" i="9" s="1"/>
  <c r="L193" i="33"/>
  <c r="M193" i="33" s="1"/>
  <c r="G199" i="9" s="1"/>
  <c r="L68" i="33"/>
  <c r="M68" i="33" s="1"/>
  <c r="G74" i="9" s="1"/>
  <c r="L244" i="33"/>
  <c r="M244" i="33" s="1"/>
  <c r="G250" i="9" s="1"/>
  <c r="L64" i="33"/>
  <c r="M64" i="33" s="1"/>
  <c r="G70" i="9" s="1"/>
  <c r="L216" i="33"/>
  <c r="M216" i="33" s="1"/>
  <c r="G222" i="9" s="1"/>
  <c r="L188" i="33"/>
  <c r="M188" i="33" s="1"/>
  <c r="G194" i="9" s="1"/>
  <c r="L220" i="33"/>
  <c r="M220" i="33" s="1"/>
  <c r="G226" i="9" s="1"/>
  <c r="L30" i="33"/>
  <c r="M30" i="33" s="1"/>
  <c r="G36" i="9" s="1"/>
  <c r="L21" i="33"/>
  <c r="M21" i="33" s="1"/>
  <c r="G27" i="9" s="1"/>
  <c r="L52" i="33"/>
  <c r="M52" i="33" s="1"/>
  <c r="G58" i="9" s="1"/>
  <c r="L254" i="33"/>
  <c r="M254" i="33" s="1"/>
  <c r="G260" i="9" s="1"/>
  <c r="L206" i="33"/>
  <c r="M206" i="33" s="1"/>
  <c r="G212" i="9" s="1"/>
  <c r="L177" i="33"/>
  <c r="M177" i="33" s="1"/>
  <c r="G183" i="9" s="1"/>
  <c r="L210" i="33"/>
  <c r="M210" i="33" s="1"/>
  <c r="G216" i="9" s="1"/>
  <c r="L153" i="33"/>
  <c r="M153" i="33" s="1"/>
  <c r="G159" i="9" s="1"/>
  <c r="L112" i="33"/>
  <c r="M112" i="33" s="1"/>
  <c r="G118" i="9" s="1"/>
  <c r="L80" i="33"/>
  <c r="M80" i="33" s="1"/>
  <c r="G86" i="9" s="1"/>
  <c r="L229" i="33"/>
  <c r="M229" i="33" s="1"/>
  <c r="G235" i="9" s="1"/>
  <c r="L95" i="33"/>
  <c r="M95" i="33" s="1"/>
  <c r="G101" i="9" s="1"/>
  <c r="L213" i="33"/>
  <c r="M213" i="33" s="1"/>
  <c r="G219" i="9" s="1"/>
  <c r="L53" i="33"/>
  <c r="M53" i="33" s="1"/>
  <c r="G59" i="9" s="1"/>
  <c r="L83" i="33"/>
  <c r="M83" i="33" s="1"/>
  <c r="G89" i="9" s="1"/>
  <c r="L187" i="33"/>
  <c r="M187" i="33" s="1"/>
  <c r="G193" i="9" s="1"/>
  <c r="L237" i="33"/>
  <c r="M237" i="33" s="1"/>
  <c r="G243" i="9" s="1"/>
  <c r="L184" i="33"/>
  <c r="M184" i="33" s="1"/>
  <c r="G190" i="9" s="1"/>
  <c r="L103" i="33"/>
  <c r="M103" i="33" s="1"/>
  <c r="G109" i="9" s="1"/>
  <c r="L69" i="33"/>
  <c r="M69" i="33" s="1"/>
  <c r="G75" i="9" s="1"/>
  <c r="L101" i="33"/>
  <c r="M101" i="33" s="1"/>
  <c r="G107" i="9" s="1"/>
  <c r="L199" i="33"/>
  <c r="M199" i="33" s="1"/>
  <c r="G205" i="9" s="1"/>
  <c r="L304" i="33"/>
  <c r="M304" i="33" s="1"/>
  <c r="G310" i="9" s="1"/>
  <c r="L85" i="33"/>
  <c r="M85" i="33" s="1"/>
  <c r="G91" i="9" s="1"/>
  <c r="L200" i="33"/>
  <c r="M200" i="33" s="1"/>
  <c r="G206" i="9" s="1"/>
  <c r="L181" i="33"/>
  <c r="M181" i="33" s="1"/>
  <c r="G187" i="9" s="1"/>
  <c r="L190" i="33"/>
  <c r="M190" i="33" s="1"/>
  <c r="G196" i="9" s="1"/>
  <c r="L46" i="33"/>
  <c r="M46" i="33" s="1"/>
  <c r="G52" i="9" s="1"/>
  <c r="L110" i="33"/>
  <c r="M110" i="33" s="1"/>
  <c r="G116" i="9" s="1"/>
  <c r="L225" i="33"/>
  <c r="M225" i="33" s="1"/>
  <c r="G231" i="9" s="1"/>
  <c r="L203" i="33"/>
  <c r="M203" i="33" s="1"/>
  <c r="G209" i="9" s="1"/>
  <c r="L248" i="33"/>
  <c r="M248" i="33" s="1"/>
  <c r="G254" i="9" s="1"/>
  <c r="L11" i="33"/>
  <c r="M11" i="33" s="1"/>
  <c r="G17" i="9" s="1"/>
  <c r="L81" i="33"/>
  <c r="M81" i="33" s="1"/>
  <c r="G87" i="9" s="1"/>
  <c r="L155" i="33"/>
  <c r="M155" i="33" s="1"/>
  <c r="G161" i="9" s="1"/>
  <c r="L259" i="33"/>
  <c r="M259" i="33" s="1"/>
  <c r="G265" i="9" s="1"/>
  <c r="L58" i="33"/>
  <c r="M58" i="33" s="1"/>
  <c r="G64" i="9" s="1"/>
  <c r="L150" i="33"/>
  <c r="M150" i="33" s="1"/>
  <c r="G156" i="9" s="1"/>
  <c r="L208" i="33"/>
  <c r="M208" i="33" s="1"/>
  <c r="G214" i="9" s="1"/>
  <c r="L284" i="33"/>
  <c r="M284" i="33" s="1"/>
  <c r="G290" i="9" s="1"/>
  <c r="L62" i="33"/>
  <c r="M62" i="33" s="1"/>
  <c r="G68" i="9" s="1"/>
  <c r="L117" i="33"/>
  <c r="M117" i="33" s="1"/>
  <c r="G123" i="9" s="1"/>
  <c r="L239" i="33"/>
  <c r="M239" i="33" s="1"/>
  <c r="G245" i="9" s="1"/>
  <c r="L285" i="33"/>
  <c r="M285" i="33" s="1"/>
  <c r="G291" i="9" s="1"/>
  <c r="L290" i="33"/>
  <c r="M290" i="33" s="1"/>
  <c r="G296" i="9" s="1"/>
  <c r="L27" i="33"/>
  <c r="M27" i="33" s="1"/>
  <c r="G33" i="9" s="1"/>
  <c r="L19" i="33"/>
  <c r="M19" i="33" s="1"/>
  <c r="G25" i="9" s="1"/>
  <c r="L50" i="33"/>
  <c r="M50" i="33" s="1"/>
  <c r="G56" i="9" s="1"/>
  <c r="L92" i="33"/>
  <c r="M92" i="33" s="1"/>
  <c r="G98" i="9" s="1"/>
  <c r="L70" i="33"/>
  <c r="M70" i="33" s="1"/>
  <c r="G76" i="9" s="1"/>
  <c r="L163" i="33"/>
  <c r="M163" i="33" s="1"/>
  <c r="G169" i="9" s="1"/>
  <c r="L137" i="33"/>
  <c r="M137" i="33" s="1"/>
  <c r="G143" i="9" s="1"/>
  <c r="L98" i="33"/>
  <c r="M98" i="33" s="1"/>
  <c r="G104" i="9" s="1"/>
  <c r="L143" i="33"/>
  <c r="M143" i="33" s="1"/>
  <c r="G149" i="9" s="1"/>
  <c r="L175" i="33"/>
  <c r="M175" i="33" s="1"/>
  <c r="G181" i="9" s="1"/>
  <c r="L133" i="33"/>
  <c r="M133" i="33" s="1"/>
  <c r="G139" i="9" s="1"/>
  <c r="L249" i="33"/>
  <c r="M249" i="33" s="1"/>
  <c r="G255" i="9" s="1"/>
  <c r="L281" i="33"/>
  <c r="M281" i="33" s="1"/>
  <c r="G287" i="9" s="1"/>
  <c r="L195" i="33"/>
  <c r="M195" i="33" s="1"/>
  <c r="G201" i="9" s="1"/>
  <c r="L236" i="33"/>
  <c r="M236" i="33" s="1"/>
  <c r="G242" i="9" s="1"/>
  <c r="L282" i="33"/>
  <c r="M282" i="33" s="1"/>
  <c r="G288" i="9" s="1"/>
  <c r="L295" i="33"/>
  <c r="M295" i="33" s="1"/>
  <c r="G301" i="9" s="1"/>
  <c r="L262" i="33"/>
  <c r="M262" i="33" s="1"/>
  <c r="G268" i="9" s="1"/>
  <c r="L255" i="33"/>
  <c r="M255" i="33" s="1"/>
  <c r="G261" i="9" s="1"/>
  <c r="L15" i="33"/>
  <c r="M15" i="33" s="1"/>
  <c r="G21" i="9" s="1"/>
  <c r="L9" i="33"/>
  <c r="M9" i="33" s="1"/>
  <c r="G15" i="9" s="1"/>
  <c r="L32" i="33"/>
  <c r="M32" i="33" s="1"/>
  <c r="G38" i="9" s="1"/>
  <c r="L97" i="33"/>
  <c r="M97" i="33" s="1"/>
  <c r="G103" i="9" s="1"/>
  <c r="L129" i="33"/>
  <c r="M129" i="33" s="1"/>
  <c r="G135" i="9" s="1"/>
  <c r="L125" i="33"/>
  <c r="M125" i="33" s="1"/>
  <c r="G131" i="9" s="1"/>
  <c r="L90" i="33"/>
  <c r="M90" i="33" s="1"/>
  <c r="G96" i="9" s="1"/>
  <c r="L171" i="33"/>
  <c r="M171" i="33" s="1"/>
  <c r="G177" i="9" s="1"/>
  <c r="L231" i="33"/>
  <c r="M231" i="33" s="1"/>
  <c r="G237" i="9" s="1"/>
  <c r="L240" i="33"/>
  <c r="M240" i="33" s="1"/>
  <c r="G246" i="9" s="1"/>
  <c r="L270" i="33"/>
  <c r="M270" i="33" s="1"/>
  <c r="G276" i="9" s="1"/>
  <c r="L258" i="33"/>
  <c r="M258" i="33" s="1"/>
  <c r="G264" i="9" s="1"/>
  <c r="L287" i="33"/>
  <c r="M287" i="33" s="1"/>
  <c r="G293" i="9" s="1"/>
  <c r="L288" i="33"/>
  <c r="M288" i="33" s="1"/>
  <c r="G294" i="9" s="1"/>
  <c r="L238" i="33"/>
  <c r="M238" i="33" s="1"/>
  <c r="G244" i="9" s="1"/>
  <c r="L226" i="33"/>
  <c r="M226" i="33" s="1"/>
  <c r="G232" i="9" s="1"/>
  <c r="L194" i="33"/>
  <c r="M194" i="33" s="1"/>
  <c r="G200" i="9" s="1"/>
  <c r="L131" i="33"/>
  <c r="M131" i="33" s="1"/>
  <c r="G137" i="9" s="1"/>
  <c r="L96" i="33"/>
  <c r="M96" i="33" s="1"/>
  <c r="G102" i="9" s="1"/>
  <c r="L54" i="33"/>
  <c r="M54" i="33" s="1"/>
  <c r="G60" i="9" s="1"/>
  <c r="L12" i="33"/>
  <c r="M12" i="33" s="1"/>
  <c r="G18" i="9" s="1"/>
  <c r="L148" i="33"/>
  <c r="M148" i="33" s="1"/>
  <c r="G154" i="9" s="1"/>
  <c r="L144" i="33"/>
  <c r="M144" i="33" s="1"/>
  <c r="G150" i="9" s="1"/>
  <c r="L294" i="33"/>
  <c r="M294" i="33" s="1"/>
  <c r="G300" i="9" s="1"/>
  <c r="L142" i="33"/>
  <c r="M142" i="33" s="1"/>
  <c r="G148" i="9" s="1"/>
  <c r="L34" i="33"/>
  <c r="M34" i="33" s="1"/>
  <c r="G40" i="9" s="1"/>
  <c r="L265" i="33"/>
  <c r="M265" i="33" s="1"/>
  <c r="G271" i="9" s="1"/>
  <c r="L298" i="33"/>
  <c r="M298" i="33" s="1"/>
  <c r="G304" i="9" s="1"/>
  <c r="L25" i="33"/>
  <c r="M25" i="33" s="1"/>
  <c r="G31" i="9" s="1"/>
  <c r="L67" i="33"/>
  <c r="M67" i="33" s="1"/>
  <c r="G73" i="9" s="1"/>
  <c r="L179" i="33"/>
  <c r="M179" i="33" s="1"/>
  <c r="G185" i="9" s="1"/>
  <c r="L230" i="33"/>
  <c r="M230" i="33" s="1"/>
  <c r="G236" i="9" s="1"/>
  <c r="L141" i="33"/>
  <c r="M141" i="33" s="1"/>
  <c r="G147" i="9" s="1"/>
  <c r="L160" i="33"/>
  <c r="M160" i="33" s="1"/>
  <c r="G166" i="9" s="1"/>
  <c r="L49" i="33"/>
  <c r="M49" i="33" s="1"/>
  <c r="G55" i="9" s="1"/>
  <c r="L164" i="33"/>
  <c r="M164" i="33" s="1"/>
  <c r="G170" i="9" s="1"/>
  <c r="L152" i="33"/>
  <c r="M152" i="33" s="1"/>
  <c r="G158" i="9" s="1"/>
  <c r="L73" i="33"/>
  <c r="M73" i="33" s="1"/>
  <c r="G79" i="9" s="1"/>
  <c r="L180" i="33"/>
  <c r="M180" i="33" s="1"/>
  <c r="G186" i="9" s="1"/>
  <c r="L168" i="33"/>
  <c r="M168" i="33" s="1"/>
  <c r="G174" i="9" s="1"/>
  <c r="L123" i="33"/>
  <c r="M123" i="33" s="1"/>
  <c r="G129" i="9" s="1"/>
  <c r="L205" i="33"/>
  <c r="M205" i="33" s="1"/>
  <c r="G211" i="9" s="1"/>
  <c r="L39" i="33"/>
  <c r="M39" i="33" s="1"/>
  <c r="G45" i="9" s="1"/>
  <c r="L158" i="33"/>
  <c r="M158" i="33" s="1"/>
  <c r="G164" i="9" s="1"/>
  <c r="L7" i="33"/>
  <c r="M7" i="33" s="1"/>
  <c r="G13" i="9" s="1"/>
  <c r="L47" i="33"/>
  <c r="M47" i="33" s="1"/>
  <c r="G53" i="9" s="1"/>
  <c r="L182" i="33"/>
  <c r="M182" i="33" s="1"/>
  <c r="G188" i="9" s="1"/>
  <c r="L212" i="33"/>
  <c r="M212" i="33" s="1"/>
  <c r="G218" i="9" s="1"/>
  <c r="L219" i="33"/>
  <c r="M219" i="33" s="1"/>
  <c r="G225" i="9" s="1"/>
  <c r="L247" i="33"/>
  <c r="M247" i="33" s="1"/>
  <c r="G253" i="9" s="1"/>
  <c r="L72" i="33"/>
  <c r="M72" i="33" s="1"/>
  <c r="G78" i="9" s="1"/>
  <c r="L75" i="33"/>
  <c r="M75" i="33" s="1"/>
  <c r="G81" i="9" s="1"/>
  <c r="L140" i="33"/>
  <c r="M140" i="33" s="1"/>
  <c r="G146" i="9" s="1"/>
  <c r="L192" i="33"/>
  <c r="M192" i="33" s="1"/>
  <c r="G198" i="9" s="1"/>
  <c r="L263" i="33"/>
  <c r="M263" i="33" s="1"/>
  <c r="G269" i="9" s="1"/>
  <c r="L16" i="33"/>
  <c r="M16" i="33" s="1"/>
  <c r="G22" i="9" s="1"/>
  <c r="L89" i="33"/>
  <c r="M89" i="33" s="1"/>
  <c r="G95" i="9" s="1"/>
  <c r="L172" i="33"/>
  <c r="M172" i="33" s="1"/>
  <c r="G178" i="9" s="1"/>
  <c r="L222" i="33"/>
  <c r="M222" i="33" s="1"/>
  <c r="G228" i="9" s="1"/>
  <c r="L108" i="33"/>
  <c r="M108" i="33" s="1"/>
  <c r="G114" i="9" s="1"/>
  <c r="L207" i="33"/>
  <c r="M207" i="33" s="1"/>
  <c r="G213" i="9" s="1"/>
  <c r="L286" i="33"/>
  <c r="M286" i="33" s="1"/>
  <c r="G292" i="9" s="1"/>
  <c r="L43" i="33"/>
  <c r="M43" i="33" s="1"/>
  <c r="G49" i="9" s="1"/>
  <c r="L78" i="33"/>
  <c r="M78" i="33" s="1"/>
  <c r="G84" i="9" s="1"/>
  <c r="L136" i="33"/>
  <c r="M136" i="33" s="1"/>
  <c r="G142" i="9" s="1"/>
  <c r="L128" i="33"/>
  <c r="M128" i="33" s="1"/>
  <c r="G134" i="9" s="1"/>
  <c r="L301" i="33"/>
  <c r="M301" i="33" s="1"/>
  <c r="G307" i="9" s="1"/>
  <c r="L296" i="33"/>
  <c r="M296" i="33" s="1"/>
  <c r="G302" i="9" s="1"/>
  <c r="L17" i="33"/>
  <c r="M17" i="33" s="1"/>
  <c r="G23" i="9" s="1"/>
  <c r="L20" i="33"/>
  <c r="M20" i="33" s="1"/>
  <c r="G26" i="9" s="1"/>
  <c r="L55" i="33"/>
  <c r="M55" i="33" s="1"/>
  <c r="G61" i="9" s="1"/>
  <c r="L105" i="33"/>
  <c r="M105" i="33" s="1"/>
  <c r="G111" i="9" s="1"/>
  <c r="L94" i="33"/>
  <c r="M94" i="33" s="1"/>
  <c r="G100" i="9" s="1"/>
  <c r="L174" i="33"/>
  <c r="M174" i="33" s="1"/>
  <c r="G180" i="9" s="1"/>
  <c r="L162" i="33"/>
  <c r="M162" i="33" s="1"/>
  <c r="G168" i="9" s="1"/>
  <c r="L186" i="33"/>
  <c r="M186" i="33" s="1"/>
  <c r="G192" i="9" s="1"/>
  <c r="L154" i="33"/>
  <c r="M154" i="33" s="1"/>
  <c r="G160" i="9" s="1"/>
  <c r="L191" i="33"/>
  <c r="M191" i="33" s="1"/>
  <c r="G197" i="9" s="1"/>
  <c r="L196" i="33"/>
  <c r="M196" i="33" s="1"/>
  <c r="G202" i="9" s="1"/>
  <c r="L257" i="33"/>
  <c r="M257" i="33" s="1"/>
  <c r="G263" i="9" s="1"/>
  <c r="L289" i="33"/>
  <c r="M289" i="33" s="1"/>
  <c r="G295" i="9" s="1"/>
  <c r="L211" i="33"/>
  <c r="M211" i="33" s="1"/>
  <c r="G217" i="9" s="1"/>
  <c r="L276" i="33"/>
  <c r="M276" i="33" s="1"/>
  <c r="G282" i="9" s="1"/>
  <c r="L303" i="33"/>
  <c r="M303" i="33" s="1"/>
  <c r="G309" i="9" s="1"/>
  <c r="L266" i="33"/>
  <c r="M266" i="33" s="1"/>
  <c r="G272" i="9" s="1"/>
  <c r="L268" i="33"/>
  <c r="M268" i="33" s="1"/>
  <c r="G274" i="9" s="1"/>
  <c r="L271" i="33"/>
  <c r="M271" i="33" s="1"/>
  <c r="G277" i="9" s="1"/>
  <c r="L33" i="33"/>
  <c r="M33" i="33" s="1"/>
  <c r="G39" i="9" s="1"/>
  <c r="L63" i="33"/>
  <c r="M63" i="33" s="1"/>
  <c r="G69" i="9" s="1"/>
  <c r="L59" i="33"/>
  <c r="M59" i="33" s="1"/>
  <c r="G65" i="9" s="1"/>
  <c r="L116" i="33"/>
  <c r="M116" i="33" s="1"/>
  <c r="G122" i="9" s="1"/>
  <c r="L42" i="33"/>
  <c r="M42" i="33" s="1"/>
  <c r="G48" i="9" s="1"/>
  <c r="L161" i="33"/>
  <c r="M161" i="33" s="1"/>
  <c r="G167" i="9" s="1"/>
  <c r="L122" i="33"/>
  <c r="M122" i="33" s="1"/>
  <c r="G128" i="9" s="1"/>
  <c r="L178" i="33"/>
  <c r="M178" i="33" s="1"/>
  <c r="G184" i="9" s="1"/>
  <c r="L156" i="33"/>
  <c r="M156" i="33" s="1"/>
  <c r="G162" i="9" s="1"/>
  <c r="L243" i="33"/>
  <c r="M243" i="33" s="1"/>
  <c r="G249" i="9" s="1"/>
  <c r="L275" i="33"/>
  <c r="M275" i="33" s="1"/>
  <c r="G281" i="9" s="1"/>
  <c r="L264" i="33"/>
  <c r="M264" i="33" s="1"/>
  <c r="G270" i="9" s="1"/>
  <c r="L246" i="33"/>
  <c r="M246" i="33" s="1"/>
  <c r="G252" i="9" s="1"/>
  <c r="L173" i="33"/>
  <c r="M173" i="33" s="1"/>
  <c r="G179" i="9" s="1"/>
  <c r="L185" i="33"/>
  <c r="M185" i="33" s="1"/>
  <c r="G191" i="9" s="1"/>
  <c r="L218" i="33"/>
  <c r="M218" i="33" s="1"/>
  <c r="G224" i="9" s="1"/>
  <c r="L169" i="33"/>
  <c r="M169" i="33" s="1"/>
  <c r="G175" i="9" s="1"/>
  <c r="L120" i="33"/>
  <c r="M120" i="33" s="1"/>
  <c r="G126" i="9" s="1"/>
  <c r="L88" i="33"/>
  <c r="M88" i="33" s="1"/>
  <c r="G94" i="9" s="1"/>
  <c r="L38" i="33"/>
  <c r="M38" i="33" s="1"/>
  <c r="G44" i="9" s="1"/>
  <c r="L24" i="33"/>
  <c r="M24" i="33" s="1"/>
  <c r="G30" i="9" s="1"/>
  <c r="L6" i="33"/>
  <c r="M6" i="33" s="1"/>
  <c r="I6" i="37"/>
  <c r="G306" i="37" l="1"/>
  <c r="C40" i="40"/>
  <c r="M5" i="11" s="1"/>
  <c r="F12" i="34"/>
  <c r="F6" i="12" s="1"/>
  <c r="I306" i="37"/>
  <c r="M306" i="33"/>
  <c r="C7" i="9" s="1"/>
  <c r="C8" i="9" s="1"/>
  <c r="G12" i="9"/>
  <c r="M250" i="11" l="1"/>
  <c r="M257" i="11"/>
  <c r="M234" i="11"/>
  <c r="M223" i="11"/>
  <c r="M133" i="11"/>
  <c r="M205" i="11"/>
  <c r="M104" i="11"/>
  <c r="M246" i="11"/>
  <c r="M232" i="11"/>
  <c r="M147" i="11"/>
  <c r="M261" i="11"/>
  <c r="M122" i="11"/>
  <c r="M273" i="11"/>
  <c r="M282" i="11"/>
  <c r="M118" i="11"/>
  <c r="M251" i="11"/>
  <c r="M254" i="11"/>
  <c r="M180" i="11"/>
  <c r="M290" i="11"/>
  <c r="M74" i="11"/>
  <c r="M224" i="11"/>
  <c r="M83" i="11"/>
  <c r="M294" i="11"/>
  <c r="M179" i="11"/>
  <c r="M140" i="11"/>
  <c r="M215" i="11"/>
  <c r="M144" i="11"/>
  <c r="M160" i="11"/>
  <c r="M105" i="11"/>
  <c r="M174" i="11"/>
  <c r="M235" i="11"/>
  <c r="M264" i="11"/>
  <c r="M285" i="11"/>
  <c r="M263" i="11"/>
  <c r="M190" i="11"/>
  <c r="M76" i="11"/>
  <c r="M113" i="11"/>
  <c r="M253" i="11"/>
  <c r="M154" i="11"/>
  <c r="M141" i="11"/>
  <c r="M188" i="11"/>
  <c r="M300" i="11"/>
  <c r="M187" i="11"/>
  <c r="M255" i="11"/>
  <c r="M148" i="11"/>
  <c r="M193" i="11"/>
  <c r="M86" i="11"/>
  <c r="M109" i="11"/>
  <c r="M102" i="11"/>
  <c r="M207" i="11"/>
  <c r="M101" i="11"/>
  <c r="M267" i="11"/>
  <c r="M226" i="11"/>
  <c r="M281" i="11"/>
  <c r="M90" i="11"/>
  <c r="M287" i="11"/>
  <c r="M249" i="11"/>
  <c r="M293" i="11"/>
  <c r="M136" i="11"/>
  <c r="M212" i="11"/>
  <c r="M80" i="11"/>
  <c r="M305" i="11"/>
  <c r="M191" i="11"/>
  <c r="M231" i="11"/>
  <c r="M196" i="11"/>
  <c r="M124" i="11"/>
  <c r="M125" i="11"/>
  <c r="M119" i="11"/>
  <c r="M260" i="11"/>
  <c r="M274" i="11"/>
  <c r="M151" i="11"/>
  <c r="M82" i="11"/>
  <c r="M84" i="11"/>
  <c r="M155" i="11"/>
  <c r="M210" i="11"/>
  <c r="M256" i="11"/>
  <c r="M168" i="11"/>
  <c r="M304" i="11"/>
  <c r="M299" i="11"/>
  <c r="M243" i="11"/>
  <c r="M216" i="11"/>
  <c r="M258" i="11"/>
  <c r="M111" i="11"/>
  <c r="M112" i="11"/>
  <c r="M167" i="11"/>
  <c r="M266" i="11"/>
  <c r="M295" i="11"/>
  <c r="M184" i="11"/>
  <c r="M199" i="11"/>
  <c r="M138" i="11"/>
  <c r="M178" i="11"/>
  <c r="M221" i="11"/>
  <c r="M152" i="11"/>
  <c r="M159" i="11"/>
  <c r="M247" i="11"/>
  <c r="M100" i="11"/>
  <c r="M211" i="11"/>
  <c r="M175" i="11"/>
  <c r="M280" i="11"/>
  <c r="M91" i="11"/>
  <c r="M181" i="11"/>
  <c r="M171" i="11"/>
  <c r="M75" i="11"/>
  <c r="M183" i="11"/>
  <c r="M94" i="11"/>
  <c r="M229" i="11"/>
  <c r="M127" i="11"/>
  <c r="M89" i="11"/>
  <c r="M197" i="11"/>
  <c r="M202" i="11"/>
  <c r="M296" i="11"/>
  <c r="M99" i="11"/>
  <c r="M297" i="11"/>
  <c r="M93" i="11"/>
  <c r="M116" i="11"/>
  <c r="M120" i="11"/>
  <c r="M217" i="11"/>
  <c r="M233" i="11"/>
  <c r="M302" i="11"/>
  <c r="M204" i="11"/>
  <c r="M87" i="11"/>
  <c r="M106" i="11"/>
  <c r="M206" i="11"/>
  <c r="M108" i="11"/>
  <c r="M81" i="11"/>
  <c r="M128" i="11"/>
  <c r="M172" i="11"/>
  <c r="M288" i="11"/>
  <c r="M110" i="11"/>
  <c r="M170" i="11"/>
  <c r="M103" i="11"/>
  <c r="M182" i="11"/>
  <c r="M153" i="11"/>
  <c r="M79" i="11"/>
  <c r="M157" i="11"/>
  <c r="M195" i="11"/>
  <c r="M275" i="11"/>
  <c r="M88" i="11"/>
  <c r="M73" i="11"/>
  <c r="M272" i="11"/>
  <c r="M126" i="11"/>
  <c r="M107" i="11"/>
  <c r="M96" i="11"/>
  <c r="M248" i="11"/>
  <c r="M145" i="11"/>
  <c r="M198" i="11"/>
  <c r="M123" i="11"/>
  <c r="M129" i="11"/>
  <c r="M209" i="11"/>
  <c r="M95" i="11"/>
  <c r="M259" i="11"/>
  <c r="M220" i="11"/>
  <c r="M225" i="11"/>
  <c r="M298" i="11"/>
  <c r="M161" i="11"/>
  <c r="M218" i="11"/>
  <c r="M117" i="11"/>
  <c r="M134" i="11"/>
  <c r="M121" i="11"/>
  <c r="M130" i="11"/>
  <c r="M143" i="11"/>
  <c r="M115" i="11"/>
  <c r="M268" i="11"/>
  <c r="M150" i="11"/>
  <c r="M169" i="11"/>
  <c r="M77" i="11"/>
  <c r="M214" i="11"/>
  <c r="M149" i="11"/>
  <c r="M284" i="11"/>
  <c r="M242" i="11"/>
  <c r="M158" i="11"/>
  <c r="M213" i="11"/>
  <c r="M271" i="11"/>
  <c r="M230" i="11"/>
  <c r="M219" i="11"/>
  <c r="M241" i="11"/>
  <c r="M237" i="11"/>
  <c r="M162" i="11"/>
  <c r="M189" i="11"/>
  <c r="M97" i="11"/>
  <c r="M303" i="11"/>
  <c r="M228" i="11"/>
  <c r="M262" i="11"/>
  <c r="M173" i="11"/>
  <c r="M286" i="11"/>
  <c r="M92" i="11"/>
  <c r="M176" i="11"/>
  <c r="M227" i="11"/>
  <c r="M301" i="11"/>
  <c r="M200" i="11"/>
  <c r="M186" i="11"/>
  <c r="M164" i="11"/>
  <c r="M135" i="11"/>
  <c r="M203" i="11"/>
  <c r="M292" i="11"/>
  <c r="M114" i="11"/>
  <c r="M244" i="11"/>
  <c r="M238" i="11"/>
  <c r="M270" i="11"/>
  <c r="M132" i="11"/>
  <c r="M166" i="11"/>
  <c r="M194" i="11"/>
  <c r="M131" i="11"/>
  <c r="M279" i="11"/>
  <c r="M139" i="11"/>
  <c r="M98" i="11"/>
  <c r="M283" i="11"/>
  <c r="M276" i="11"/>
  <c r="M240" i="11"/>
  <c r="M277" i="11"/>
  <c r="M269" i="11"/>
  <c r="M208" i="11"/>
  <c r="M192" i="11"/>
  <c r="M291" i="11"/>
  <c r="M252" i="11"/>
  <c r="M185" i="11"/>
  <c r="M146" i="11"/>
  <c r="M201" i="11"/>
  <c r="M156" i="11"/>
  <c r="M78" i="11"/>
  <c r="M245" i="11"/>
  <c r="M177" i="11"/>
  <c r="M239" i="11"/>
  <c r="M137" i="11"/>
  <c r="M142" i="11"/>
  <c r="M222" i="11"/>
  <c r="M85" i="11"/>
  <c r="M289" i="11"/>
  <c r="M165" i="11"/>
  <c r="M72" i="11"/>
  <c r="M278" i="11"/>
  <c r="M236" i="11"/>
  <c r="M163" i="11"/>
  <c r="M52" i="11"/>
  <c r="M54" i="11"/>
  <c r="M10" i="11"/>
  <c r="M51" i="11"/>
  <c r="M13" i="11"/>
  <c r="M26" i="11"/>
  <c r="M29" i="11"/>
  <c r="M17" i="11"/>
  <c r="M65" i="11"/>
  <c r="M8" i="11"/>
  <c r="M67" i="11"/>
  <c r="M48" i="11"/>
  <c r="M47" i="11"/>
  <c r="M50" i="11"/>
  <c r="M15" i="11"/>
  <c r="M37" i="11"/>
  <c r="M12" i="11"/>
  <c r="M25" i="11"/>
  <c r="M23" i="11"/>
  <c r="M55" i="11"/>
  <c r="M53" i="11"/>
  <c r="M33" i="11"/>
  <c r="M66" i="11"/>
  <c r="M31" i="11"/>
  <c r="M22" i="11"/>
  <c r="M43" i="11"/>
  <c r="M35" i="11"/>
  <c r="M32" i="11"/>
  <c r="M30" i="11"/>
  <c r="M56" i="11"/>
  <c r="M36" i="11"/>
  <c r="M69" i="11"/>
  <c r="M68" i="11"/>
  <c r="M60" i="11"/>
  <c r="M58" i="11"/>
  <c r="M34" i="11"/>
  <c r="M27" i="11"/>
  <c r="M40" i="11"/>
  <c r="M28" i="11"/>
  <c r="M59" i="11"/>
  <c r="M9" i="11"/>
  <c r="M42" i="11"/>
  <c r="M46" i="11"/>
  <c r="M45" i="11"/>
  <c r="M21" i="11"/>
  <c r="M11" i="11"/>
  <c r="M18" i="11"/>
  <c r="M71" i="11"/>
  <c r="M49" i="11"/>
  <c r="M24" i="11"/>
  <c r="M20" i="11"/>
  <c r="M64" i="11"/>
  <c r="M7" i="11"/>
  <c r="M57" i="11"/>
  <c r="M16" i="11"/>
  <c r="M38" i="11"/>
  <c r="M19" i="11"/>
  <c r="M14" i="11"/>
  <c r="M39" i="11"/>
  <c r="M62" i="11"/>
  <c r="M61" i="11"/>
  <c r="M70" i="11"/>
  <c r="M63" i="11"/>
  <c r="M41" i="11"/>
  <c r="M44" i="11"/>
  <c r="M6" i="11"/>
  <c r="M265" i="11"/>
  <c r="C39" i="40"/>
  <c r="H5" i="11" s="1"/>
  <c r="G312" i="9"/>
  <c r="F312" i="34"/>
  <c r="D7" i="9"/>
  <c r="D8" i="9"/>
  <c r="H152" i="11" l="1"/>
  <c r="O152" i="11" s="1"/>
  <c r="H250" i="11"/>
  <c r="H193" i="11"/>
  <c r="O193" i="11" s="1"/>
  <c r="H131" i="11"/>
  <c r="H62" i="11"/>
  <c r="O62" i="11" s="1"/>
  <c r="H296" i="11"/>
  <c r="O296" i="11" s="1"/>
  <c r="H268" i="11"/>
  <c r="H216" i="11"/>
  <c r="O216" i="11" s="1"/>
  <c r="H69" i="11"/>
  <c r="O69" i="11" s="1"/>
  <c r="H179" i="11"/>
  <c r="H158" i="11"/>
  <c r="O158" i="11" s="1"/>
  <c r="H22" i="11"/>
  <c r="H125" i="11"/>
  <c r="O125" i="11" s="1"/>
  <c r="H115" i="11"/>
  <c r="O115" i="11" s="1"/>
  <c r="H128" i="11"/>
  <c r="H98" i="11"/>
  <c r="O98" i="11" s="1"/>
  <c r="H149" i="11"/>
  <c r="O149" i="11" s="1"/>
  <c r="H14" i="11"/>
  <c r="H214" i="11"/>
  <c r="O214" i="11" s="1"/>
  <c r="H281" i="11"/>
  <c r="H55" i="11"/>
  <c r="O55" i="11" s="1"/>
  <c r="H141" i="11"/>
  <c r="O141" i="11" s="1"/>
  <c r="H261" i="11"/>
  <c r="H269" i="11"/>
  <c r="O269" i="11" s="1"/>
  <c r="H164" i="11"/>
  <c r="O164" i="11" s="1"/>
  <c r="H217" i="11"/>
  <c r="H257" i="11"/>
  <c r="O257" i="11" s="1"/>
  <c r="H56" i="11"/>
  <c r="H258" i="11"/>
  <c r="O258" i="11" s="1"/>
  <c r="H298" i="11"/>
  <c r="O298" i="11" s="1"/>
  <c r="H184" i="11"/>
  <c r="H53" i="11"/>
  <c r="O53" i="11" s="1"/>
  <c r="H49" i="11"/>
  <c r="O49" i="11" s="1"/>
  <c r="H255" i="11"/>
  <c r="H54" i="11"/>
  <c r="O54" i="11" s="1"/>
  <c r="H63" i="11"/>
  <c r="H135" i="11"/>
  <c r="O135" i="11" s="1"/>
  <c r="H189" i="11"/>
  <c r="O189" i="11" s="1"/>
  <c r="H90" i="11"/>
  <c r="H83" i="11"/>
  <c r="O83" i="11" s="1"/>
  <c r="H277" i="11"/>
  <c r="O277" i="11" s="1"/>
  <c r="H100" i="11"/>
  <c r="H44" i="11"/>
  <c r="H279" i="11"/>
  <c r="H160" i="11"/>
  <c r="O160" i="11" s="1"/>
  <c r="H235" i="11"/>
  <c r="O235" i="11" s="1"/>
  <c r="H177" i="11"/>
  <c r="H8" i="11"/>
  <c r="O8" i="11" s="1"/>
  <c r="H274" i="11"/>
  <c r="O274" i="11" s="1"/>
  <c r="H234" i="11"/>
  <c r="H247" i="11"/>
  <c r="O247" i="11" s="1"/>
  <c r="H120" i="11"/>
  <c r="H260" i="11"/>
  <c r="O260" i="11" s="1"/>
  <c r="H253" i="11"/>
  <c r="O253" i="11" s="1"/>
  <c r="H222" i="11"/>
  <c r="H65" i="11"/>
  <c r="O65" i="11" s="1"/>
  <c r="H77" i="11"/>
  <c r="O77" i="11" s="1"/>
  <c r="H78" i="11"/>
  <c r="H198" i="11"/>
  <c r="O198" i="11" s="1"/>
  <c r="H167" i="11"/>
  <c r="H159" i="11"/>
  <c r="O159" i="11" s="1"/>
  <c r="H64" i="11"/>
  <c r="O64" i="11" s="1"/>
  <c r="H233" i="11"/>
  <c r="H287" i="11"/>
  <c r="O287" i="11" s="1"/>
  <c r="H215" i="11"/>
  <c r="O215" i="11" s="1"/>
  <c r="H10" i="11"/>
  <c r="H157" i="11"/>
  <c r="O157" i="11" s="1"/>
  <c r="H213" i="11"/>
  <c r="H195" i="11"/>
  <c r="O195" i="11" s="1"/>
  <c r="H74" i="11"/>
  <c r="O74" i="11" s="1"/>
  <c r="H262" i="11"/>
  <c r="H225" i="11"/>
  <c r="O225" i="11" s="1"/>
  <c r="H205" i="11"/>
  <c r="O205" i="11" s="1"/>
  <c r="H191" i="11"/>
  <c r="H127" i="11"/>
  <c r="H109" i="11"/>
  <c r="H96" i="11"/>
  <c r="O96" i="11" s="1"/>
  <c r="H88" i="11"/>
  <c r="O88" i="11" s="1"/>
  <c r="H200" i="11"/>
  <c r="H16" i="11"/>
  <c r="O16" i="11" s="1"/>
  <c r="H304" i="11"/>
  <c r="H99" i="11"/>
  <c r="H39" i="11"/>
  <c r="O39" i="11" s="1"/>
  <c r="H26" i="11"/>
  <c r="H243" i="11"/>
  <c r="O243" i="11" s="1"/>
  <c r="H202" i="11"/>
  <c r="O202" i="11" s="1"/>
  <c r="H34" i="11"/>
  <c r="H13" i="11"/>
  <c r="O13" i="11" s="1"/>
  <c r="H252" i="11"/>
  <c r="O252" i="11" s="1"/>
  <c r="H238" i="11"/>
  <c r="H264" i="11"/>
  <c r="O264" i="11" s="1"/>
  <c r="H89" i="11"/>
  <c r="H208" i="11"/>
  <c r="O208" i="11" s="1"/>
  <c r="H236" i="11"/>
  <c r="O236" i="11" s="1"/>
  <c r="H41" i="11"/>
  <c r="H204" i="11"/>
  <c r="O204" i="11" s="1"/>
  <c r="H122" i="11"/>
  <c r="O122" i="11" s="1"/>
  <c r="H143" i="11"/>
  <c r="H227" i="11"/>
  <c r="O227" i="11" s="1"/>
  <c r="H237" i="11"/>
  <c r="H153" i="11"/>
  <c r="O153" i="11" s="1"/>
  <c r="H188" i="11"/>
  <c r="O188" i="11" s="1"/>
  <c r="H156" i="11"/>
  <c r="H190" i="11"/>
  <c r="O190" i="11" s="1"/>
  <c r="H145" i="11"/>
  <c r="O145" i="11" s="1"/>
  <c r="H92" i="11"/>
  <c r="H289" i="11"/>
  <c r="O289" i="11" s="1"/>
  <c r="H231" i="11"/>
  <c r="H33" i="11"/>
  <c r="O33" i="11" s="1"/>
  <c r="H15" i="11"/>
  <c r="O15" i="11" s="1"/>
  <c r="H93" i="11"/>
  <c r="H73" i="11"/>
  <c r="O73" i="11" s="1"/>
  <c r="H254" i="11"/>
  <c r="O254" i="11" s="1"/>
  <c r="H180" i="11"/>
  <c r="H162" i="11"/>
  <c r="O162" i="11" s="1"/>
  <c r="H185" i="11"/>
  <c r="H7" i="11"/>
  <c r="H147" i="11"/>
  <c r="O147" i="11" s="1"/>
  <c r="H187" i="11"/>
  <c r="H155" i="11"/>
  <c r="H24" i="11"/>
  <c r="O24" i="11" s="1"/>
  <c r="H103" i="11"/>
  <c r="H134" i="11"/>
  <c r="O134" i="11" s="1"/>
  <c r="H283" i="11"/>
  <c r="H223" i="11"/>
  <c r="O223" i="11" s="1"/>
  <c r="H95" i="11"/>
  <c r="O95" i="11" s="1"/>
  <c r="H169" i="11"/>
  <c r="H126" i="11"/>
  <c r="O126" i="11" s="1"/>
  <c r="H207" i="11"/>
  <c r="O207" i="11" s="1"/>
  <c r="H276" i="11"/>
  <c r="H151" i="11"/>
  <c r="O151" i="11" s="1"/>
  <c r="H119" i="11"/>
  <c r="H48" i="11"/>
  <c r="O48" i="11" s="1"/>
  <c r="H288" i="11"/>
  <c r="O288" i="11" s="1"/>
  <c r="H294" i="11"/>
  <c r="H117" i="11"/>
  <c r="O117" i="11" s="1"/>
  <c r="H32" i="11"/>
  <c r="O32" i="11" s="1"/>
  <c r="H210" i="11"/>
  <c r="H212" i="11"/>
  <c r="O212" i="11" s="1"/>
  <c r="H196" i="11"/>
  <c r="H106" i="11"/>
  <c r="H50" i="11"/>
  <c r="O50" i="11" s="1"/>
  <c r="H242" i="11"/>
  <c r="H150" i="11"/>
  <c r="O150" i="11" s="1"/>
  <c r="H43" i="11"/>
  <c r="O43" i="11" s="1"/>
  <c r="H173" i="11"/>
  <c r="H111" i="11"/>
  <c r="O111" i="11" s="1"/>
  <c r="H218" i="11"/>
  <c r="H113" i="11"/>
  <c r="H161" i="11"/>
  <c r="O161" i="11" s="1"/>
  <c r="H121" i="11"/>
  <c r="H67" i="11"/>
  <c r="O67" i="11" s="1"/>
  <c r="H148" i="11"/>
  <c r="H35" i="11"/>
  <c r="H71" i="11"/>
  <c r="O71" i="11" s="1"/>
  <c r="H80" i="11"/>
  <c r="H142" i="11"/>
  <c r="H27" i="11"/>
  <c r="O27" i="11" s="1"/>
  <c r="H197" i="11"/>
  <c r="H102" i="11"/>
  <c r="O102" i="11" s="1"/>
  <c r="H199" i="11"/>
  <c r="O199" i="11" s="1"/>
  <c r="H219" i="11"/>
  <c r="H38" i="11"/>
  <c r="O38" i="11" s="1"/>
  <c r="H116" i="11"/>
  <c r="H263" i="11"/>
  <c r="O263" i="11" s="1"/>
  <c r="H265" i="11"/>
  <c r="O265" i="11" s="1"/>
  <c r="H182" i="11"/>
  <c r="H61" i="11"/>
  <c r="O61" i="11" s="1"/>
  <c r="H286" i="11"/>
  <c r="O286" i="11" s="1"/>
  <c r="H19" i="11"/>
  <c r="H172" i="11"/>
  <c r="O172" i="11" s="1"/>
  <c r="H79" i="11"/>
  <c r="H97" i="11"/>
  <c r="O97" i="11" s="1"/>
  <c r="H291" i="11"/>
  <c r="O291" i="11" s="1"/>
  <c r="H300" i="11"/>
  <c r="H94" i="11"/>
  <c r="O94" i="11" s="1"/>
  <c r="H175" i="11"/>
  <c r="O175" i="11" s="1"/>
  <c r="H114" i="11"/>
  <c r="H280" i="11"/>
  <c r="O280" i="11" s="1"/>
  <c r="H194" i="11"/>
  <c r="H31" i="11"/>
  <c r="O31" i="11" s="1"/>
  <c r="H137" i="11"/>
  <c r="O137" i="11" s="1"/>
  <c r="H299" i="11"/>
  <c r="H267" i="11"/>
  <c r="O267" i="11" s="1"/>
  <c r="H118" i="11"/>
  <c r="H166" i="11"/>
  <c r="H203" i="11"/>
  <c r="O203" i="11" s="1"/>
  <c r="H301" i="11"/>
  <c r="H303" i="11"/>
  <c r="O303" i="11" s="1"/>
  <c r="H224" i="11"/>
  <c r="O224" i="11" s="1"/>
  <c r="H82" i="11"/>
  <c r="H12" i="11"/>
  <c r="O12" i="11" s="1"/>
  <c r="H297" i="11"/>
  <c r="O297" i="11" s="1"/>
  <c r="H138" i="11"/>
  <c r="H259" i="11"/>
  <c r="O259" i="11" s="1"/>
  <c r="H209" i="11"/>
  <c r="H232" i="11"/>
  <c r="O232" i="11" s="1"/>
  <c r="H248" i="11"/>
  <c r="O248" i="11" s="1"/>
  <c r="H256" i="11"/>
  <c r="H66" i="11"/>
  <c r="O66" i="11" s="1"/>
  <c r="H272" i="11"/>
  <c r="O272" i="11" s="1"/>
  <c r="H192" i="11"/>
  <c r="H52" i="11"/>
  <c r="O52" i="11" s="1"/>
  <c r="H20" i="11"/>
  <c r="H136" i="11"/>
  <c r="O136" i="11" s="1"/>
  <c r="H174" i="11"/>
  <c r="O174" i="11" s="1"/>
  <c r="H229" i="11"/>
  <c r="H51" i="11"/>
  <c r="O51" i="11" s="1"/>
  <c r="H282" i="11"/>
  <c r="O282" i="11" s="1"/>
  <c r="H57" i="11"/>
  <c r="H42" i="11"/>
  <c r="O42" i="11" s="1"/>
  <c r="H72" i="11"/>
  <c r="H29" i="11"/>
  <c r="O29" i="11" s="1"/>
  <c r="H17" i="11"/>
  <c r="O17" i="11" s="1"/>
  <c r="H230" i="11"/>
  <c r="H140" i="11"/>
  <c r="O140" i="11" s="1"/>
  <c r="H290" i="11"/>
  <c r="O290" i="11" s="1"/>
  <c r="H76" i="11"/>
  <c r="H87" i="11"/>
  <c r="O87" i="11" s="1"/>
  <c r="H123" i="11"/>
  <c r="H146" i="11"/>
  <c r="O146" i="11" s="1"/>
  <c r="H183" i="11"/>
  <c r="O183" i="11" s="1"/>
  <c r="H40" i="11"/>
  <c r="H110" i="11"/>
  <c r="O110" i="11" s="1"/>
  <c r="H133" i="11"/>
  <c r="O133" i="11" s="1"/>
  <c r="H275" i="11"/>
  <c r="H81" i="11"/>
  <c r="H295" i="11"/>
  <c r="H28" i="11"/>
  <c r="O28" i="11" s="1"/>
  <c r="H186" i="11"/>
  <c r="O186" i="11" s="1"/>
  <c r="H220" i="11"/>
  <c r="H271" i="11"/>
  <c r="O271" i="11" s="1"/>
  <c r="H108" i="11"/>
  <c r="O108" i="11" s="1"/>
  <c r="H239" i="11"/>
  <c r="H246" i="11"/>
  <c r="O246" i="11" s="1"/>
  <c r="H107" i="11"/>
  <c r="H124" i="11"/>
  <c r="O124" i="11" s="1"/>
  <c r="H36" i="11"/>
  <c r="O36" i="11" s="1"/>
  <c r="H226" i="11"/>
  <c r="O226" i="11" s="1"/>
  <c r="H251" i="11"/>
  <c r="O251" i="11" s="1"/>
  <c r="H240" i="11"/>
  <c r="O240" i="11" s="1"/>
  <c r="H47" i="11"/>
  <c r="H23" i="11"/>
  <c r="O23" i="11" s="1"/>
  <c r="H154" i="11"/>
  <c r="H176" i="11"/>
  <c r="O176" i="11" s="1"/>
  <c r="H45" i="11"/>
  <c r="O45" i="11" s="1"/>
  <c r="H85" i="11"/>
  <c r="H130" i="11"/>
  <c r="O130" i="11" s="1"/>
  <c r="G136" i="34" s="1"/>
  <c r="G130" i="12" s="1"/>
  <c r="F130" i="39" s="1"/>
  <c r="H285" i="11"/>
  <c r="O285" i="11" s="1"/>
  <c r="G291" i="34" s="1"/>
  <c r="G285" i="12" s="1"/>
  <c r="F285" i="39" s="1"/>
  <c r="H228" i="11"/>
  <c r="H241" i="11"/>
  <c r="H105" i="11"/>
  <c r="H60" i="11"/>
  <c r="O60" i="11" s="1"/>
  <c r="H211" i="11"/>
  <c r="O211" i="11" s="1"/>
  <c r="H273" i="11"/>
  <c r="H305" i="11"/>
  <c r="O305" i="11" s="1"/>
  <c r="H59" i="11"/>
  <c r="O59" i="11" s="1"/>
  <c r="H302" i="11"/>
  <c r="H249" i="11"/>
  <c r="O249" i="11" s="1"/>
  <c r="H168" i="11"/>
  <c r="H144" i="11"/>
  <c r="O144" i="11" s="1"/>
  <c r="H86" i="11"/>
  <c r="O86" i="11" s="1"/>
  <c r="H201" i="11"/>
  <c r="O201" i="11" s="1"/>
  <c r="H163" i="11"/>
  <c r="O163" i="11" s="1"/>
  <c r="H284" i="11"/>
  <c r="O284" i="11" s="1"/>
  <c r="H170" i="11"/>
  <c r="H278" i="11"/>
  <c r="O278" i="11" s="1"/>
  <c r="H293" i="11"/>
  <c r="H165" i="11"/>
  <c r="O165" i="11" s="1"/>
  <c r="H9" i="11"/>
  <c r="O9" i="11" s="1"/>
  <c r="H266" i="11"/>
  <c r="H46" i="11"/>
  <c r="O46" i="11" s="1"/>
  <c r="H58" i="11"/>
  <c r="O58" i="11" s="1"/>
  <c r="H132" i="11"/>
  <c r="H244" i="11"/>
  <c r="O244" i="11" s="1"/>
  <c r="H30" i="11"/>
  <c r="H37" i="11"/>
  <c r="O37" i="11" s="1"/>
  <c r="H171" i="11"/>
  <c r="O171" i="11" s="1"/>
  <c r="H292" i="11"/>
  <c r="H91" i="11"/>
  <c r="O91" i="11" s="1"/>
  <c r="H21" i="11"/>
  <c r="O21" i="11" s="1"/>
  <c r="G27" i="34" s="1"/>
  <c r="G21" i="12" s="1"/>
  <c r="F21" i="39" s="1"/>
  <c r="H104" i="11"/>
  <c r="H11" i="11"/>
  <c r="O11" i="11" s="1"/>
  <c r="H75" i="11"/>
  <c r="O75" i="11" s="1"/>
  <c r="H178" i="11"/>
  <c r="O178" i="11" s="1"/>
  <c r="H70" i="11"/>
  <c r="O70" i="11" s="1"/>
  <c r="H139" i="11"/>
  <c r="O139" i="11" s="1"/>
  <c r="H84" i="11"/>
  <c r="O84" i="11" s="1"/>
  <c r="H206" i="11"/>
  <c r="O206" i="11" s="1"/>
  <c r="H245" i="11"/>
  <c r="H68" i="11"/>
  <c r="O68" i="11" s="1"/>
  <c r="H18" i="11"/>
  <c r="H25" i="11"/>
  <c r="O25" i="11" s="1"/>
  <c r="H112" i="11"/>
  <c r="O112" i="11" s="1"/>
  <c r="H181" i="11"/>
  <c r="H101" i="11"/>
  <c r="O101" i="11" s="1"/>
  <c r="H221" i="11"/>
  <c r="O221" i="11" s="1"/>
  <c r="H270" i="11"/>
  <c r="H129" i="11"/>
  <c r="O129" i="11" s="1"/>
  <c r="H6" i="11"/>
  <c r="F306" i="12"/>
  <c r="F11" i="34"/>
  <c r="O26" i="11"/>
  <c r="O34" i="11"/>
  <c r="O192" i="11"/>
  <c r="O20" i="11"/>
  <c r="O169" i="11"/>
  <c r="O154" i="11"/>
  <c r="O89" i="11"/>
  <c r="O231" i="11"/>
  <c r="O93" i="11"/>
  <c r="O255" i="11"/>
  <c r="O63" i="11"/>
  <c r="O127" i="11"/>
  <c r="O118" i="11"/>
  <c r="O79" i="11"/>
  <c r="O7" i="11"/>
  <c r="O103" i="11"/>
  <c r="G109" i="34" s="1"/>
  <c r="G103" i="12" s="1"/>
  <c r="F103" i="39" s="1"/>
  <c r="O239" i="11"/>
  <c r="O107" i="11"/>
  <c r="O47" i="11"/>
  <c r="O173" i="11"/>
  <c r="O191" i="11"/>
  <c r="O109" i="11"/>
  <c r="O210" i="11"/>
  <c r="O245" i="11"/>
  <c r="O80" i="11"/>
  <c r="O142" i="11"/>
  <c r="O197" i="11"/>
  <c r="O132" i="11"/>
  <c r="O30" i="11"/>
  <c r="O104" i="11"/>
  <c r="O56" i="11"/>
  <c r="O194" i="11"/>
  <c r="O180" i="11"/>
  <c r="O200" i="11"/>
  <c r="O170" i="11"/>
  <c r="O41" i="11"/>
  <c r="O196" i="11"/>
  <c r="O57" i="11"/>
  <c r="O250" i="11"/>
  <c r="O82" i="11"/>
  <c r="O138" i="11"/>
  <c r="O99" i="11"/>
  <c r="O128" i="11"/>
  <c r="O14" i="11"/>
  <c r="O238" i="11"/>
  <c r="O281" i="11"/>
  <c r="O261" i="11"/>
  <c r="O10" i="11"/>
  <c r="O213" i="11"/>
  <c r="O230" i="11"/>
  <c r="O76" i="11"/>
  <c r="O116" i="11"/>
  <c r="O218" i="11"/>
  <c r="O113" i="11"/>
  <c r="O121" i="11"/>
  <c r="O168" i="11"/>
  <c r="O293" i="11"/>
  <c r="O237" i="11"/>
  <c r="O22" i="11"/>
  <c r="O72" i="11"/>
  <c r="O40" i="11"/>
  <c r="O275" i="11"/>
  <c r="O81" i="11"/>
  <c r="O295" i="11"/>
  <c r="O220" i="11"/>
  <c r="O222" i="11"/>
  <c r="O78" i="11"/>
  <c r="O167" i="11"/>
  <c r="O234" i="11"/>
  <c r="O156" i="11"/>
  <c r="O92" i="11"/>
  <c r="O241" i="11"/>
  <c r="O105" i="11"/>
  <c r="O90" i="11"/>
  <c r="O304" i="11"/>
  <c r="O18" i="11"/>
  <c r="O131" i="11"/>
  <c r="O268" i="11"/>
  <c r="O276" i="11"/>
  <c r="O119" i="11"/>
  <c r="O120" i="11"/>
  <c r="O294" i="11"/>
  <c r="O35" i="11"/>
  <c r="O219" i="11"/>
  <c r="O300" i="11"/>
  <c r="O184" i="11"/>
  <c r="O273" i="11"/>
  <c r="O302" i="11"/>
  <c r="O100" i="11"/>
  <c r="O279" i="11"/>
  <c r="O177" i="11"/>
  <c r="O182" i="11"/>
  <c r="O19" i="11"/>
  <c r="O262" i="11"/>
  <c r="O181" i="11"/>
  <c r="O6" i="11"/>
  <c r="G12" i="34" s="1"/>
  <c r="O85" i="11"/>
  <c r="O292" i="11"/>
  <c r="O44" i="11"/>
  <c r="O301" i="11"/>
  <c r="O256" i="11"/>
  <c r="O283" i="11"/>
  <c r="O166" i="11"/>
  <c r="O233" i="11"/>
  <c r="O266" i="11"/>
  <c r="O185" i="11"/>
  <c r="O179" i="11"/>
  <c r="O242" i="11"/>
  <c r="O106" i="11"/>
  <c r="O123" i="11"/>
  <c r="O148" i="11"/>
  <c r="O217" i="11"/>
  <c r="O187" i="11"/>
  <c r="O299" i="11"/>
  <c r="M306" i="11"/>
  <c r="O229" i="11"/>
  <c r="O209" i="11"/>
  <c r="O143" i="11"/>
  <c r="O270" i="11"/>
  <c r="O228" i="11"/>
  <c r="O114" i="11"/>
  <c r="F34" i="48"/>
  <c r="H11" i="9"/>
  <c r="B21" i="48" l="1"/>
  <c r="H12" i="9"/>
  <c r="G6" i="12"/>
  <c r="F6" i="39" s="1"/>
  <c r="G214" i="34"/>
  <c r="G208" i="12" s="1"/>
  <c r="F208" i="39" s="1"/>
  <c r="G281" i="34"/>
  <c r="G275" i="12" s="1"/>
  <c r="F275" i="39" s="1"/>
  <c r="G93" i="34"/>
  <c r="G87" i="12" s="1"/>
  <c r="F87" i="39" s="1"/>
  <c r="G82" i="34"/>
  <c r="G76" i="12" s="1"/>
  <c r="F76" i="39" s="1"/>
  <c r="G244" i="34"/>
  <c r="G238" i="12" s="1"/>
  <c r="F238" i="39" s="1"/>
  <c r="G144" i="34"/>
  <c r="G138" i="12" s="1"/>
  <c r="F138" i="39" s="1"/>
  <c r="G263" i="34"/>
  <c r="G257" i="12" s="1"/>
  <c r="F257" i="39" s="1"/>
  <c r="G81" i="34"/>
  <c r="G75" i="12" s="1"/>
  <c r="F75" i="39" s="1"/>
  <c r="G42" i="34"/>
  <c r="G36" i="12" s="1"/>
  <c r="F36" i="39" s="1"/>
  <c r="G55" i="34"/>
  <c r="G49" i="12" s="1"/>
  <c r="F49" i="39" s="1"/>
  <c r="G72" i="34"/>
  <c r="G66" i="12" s="1"/>
  <c r="F66" i="39" s="1"/>
  <c r="G299" i="34"/>
  <c r="G293" i="12" s="1"/>
  <c r="F293" i="39" s="1"/>
  <c r="G235" i="34"/>
  <c r="G229" i="12" s="1"/>
  <c r="F229" i="39" s="1"/>
  <c r="G154" i="34"/>
  <c r="G148" i="12" s="1"/>
  <c r="F148" i="39" s="1"/>
  <c r="G130" i="34"/>
  <c r="G124" i="12" s="1"/>
  <c r="F124" i="39" s="1"/>
  <c r="G142" i="34"/>
  <c r="G136" i="12" s="1"/>
  <c r="F136" i="39" s="1"/>
  <c r="G273" i="34"/>
  <c r="G267" i="12" s="1"/>
  <c r="F267" i="39" s="1"/>
  <c r="G118" i="34"/>
  <c r="G112" i="12" s="1"/>
  <c r="F112" i="39" s="1"/>
  <c r="G292" i="34"/>
  <c r="G286" i="12" s="1"/>
  <c r="F286" i="39" s="1"/>
  <c r="G241" i="34"/>
  <c r="G235" i="12" s="1"/>
  <c r="F235" i="39" s="1"/>
  <c r="G279" i="34"/>
  <c r="G273" i="12" s="1"/>
  <c r="F273" i="39" s="1"/>
  <c r="G205" i="34"/>
  <c r="G199" i="12" s="1"/>
  <c r="F199" i="39" s="1"/>
  <c r="G38" i="34"/>
  <c r="G32" i="12" s="1"/>
  <c r="F32" i="39" s="1"/>
  <c r="G282" i="34"/>
  <c r="G276" i="12" s="1"/>
  <c r="F276" i="39" s="1"/>
  <c r="G68" i="34"/>
  <c r="G62" i="12" s="1"/>
  <c r="F62" i="39" s="1"/>
  <c r="G121" i="34"/>
  <c r="G115" i="12" s="1"/>
  <c r="F115" i="39" s="1"/>
  <c r="G196" i="34"/>
  <c r="G190" i="12" s="1"/>
  <c r="F190" i="39" s="1"/>
  <c r="G192" i="34"/>
  <c r="G186" i="12" s="1"/>
  <c r="F186" i="39" s="1"/>
  <c r="G301" i="34"/>
  <c r="G295" i="12" s="1"/>
  <c r="F295" i="39" s="1"/>
  <c r="G28" i="34"/>
  <c r="G22" i="12" s="1"/>
  <c r="F22" i="39" s="1"/>
  <c r="G210" i="34"/>
  <c r="G204" i="12" s="1"/>
  <c r="F204" i="39" s="1"/>
  <c r="G224" i="34"/>
  <c r="G218" i="12" s="1"/>
  <c r="F218" i="39" s="1"/>
  <c r="G163" i="34"/>
  <c r="G157" i="12" s="1"/>
  <c r="G287" i="34"/>
  <c r="G281" i="12" s="1"/>
  <c r="F281" i="39" s="1"/>
  <c r="G270" i="34"/>
  <c r="G264" i="12" s="1"/>
  <c r="F264" i="39" s="1"/>
  <c r="G256" i="34"/>
  <c r="G250" i="12" s="1"/>
  <c r="F250" i="39" s="1"/>
  <c r="G171" i="34"/>
  <c r="G165" i="12" s="1"/>
  <c r="G186" i="34"/>
  <c r="G180" i="12" s="1"/>
  <c r="F180" i="39" s="1"/>
  <c r="G242" i="34"/>
  <c r="G236" i="12" s="1"/>
  <c r="F236" i="39" s="1"/>
  <c r="G110" i="34"/>
  <c r="G104" i="12" s="1"/>
  <c r="F104" i="39" s="1"/>
  <c r="G250" i="34"/>
  <c r="G244" i="12" s="1"/>
  <c r="F244" i="39" s="1"/>
  <c r="G86" i="34"/>
  <c r="G80" i="12" s="1"/>
  <c r="F80" i="39" s="1"/>
  <c r="G216" i="34"/>
  <c r="G210" i="12" s="1"/>
  <c r="F210" i="39" s="1"/>
  <c r="G101" i="34"/>
  <c r="G95" i="12" s="1"/>
  <c r="F95" i="39" s="1"/>
  <c r="G76" i="34"/>
  <c r="G70" i="12" s="1"/>
  <c r="F70" i="39" s="1"/>
  <c r="G232" i="34"/>
  <c r="G226" i="12" s="1"/>
  <c r="F226" i="39" s="1"/>
  <c r="G85" i="34"/>
  <c r="G79" i="12" s="1"/>
  <c r="F79" i="39" s="1"/>
  <c r="G207" i="34"/>
  <c r="G201" i="12" s="1"/>
  <c r="G60" i="34"/>
  <c r="G54" i="12" s="1"/>
  <c r="F54" i="39" s="1"/>
  <c r="G237" i="34"/>
  <c r="G231" i="12" s="1"/>
  <c r="F231" i="39" s="1"/>
  <c r="G288" i="34"/>
  <c r="G282" i="12" s="1"/>
  <c r="F282" i="39" s="1"/>
  <c r="G198" i="34"/>
  <c r="G192" i="12" s="1"/>
  <c r="F192" i="39" s="1"/>
  <c r="G249" i="34"/>
  <c r="G243" i="12" s="1"/>
  <c r="F243" i="39" s="1"/>
  <c r="G289" i="34"/>
  <c r="G283" i="12" s="1"/>
  <c r="F283" i="39" s="1"/>
  <c r="G183" i="34"/>
  <c r="G177" i="12" s="1"/>
  <c r="G157" i="34"/>
  <c r="G151" i="12" s="1"/>
  <c r="F151" i="39" s="1"/>
  <c r="G34" i="34"/>
  <c r="G28" i="12" s="1"/>
  <c r="F28" i="39" s="1"/>
  <c r="G219" i="34"/>
  <c r="G213" i="12" s="1"/>
  <c r="F213" i="39" s="1"/>
  <c r="G309" i="34"/>
  <c r="G303" i="12" s="1"/>
  <c r="F303" i="39" s="1"/>
  <c r="G36" i="34"/>
  <c r="G30" i="12" s="1"/>
  <c r="F30" i="39" s="1"/>
  <c r="G197" i="34"/>
  <c r="G191" i="12" s="1"/>
  <c r="F191" i="39" s="1"/>
  <c r="G140" i="34"/>
  <c r="G134" i="12" s="1"/>
  <c r="F134" i="39" s="1"/>
  <c r="G208" i="34"/>
  <c r="G202" i="12" s="1"/>
  <c r="F202" i="39" s="1"/>
  <c r="G45" i="34"/>
  <c r="G39" i="12" s="1"/>
  <c r="F39" i="39" s="1"/>
  <c r="G180" i="34"/>
  <c r="G174" i="12" s="1"/>
  <c r="F174" i="39" s="1"/>
  <c r="G50" i="34"/>
  <c r="G44" i="12" s="1"/>
  <c r="F44" i="39" s="1"/>
  <c r="G166" i="34"/>
  <c r="G160" i="12" s="1"/>
  <c r="F160" i="39" s="1"/>
  <c r="G283" i="34"/>
  <c r="G277" i="12" s="1"/>
  <c r="F277" i="39" s="1"/>
  <c r="G124" i="34"/>
  <c r="G118" i="12" s="1"/>
  <c r="F118" i="39" s="1"/>
  <c r="G129" i="34"/>
  <c r="G123" i="12" s="1"/>
  <c r="F123" i="39" s="1"/>
  <c r="G285" i="34"/>
  <c r="G279" i="12" s="1"/>
  <c r="F279" i="39" s="1"/>
  <c r="G97" i="34"/>
  <c r="G91" i="12" s="1"/>
  <c r="F91" i="39" s="1"/>
  <c r="G234" i="34"/>
  <c r="G228" i="12" s="1"/>
  <c r="F228" i="39" s="1"/>
  <c r="G89" i="34"/>
  <c r="G83" i="12" s="1"/>
  <c r="F83" i="39" s="1"/>
  <c r="G239" i="34"/>
  <c r="G233" i="12" s="1"/>
  <c r="F233" i="39" s="1"/>
  <c r="G258" i="34"/>
  <c r="G252" i="12" s="1"/>
  <c r="F252" i="39" s="1"/>
  <c r="G290" i="34"/>
  <c r="G284" i="12" s="1"/>
  <c r="F284" i="39" s="1"/>
  <c r="G215" i="34"/>
  <c r="G209" i="12" s="1"/>
  <c r="F209" i="39" s="1"/>
  <c r="G112" i="34"/>
  <c r="G106" i="12" s="1"/>
  <c r="F106" i="39" s="1"/>
  <c r="G158" i="34"/>
  <c r="G152" i="12" s="1"/>
  <c r="F152" i="39" s="1"/>
  <c r="G187" i="34"/>
  <c r="G181" i="12" s="1"/>
  <c r="F181" i="39" s="1"/>
  <c r="G264" i="34"/>
  <c r="G258" i="12" s="1"/>
  <c r="F258" i="39" s="1"/>
  <c r="G151" i="34"/>
  <c r="G145" i="12" s="1"/>
  <c r="G286" i="34"/>
  <c r="G280" i="12" s="1"/>
  <c r="F280" i="39" s="1"/>
  <c r="G31" i="34"/>
  <c r="G25" i="12" s="1"/>
  <c r="G217" i="34"/>
  <c r="G211" i="12" s="1"/>
  <c r="F211" i="39" s="1"/>
  <c r="G213" i="34"/>
  <c r="G207" i="12" s="1"/>
  <c r="F207" i="39" s="1"/>
  <c r="G162" i="34"/>
  <c r="G156" i="12" s="1"/>
  <c r="F156" i="39" s="1"/>
  <c r="G44" i="34"/>
  <c r="G38" i="12" s="1"/>
  <c r="F38" i="39" s="1"/>
  <c r="G16" i="34"/>
  <c r="G10" i="12" s="1"/>
  <c r="F10" i="39" s="1"/>
  <c r="G63" i="34"/>
  <c r="G57" i="12" s="1"/>
  <c r="G62" i="34"/>
  <c r="G56" i="12" s="1"/>
  <c r="F56" i="39" s="1"/>
  <c r="G15" i="34"/>
  <c r="G9" i="12" s="1"/>
  <c r="G57" i="34"/>
  <c r="G51" i="12" s="1"/>
  <c r="F51" i="39" s="1"/>
  <c r="G199" i="34"/>
  <c r="G193" i="12" s="1"/>
  <c r="F193" i="39" s="1"/>
  <c r="G262" i="34"/>
  <c r="G256" i="12" s="1"/>
  <c r="F256" i="39" s="1"/>
  <c r="G188" i="34"/>
  <c r="G182" i="12" s="1"/>
  <c r="F182" i="39" s="1"/>
  <c r="G84" i="34"/>
  <c r="G78" i="12" s="1"/>
  <c r="F78" i="39" s="1"/>
  <c r="G103" i="34"/>
  <c r="G97" i="12" s="1"/>
  <c r="G131" i="34"/>
  <c r="G125" i="12" s="1"/>
  <c r="G49" i="34"/>
  <c r="G43" i="12" s="1"/>
  <c r="F43" i="39" s="1"/>
  <c r="G74" i="34"/>
  <c r="G68" i="12" s="1"/>
  <c r="F68" i="39" s="1"/>
  <c r="G172" i="34"/>
  <c r="G166" i="12" s="1"/>
  <c r="F166" i="39" s="1"/>
  <c r="G107" i="34"/>
  <c r="G101" i="12" s="1"/>
  <c r="G35" i="34"/>
  <c r="G29" i="12" s="1"/>
  <c r="F29" i="39" s="1"/>
  <c r="G114" i="34"/>
  <c r="G108" i="12" s="1"/>
  <c r="F108" i="39" s="1"/>
  <c r="G106" i="34"/>
  <c r="G100" i="12" s="1"/>
  <c r="F100" i="39" s="1"/>
  <c r="G59" i="34"/>
  <c r="G53" i="12" s="1"/>
  <c r="G100" i="34"/>
  <c r="G94" i="12" s="1"/>
  <c r="F94" i="39" s="1"/>
  <c r="G126" i="34"/>
  <c r="G120" i="12" s="1"/>
  <c r="F120" i="39" s="1"/>
  <c r="G75" i="34"/>
  <c r="G69" i="12" s="1"/>
  <c r="G24" i="34"/>
  <c r="G18" i="12" s="1"/>
  <c r="F18" i="39" s="1"/>
  <c r="G70" i="34"/>
  <c r="G64" i="12" s="1"/>
  <c r="F64" i="39" s="1"/>
  <c r="G71" i="34"/>
  <c r="G65" i="12" s="1"/>
  <c r="G116" i="34"/>
  <c r="G110" i="12" s="1"/>
  <c r="F110" i="39" s="1"/>
  <c r="G212" i="34"/>
  <c r="G206" i="12" s="1"/>
  <c r="F206" i="39" s="1"/>
  <c r="G174" i="34"/>
  <c r="G168" i="12" s="1"/>
  <c r="F168" i="39" s="1"/>
  <c r="G146" i="34"/>
  <c r="G140" i="12" s="1"/>
  <c r="F140" i="39" s="1"/>
  <c r="G269" i="34"/>
  <c r="G263" i="12" s="1"/>
  <c r="F263" i="39" s="1"/>
  <c r="G20" i="34"/>
  <c r="G14" i="12" s="1"/>
  <c r="F14" i="39" s="1"/>
  <c r="G18" i="34"/>
  <c r="G12" i="12" s="1"/>
  <c r="F12" i="39" s="1"/>
  <c r="G168" i="34"/>
  <c r="G162" i="12" s="1"/>
  <c r="F162" i="39" s="1"/>
  <c r="G255" i="34"/>
  <c r="G249" i="12" s="1"/>
  <c r="F249" i="39" s="1"/>
  <c r="G143" i="34"/>
  <c r="G137" i="12" s="1"/>
  <c r="G170" i="34"/>
  <c r="G164" i="12" s="1"/>
  <c r="F164" i="39" s="1"/>
  <c r="G132" i="34"/>
  <c r="G126" i="12" s="1"/>
  <c r="F126" i="39" s="1"/>
  <c r="G108" i="34"/>
  <c r="G102" i="12" s="1"/>
  <c r="F102" i="39" s="1"/>
  <c r="G297" i="34"/>
  <c r="G291" i="12" s="1"/>
  <c r="F291" i="39" s="1"/>
  <c r="G29" i="34"/>
  <c r="G23" i="12" s="1"/>
  <c r="F23" i="39" s="1"/>
  <c r="G113" i="34"/>
  <c r="G107" i="12" s="1"/>
  <c r="F107" i="39" s="1"/>
  <c r="G153" i="34"/>
  <c r="G147" i="12" s="1"/>
  <c r="F147" i="39" s="1"/>
  <c r="G194" i="34"/>
  <c r="G188" i="12" s="1"/>
  <c r="F188" i="39" s="1"/>
  <c r="G133" i="34"/>
  <c r="G127" i="12" s="1"/>
  <c r="F127" i="39" s="1"/>
  <c r="G51" i="34"/>
  <c r="G45" i="12" s="1"/>
  <c r="F45" i="39" s="1"/>
  <c r="G139" i="34"/>
  <c r="G133" i="12" s="1"/>
  <c r="G307" i="34"/>
  <c r="G301" i="12" s="1"/>
  <c r="F301" i="39" s="1"/>
  <c r="G311" i="34"/>
  <c r="G305" i="12" s="1"/>
  <c r="F305" i="39" s="1"/>
  <c r="G302" i="34"/>
  <c r="G296" i="12" s="1"/>
  <c r="F296" i="39" s="1"/>
  <c r="G204" i="34"/>
  <c r="G198" i="12" s="1"/>
  <c r="F198" i="39" s="1"/>
  <c r="G243" i="34"/>
  <c r="G237" i="12" s="1"/>
  <c r="F237" i="39" s="1"/>
  <c r="G61" i="34"/>
  <c r="G55" i="12" s="1"/>
  <c r="F55" i="39" s="1"/>
  <c r="G47" i="34"/>
  <c r="G41" i="12" s="1"/>
  <c r="G17" i="34"/>
  <c r="G11" i="12" s="1"/>
  <c r="F11" i="39" s="1"/>
  <c r="G251" i="34"/>
  <c r="G245" i="12" s="1"/>
  <c r="F245" i="39" s="1"/>
  <c r="G257" i="34"/>
  <c r="G251" i="12" s="1"/>
  <c r="F251" i="39" s="1"/>
  <c r="G284" i="34"/>
  <c r="G278" i="12" s="1"/>
  <c r="F278" i="39" s="1"/>
  <c r="G39" i="34"/>
  <c r="G33" i="12" s="1"/>
  <c r="F33" i="39" s="1"/>
  <c r="G238" i="34"/>
  <c r="G232" i="12" s="1"/>
  <c r="F232" i="39" s="1"/>
  <c r="G152" i="34"/>
  <c r="G146" i="12" s="1"/>
  <c r="F146" i="39" s="1"/>
  <c r="G209" i="34"/>
  <c r="G203" i="12" s="1"/>
  <c r="F203" i="39" s="1"/>
  <c r="G137" i="34"/>
  <c r="G131" i="12" s="1"/>
  <c r="F131" i="39" s="1"/>
  <c r="G87" i="34"/>
  <c r="G81" i="12" s="1"/>
  <c r="G122" i="34"/>
  <c r="G116" i="12" s="1"/>
  <c r="F116" i="39" s="1"/>
  <c r="G105" i="34"/>
  <c r="G99" i="12" s="1"/>
  <c r="F99" i="39" s="1"/>
  <c r="G176" i="34"/>
  <c r="G170" i="12" s="1"/>
  <c r="F170" i="39" s="1"/>
  <c r="G260" i="34"/>
  <c r="G254" i="12" s="1"/>
  <c r="F254" i="39" s="1"/>
  <c r="G138" i="34"/>
  <c r="G132" i="12" s="1"/>
  <c r="F132" i="39" s="1"/>
  <c r="G179" i="34"/>
  <c r="G173" i="12" s="1"/>
  <c r="F173" i="39" s="1"/>
  <c r="G184" i="34"/>
  <c r="G178" i="12" s="1"/>
  <c r="F178" i="39" s="1"/>
  <c r="G30" i="34"/>
  <c r="G24" i="12" s="1"/>
  <c r="F24" i="39" s="1"/>
  <c r="G261" i="34"/>
  <c r="G255" i="12" s="1"/>
  <c r="F255" i="39" s="1"/>
  <c r="G32" i="34"/>
  <c r="G26" i="12" s="1"/>
  <c r="F26" i="39" s="1"/>
  <c r="G265" i="34"/>
  <c r="G259" i="12" s="1"/>
  <c r="F259" i="39" s="1"/>
  <c r="G272" i="34"/>
  <c r="G266" i="12" s="1"/>
  <c r="F266" i="39" s="1"/>
  <c r="G91" i="34"/>
  <c r="G85" i="12" s="1"/>
  <c r="G268" i="34"/>
  <c r="G262" i="12" s="1"/>
  <c r="F262" i="39" s="1"/>
  <c r="G300" i="34"/>
  <c r="G294" i="12" s="1"/>
  <c r="F294" i="39" s="1"/>
  <c r="G240" i="34"/>
  <c r="G234" i="12" s="1"/>
  <c r="F234" i="39" s="1"/>
  <c r="G223" i="34"/>
  <c r="G217" i="12" s="1"/>
  <c r="F217" i="39" s="1"/>
  <c r="G102" i="34"/>
  <c r="G96" i="12" s="1"/>
  <c r="F96" i="39" s="1"/>
  <c r="G296" i="34"/>
  <c r="G290" i="12" s="1"/>
  <c r="F290" i="39" s="1"/>
  <c r="G83" i="34"/>
  <c r="G77" i="12" s="1"/>
  <c r="G293" i="34"/>
  <c r="G287" i="12" s="1"/>
  <c r="F287" i="39" s="1"/>
  <c r="G298" i="34"/>
  <c r="G292" i="12" s="1"/>
  <c r="F292" i="39" s="1"/>
  <c r="G231" i="34"/>
  <c r="G225" i="12" s="1"/>
  <c r="F225" i="39" s="1"/>
  <c r="G178" i="34"/>
  <c r="G172" i="12" s="1"/>
  <c r="F172" i="39" s="1"/>
  <c r="G280" i="34"/>
  <c r="G274" i="12" s="1"/>
  <c r="F274" i="39" s="1"/>
  <c r="G308" i="34"/>
  <c r="G302" i="12" s="1"/>
  <c r="F302" i="39" s="1"/>
  <c r="G190" i="34"/>
  <c r="G184" i="12" s="1"/>
  <c r="F184" i="39" s="1"/>
  <c r="G306" i="34"/>
  <c r="G300" i="12" s="1"/>
  <c r="F300" i="39" s="1"/>
  <c r="G54" i="34"/>
  <c r="G48" i="12" s="1"/>
  <c r="F48" i="39" s="1"/>
  <c r="G222" i="34"/>
  <c r="G216" i="12" s="1"/>
  <c r="F216" i="39" s="1"/>
  <c r="G310" i="34"/>
  <c r="G304" i="12" s="1"/>
  <c r="F304" i="39" s="1"/>
  <c r="G295" i="34"/>
  <c r="G289" i="12" s="1"/>
  <c r="F289" i="39" s="1"/>
  <c r="G165" i="34"/>
  <c r="G159" i="12" s="1"/>
  <c r="F159" i="39" s="1"/>
  <c r="G228" i="34"/>
  <c r="G222" i="12" s="1"/>
  <c r="F222" i="39" s="1"/>
  <c r="G46" i="34"/>
  <c r="G40" i="12" s="1"/>
  <c r="F40" i="39" s="1"/>
  <c r="G56" i="34"/>
  <c r="G50" i="12" s="1"/>
  <c r="F50" i="39" s="1"/>
  <c r="G66" i="34"/>
  <c r="G60" i="12" s="1"/>
  <c r="F60" i="39" s="1"/>
  <c r="G236" i="34"/>
  <c r="G230" i="12" s="1"/>
  <c r="F230" i="39" s="1"/>
  <c r="G267" i="34"/>
  <c r="G261" i="12" s="1"/>
  <c r="F261" i="39" s="1"/>
  <c r="G155" i="34"/>
  <c r="G149" i="12" s="1"/>
  <c r="G88" i="34"/>
  <c r="G82" i="12" s="1"/>
  <c r="F82" i="39" s="1"/>
  <c r="G202" i="34"/>
  <c r="G196" i="12" s="1"/>
  <c r="F196" i="39" s="1"/>
  <c r="G167" i="34"/>
  <c r="G161" i="12" s="1"/>
  <c r="G37" i="34"/>
  <c r="G31" i="12" s="1"/>
  <c r="F31" i="39" s="1"/>
  <c r="G275" i="34"/>
  <c r="G269" i="12" s="1"/>
  <c r="F269" i="39" s="1"/>
  <c r="G177" i="34"/>
  <c r="G171" i="12" s="1"/>
  <c r="F171" i="39" s="1"/>
  <c r="G203" i="34"/>
  <c r="G197" i="12" s="1"/>
  <c r="G73" i="34"/>
  <c r="G67" i="12" s="1"/>
  <c r="F67" i="39" s="1"/>
  <c r="G94" i="34"/>
  <c r="G88" i="12" s="1"/>
  <c r="F88" i="39" s="1"/>
  <c r="G52" i="34"/>
  <c r="G46" i="12" s="1"/>
  <c r="F46" i="39" s="1"/>
  <c r="G53" i="34"/>
  <c r="G47" i="12" s="1"/>
  <c r="F47" i="39" s="1"/>
  <c r="G252" i="34"/>
  <c r="G246" i="12" s="1"/>
  <c r="F246" i="39" s="1"/>
  <c r="G13" i="34"/>
  <c r="G7" i="12" s="1"/>
  <c r="F7" i="39" s="1"/>
  <c r="G229" i="34"/>
  <c r="G223" i="12" s="1"/>
  <c r="F223" i="39" s="1"/>
  <c r="G117" i="34"/>
  <c r="G111" i="12" s="1"/>
  <c r="F111" i="39" s="1"/>
  <c r="G99" i="34"/>
  <c r="G93" i="12" s="1"/>
  <c r="G182" i="34"/>
  <c r="G176" i="12" s="1"/>
  <c r="F176" i="39" s="1"/>
  <c r="G175" i="34"/>
  <c r="G169" i="12" s="1"/>
  <c r="G19" i="34"/>
  <c r="G13" i="12" s="1"/>
  <c r="F13" i="39" s="1"/>
  <c r="G305" i="34"/>
  <c r="G299" i="12" s="1"/>
  <c r="F299" i="39" s="1"/>
  <c r="G294" i="34"/>
  <c r="G288" i="12" s="1"/>
  <c r="F288" i="39" s="1"/>
  <c r="G25" i="34"/>
  <c r="G19" i="12" s="1"/>
  <c r="F19" i="39" s="1"/>
  <c r="G41" i="34"/>
  <c r="G35" i="12" s="1"/>
  <c r="F35" i="39" s="1"/>
  <c r="G96" i="34"/>
  <c r="G90" i="12" s="1"/>
  <c r="F90" i="39" s="1"/>
  <c r="G78" i="34"/>
  <c r="G72" i="12" s="1"/>
  <c r="F72" i="39" s="1"/>
  <c r="G119" i="34"/>
  <c r="G113" i="12" s="1"/>
  <c r="G134" i="34"/>
  <c r="G128" i="12" s="1"/>
  <c r="F128" i="39" s="1"/>
  <c r="G195" i="34"/>
  <c r="G189" i="12" s="1"/>
  <c r="F189" i="39" s="1"/>
  <c r="G148" i="34"/>
  <c r="G142" i="12" s="1"/>
  <c r="F142" i="39" s="1"/>
  <c r="G145" i="34"/>
  <c r="G139" i="12" s="1"/>
  <c r="F139" i="39" s="1"/>
  <c r="G48" i="34"/>
  <c r="G42" i="12" s="1"/>
  <c r="F42" i="39" s="1"/>
  <c r="G69" i="34"/>
  <c r="G63" i="12" s="1"/>
  <c r="F63" i="39" s="1"/>
  <c r="G58" i="34"/>
  <c r="G52" i="12" s="1"/>
  <c r="F52" i="39" s="1"/>
  <c r="G271" i="34"/>
  <c r="G265" i="12" s="1"/>
  <c r="F265" i="39" s="1"/>
  <c r="G193" i="34"/>
  <c r="G187" i="12" s="1"/>
  <c r="F187" i="39" s="1"/>
  <c r="G233" i="34"/>
  <c r="G227" i="12" s="1"/>
  <c r="F227" i="39" s="1"/>
  <c r="G211" i="34"/>
  <c r="G205" i="12" s="1"/>
  <c r="F205" i="39" s="1"/>
  <c r="G253" i="34"/>
  <c r="G247" i="12" s="1"/>
  <c r="F247" i="39" s="1"/>
  <c r="G67" i="34"/>
  <c r="G61" i="12" s="1"/>
  <c r="G123" i="34"/>
  <c r="G117" i="12" s="1"/>
  <c r="G111" i="34"/>
  <c r="G105" i="12" s="1"/>
  <c r="G135" i="34"/>
  <c r="G129" i="12" s="1"/>
  <c r="G220" i="34"/>
  <c r="G214" i="12" s="1"/>
  <c r="F214" i="39" s="1"/>
  <c r="G77" i="34"/>
  <c r="G71" i="12" s="1"/>
  <c r="F71" i="39" s="1"/>
  <c r="G64" i="34"/>
  <c r="G58" i="12" s="1"/>
  <c r="F58" i="39" s="1"/>
  <c r="G22" i="34"/>
  <c r="G16" i="12" s="1"/>
  <c r="F16" i="39" s="1"/>
  <c r="G95" i="34"/>
  <c r="G89" i="12" s="1"/>
  <c r="G278" i="34"/>
  <c r="G272" i="12" s="1"/>
  <c r="F272" i="39" s="1"/>
  <c r="G120" i="34"/>
  <c r="G114" i="12" s="1"/>
  <c r="F114" i="39" s="1"/>
  <c r="G248" i="34"/>
  <c r="G242" i="12" s="1"/>
  <c r="F242" i="39" s="1"/>
  <c r="G221" i="34"/>
  <c r="G215" i="12" s="1"/>
  <c r="F215" i="39" s="1"/>
  <c r="G164" i="34"/>
  <c r="G158" i="12" s="1"/>
  <c r="F158" i="39" s="1"/>
  <c r="G247" i="34"/>
  <c r="G241" i="12" s="1"/>
  <c r="F241" i="39" s="1"/>
  <c r="G169" i="34"/>
  <c r="G163" i="12" s="1"/>
  <c r="F163" i="39" s="1"/>
  <c r="G150" i="34"/>
  <c r="G144" i="12" s="1"/>
  <c r="F144" i="39" s="1"/>
  <c r="G276" i="34"/>
  <c r="G270" i="12" s="1"/>
  <c r="F270" i="39" s="1"/>
  <c r="G181" i="34"/>
  <c r="G175" i="12" s="1"/>
  <c r="F175" i="39" s="1"/>
  <c r="G185" i="34"/>
  <c r="G179" i="12" s="1"/>
  <c r="F179" i="39" s="1"/>
  <c r="G149" i="34"/>
  <c r="G143" i="12" s="1"/>
  <c r="F143" i="39" s="1"/>
  <c r="G80" i="34"/>
  <c r="G74" i="12" s="1"/>
  <c r="F74" i="39" s="1"/>
  <c r="G79" i="34"/>
  <c r="G73" i="12" s="1"/>
  <c r="G303" i="34"/>
  <c r="G297" i="12" s="1"/>
  <c r="F297" i="39" s="1"/>
  <c r="G191" i="34"/>
  <c r="G185" i="12" s="1"/>
  <c r="F185" i="39" s="1"/>
  <c r="G266" i="34"/>
  <c r="G260" i="12" s="1"/>
  <c r="F260" i="39" s="1"/>
  <c r="G156" i="34"/>
  <c r="G150" i="12" s="1"/>
  <c r="F150" i="39" s="1"/>
  <c r="G227" i="34"/>
  <c r="G221" i="12" s="1"/>
  <c r="F221" i="39" s="1"/>
  <c r="G277" i="34"/>
  <c r="G271" i="12" s="1"/>
  <c r="F271" i="39" s="1"/>
  <c r="G14" i="34"/>
  <c r="G8" i="12" s="1"/>
  <c r="F8" i="39" s="1"/>
  <c r="G65" i="34"/>
  <c r="G59" i="12" s="1"/>
  <c r="F59" i="39" s="1"/>
  <c r="G304" i="34"/>
  <c r="G298" i="12" s="1"/>
  <c r="F298" i="39" s="1"/>
  <c r="G225" i="34"/>
  <c r="G219" i="12" s="1"/>
  <c r="F219" i="39" s="1"/>
  <c r="G125" i="34"/>
  <c r="G119" i="12" s="1"/>
  <c r="F119" i="39" s="1"/>
  <c r="G274" i="34"/>
  <c r="G268" i="12" s="1"/>
  <c r="F268" i="39" s="1"/>
  <c r="G92" i="34"/>
  <c r="G86" i="12" s="1"/>
  <c r="F86" i="39" s="1"/>
  <c r="G98" i="34"/>
  <c r="G92" i="12" s="1"/>
  <c r="F92" i="39" s="1"/>
  <c r="G173" i="34"/>
  <c r="G167" i="12" s="1"/>
  <c r="F167" i="39" s="1"/>
  <c r="G226" i="34"/>
  <c r="G220" i="12" s="1"/>
  <c r="F220" i="39" s="1"/>
  <c r="G201" i="34"/>
  <c r="G195" i="12" s="1"/>
  <c r="F195" i="39" s="1"/>
  <c r="G218" i="34"/>
  <c r="G212" i="12" s="1"/>
  <c r="F212" i="39" s="1"/>
  <c r="G127" i="34"/>
  <c r="G121" i="12" s="1"/>
  <c r="G23" i="34"/>
  <c r="G17" i="12" s="1"/>
  <c r="F17" i="39" s="1"/>
  <c r="G147" i="34"/>
  <c r="G141" i="12" s="1"/>
  <c r="G104" i="34"/>
  <c r="G98" i="12" s="1"/>
  <c r="F98" i="39" s="1"/>
  <c r="G230" i="34"/>
  <c r="G224" i="12" s="1"/>
  <c r="F224" i="39" s="1"/>
  <c r="G159" i="34"/>
  <c r="G153" i="12" s="1"/>
  <c r="G206" i="34"/>
  <c r="G200" i="12" s="1"/>
  <c r="F200" i="39" s="1"/>
  <c r="G200" i="34"/>
  <c r="G194" i="12" s="1"/>
  <c r="F194" i="39" s="1"/>
  <c r="G254" i="34"/>
  <c r="G248" i="12" s="1"/>
  <c r="F248" i="39" s="1"/>
  <c r="G43" i="34"/>
  <c r="G37" i="12" s="1"/>
  <c r="F37" i="39" s="1"/>
  <c r="G33" i="34"/>
  <c r="G27" i="12" s="1"/>
  <c r="F27" i="39" s="1"/>
  <c r="G259" i="34"/>
  <c r="G253" i="12" s="1"/>
  <c r="F253" i="39" s="1"/>
  <c r="G115" i="34"/>
  <c r="G109" i="12" s="1"/>
  <c r="G90" i="34"/>
  <c r="G84" i="12" s="1"/>
  <c r="F84" i="39" s="1"/>
  <c r="G246" i="34"/>
  <c r="G240" i="12" s="1"/>
  <c r="F240" i="39" s="1"/>
  <c r="G245" i="34"/>
  <c r="G239" i="12" s="1"/>
  <c r="F239" i="39" s="1"/>
  <c r="G189" i="34"/>
  <c r="G183" i="12" s="1"/>
  <c r="F183" i="39" s="1"/>
  <c r="G128" i="34"/>
  <c r="G122" i="12" s="1"/>
  <c r="F122" i="39" s="1"/>
  <c r="G141" i="34"/>
  <c r="G135" i="12" s="1"/>
  <c r="F135" i="39" s="1"/>
  <c r="G21" i="34"/>
  <c r="G15" i="12" s="1"/>
  <c r="F15" i="39" s="1"/>
  <c r="G160" i="34"/>
  <c r="G154" i="12" s="1"/>
  <c r="F154" i="39" s="1"/>
  <c r="G26" i="34"/>
  <c r="G20" i="12" s="1"/>
  <c r="F20" i="39" s="1"/>
  <c r="G40" i="34"/>
  <c r="G34" i="12" s="1"/>
  <c r="F34" i="39" s="1"/>
  <c r="H20" i="9"/>
  <c r="I20" i="9" s="1"/>
  <c r="D14" i="12" s="1"/>
  <c r="H28" i="9"/>
  <c r="I28" i="9" s="1"/>
  <c r="D22" i="12" s="1"/>
  <c r="H36" i="9"/>
  <c r="H44" i="9"/>
  <c r="H52" i="9"/>
  <c r="H60" i="9"/>
  <c r="H68" i="9"/>
  <c r="H76" i="9"/>
  <c r="H84" i="9"/>
  <c r="I84" i="9" s="1"/>
  <c r="D78" i="12" s="1"/>
  <c r="H92" i="9"/>
  <c r="H100" i="9"/>
  <c r="H108" i="9"/>
  <c r="H116" i="9"/>
  <c r="H124" i="9"/>
  <c r="H132" i="9"/>
  <c r="H140" i="9"/>
  <c r="H148" i="9"/>
  <c r="I148" i="9" s="1"/>
  <c r="D142" i="12" s="1"/>
  <c r="H156" i="9"/>
  <c r="I156" i="9" s="1"/>
  <c r="D150" i="12" s="1"/>
  <c r="H164" i="9"/>
  <c r="I164" i="9" s="1"/>
  <c r="D158" i="12" s="1"/>
  <c r="H172" i="9"/>
  <c r="H180" i="9"/>
  <c r="H188" i="9"/>
  <c r="H196" i="9"/>
  <c r="H204" i="9"/>
  <c r="H212" i="9"/>
  <c r="I212" i="9" s="1"/>
  <c r="D206" i="12" s="1"/>
  <c r="H220" i="9"/>
  <c r="I220" i="9" s="1"/>
  <c r="D214" i="12" s="1"/>
  <c r="H228" i="9"/>
  <c r="H236" i="9"/>
  <c r="H244" i="9"/>
  <c r="H252" i="9"/>
  <c r="H260" i="9"/>
  <c r="H268" i="9"/>
  <c r="H276" i="9"/>
  <c r="I276" i="9" s="1"/>
  <c r="D270" i="12" s="1"/>
  <c r="H284" i="9"/>
  <c r="H292" i="9"/>
  <c r="I292" i="9" s="1"/>
  <c r="D286" i="12" s="1"/>
  <c r="H300" i="9"/>
  <c r="H308" i="9"/>
  <c r="H147" i="9"/>
  <c r="H13" i="9"/>
  <c r="H21" i="9"/>
  <c r="H29" i="9"/>
  <c r="I29" i="9" s="1"/>
  <c r="D23" i="12" s="1"/>
  <c r="H37" i="9"/>
  <c r="H45" i="9"/>
  <c r="H53" i="9"/>
  <c r="H61" i="9"/>
  <c r="H69" i="9"/>
  <c r="H77" i="9"/>
  <c r="H85" i="9"/>
  <c r="H93" i="9"/>
  <c r="H101" i="9"/>
  <c r="I101" i="9" s="1"/>
  <c r="D95" i="12" s="1"/>
  <c r="H109" i="9"/>
  <c r="H117" i="9"/>
  <c r="H125" i="9"/>
  <c r="H133" i="9"/>
  <c r="H141" i="9"/>
  <c r="H149" i="9"/>
  <c r="H157" i="9"/>
  <c r="H165" i="9"/>
  <c r="H173" i="9"/>
  <c r="I173" i="9" s="1"/>
  <c r="D167" i="12" s="1"/>
  <c r="H181" i="9"/>
  <c r="H189" i="9"/>
  <c r="H197" i="9"/>
  <c r="H205" i="9"/>
  <c r="H213" i="9"/>
  <c r="H221" i="9"/>
  <c r="H229" i="9"/>
  <c r="H237" i="9"/>
  <c r="I237" i="9" s="1"/>
  <c r="D231" i="12" s="1"/>
  <c r="H245" i="9"/>
  <c r="H253" i="9"/>
  <c r="H261" i="9"/>
  <c r="H269" i="9"/>
  <c r="H277" i="9"/>
  <c r="H285" i="9"/>
  <c r="I285" i="9" s="1"/>
  <c r="D279" i="12" s="1"/>
  <c r="H293" i="9"/>
  <c r="I293" i="9" s="1"/>
  <c r="D287" i="12" s="1"/>
  <c r="H301" i="9"/>
  <c r="H309" i="9"/>
  <c r="H139" i="9"/>
  <c r="H14" i="9"/>
  <c r="H22" i="9"/>
  <c r="H30" i="9"/>
  <c r="H38" i="9"/>
  <c r="H46" i="9"/>
  <c r="H54" i="9"/>
  <c r="H62" i="9"/>
  <c r="H70" i="9"/>
  <c r="H78" i="9"/>
  <c r="H86" i="9"/>
  <c r="H94" i="9"/>
  <c r="H102" i="9"/>
  <c r="I102" i="9" s="1"/>
  <c r="D96" i="12" s="1"/>
  <c r="H110" i="9"/>
  <c r="H118" i="9"/>
  <c r="I118" i="9" s="1"/>
  <c r="D112" i="12" s="1"/>
  <c r="H126" i="9"/>
  <c r="H134" i="9"/>
  <c r="H142" i="9"/>
  <c r="H150" i="9"/>
  <c r="H158" i="9"/>
  <c r="H166" i="9"/>
  <c r="H174" i="9"/>
  <c r="H182" i="9"/>
  <c r="H190" i="9"/>
  <c r="H198" i="9"/>
  <c r="H206" i="9"/>
  <c r="H214" i="9"/>
  <c r="H222" i="9"/>
  <c r="H230" i="9"/>
  <c r="I230" i="9" s="1"/>
  <c r="D224" i="12" s="1"/>
  <c r="H238" i="9"/>
  <c r="H246" i="9"/>
  <c r="H254" i="9"/>
  <c r="H262" i="9"/>
  <c r="H270" i="9"/>
  <c r="H278" i="9"/>
  <c r="H286" i="9"/>
  <c r="H294" i="9"/>
  <c r="I294" i="9" s="1"/>
  <c r="D288" i="12" s="1"/>
  <c r="H302" i="9"/>
  <c r="I302" i="9" s="1"/>
  <c r="D296" i="12" s="1"/>
  <c r="H310" i="9"/>
  <c r="I310" i="9" s="1"/>
  <c r="D304" i="12" s="1"/>
  <c r="H99" i="9"/>
  <c r="H15" i="9"/>
  <c r="H23" i="9"/>
  <c r="H31" i="9"/>
  <c r="H39" i="9"/>
  <c r="H47" i="9"/>
  <c r="I47" i="9" s="1"/>
  <c r="D41" i="12" s="1"/>
  <c r="H55" i="9"/>
  <c r="I55" i="9" s="1"/>
  <c r="D49" i="12" s="1"/>
  <c r="H63" i="9"/>
  <c r="I63" i="9" s="1"/>
  <c r="D57" i="12" s="1"/>
  <c r="H71" i="9"/>
  <c r="H79" i="9"/>
  <c r="H87" i="9"/>
  <c r="H95" i="9"/>
  <c r="H103" i="9"/>
  <c r="H111" i="9"/>
  <c r="I111" i="9" s="1"/>
  <c r="D105" i="12" s="1"/>
  <c r="H119" i="9"/>
  <c r="I119" i="9" s="1"/>
  <c r="D113" i="12" s="1"/>
  <c r="H127" i="9"/>
  <c r="H135" i="9"/>
  <c r="H143" i="9"/>
  <c r="H151" i="9"/>
  <c r="H159" i="9"/>
  <c r="H167" i="9"/>
  <c r="H175" i="9"/>
  <c r="I175" i="9" s="1"/>
  <c r="D169" i="12" s="1"/>
  <c r="H183" i="9"/>
  <c r="H191" i="9"/>
  <c r="I191" i="9" s="1"/>
  <c r="D185" i="12" s="1"/>
  <c r="H199" i="9"/>
  <c r="H207" i="9"/>
  <c r="H215" i="9"/>
  <c r="H223" i="9"/>
  <c r="H231" i="9"/>
  <c r="H239" i="9"/>
  <c r="I239" i="9" s="1"/>
  <c r="D233" i="12" s="1"/>
  <c r="H247" i="9"/>
  <c r="H255" i="9"/>
  <c r="H263" i="9"/>
  <c r="H271" i="9"/>
  <c r="H279" i="9"/>
  <c r="H287" i="9"/>
  <c r="H295" i="9"/>
  <c r="H303" i="9"/>
  <c r="I303" i="9" s="1"/>
  <c r="D297" i="12" s="1"/>
  <c r="H311" i="9"/>
  <c r="I311" i="9" s="1"/>
  <c r="D305" i="12" s="1"/>
  <c r="H43" i="9"/>
  <c r="H51" i="9"/>
  <c r="H83" i="9"/>
  <c r="H107" i="9"/>
  <c r="H155" i="9"/>
  <c r="H187" i="9"/>
  <c r="H211" i="9"/>
  <c r="I211" i="9" s="1"/>
  <c r="D205" i="12" s="1"/>
  <c r="H243" i="9"/>
  <c r="I243" i="9" s="1"/>
  <c r="D237" i="12" s="1"/>
  <c r="H267" i="9"/>
  <c r="I267" i="9" s="1"/>
  <c r="D261" i="12" s="1"/>
  <c r="H307" i="9"/>
  <c r="H16" i="9"/>
  <c r="H24" i="9"/>
  <c r="H32" i="9"/>
  <c r="H40" i="9"/>
  <c r="H48" i="9"/>
  <c r="H56" i="9"/>
  <c r="H64" i="9"/>
  <c r="H72" i="9"/>
  <c r="H80" i="9"/>
  <c r="H88" i="9"/>
  <c r="H96" i="9"/>
  <c r="H104" i="9"/>
  <c r="H112" i="9"/>
  <c r="H120" i="9"/>
  <c r="H128" i="9"/>
  <c r="H136" i="9"/>
  <c r="H144" i="9"/>
  <c r="H152" i="9"/>
  <c r="H160" i="9"/>
  <c r="H168" i="9"/>
  <c r="H176" i="9"/>
  <c r="I176" i="9" s="1"/>
  <c r="D170" i="12" s="1"/>
  <c r="H184" i="9"/>
  <c r="I184" i="9" s="1"/>
  <c r="D178" i="12" s="1"/>
  <c r="H192" i="9"/>
  <c r="H200" i="9"/>
  <c r="H208" i="9"/>
  <c r="H216" i="9"/>
  <c r="H224" i="9"/>
  <c r="H232" i="9"/>
  <c r="H240" i="9"/>
  <c r="H248" i="9"/>
  <c r="I248" i="9" s="1"/>
  <c r="D242" i="12" s="1"/>
  <c r="H256" i="9"/>
  <c r="H264" i="9"/>
  <c r="H272" i="9"/>
  <c r="H280" i="9"/>
  <c r="H288" i="9"/>
  <c r="H296" i="9"/>
  <c r="H304" i="9"/>
  <c r="I304" i="9" s="1"/>
  <c r="D298" i="12" s="1"/>
  <c r="H35" i="9"/>
  <c r="I35" i="9" s="1"/>
  <c r="D29" i="12" s="1"/>
  <c r="H67" i="9"/>
  <c r="H123" i="9"/>
  <c r="H179" i="9"/>
  <c r="H219" i="9"/>
  <c r="H259" i="9"/>
  <c r="H291" i="9"/>
  <c r="I291" i="9" s="1"/>
  <c r="D285" i="12" s="1"/>
  <c r="H17" i="9"/>
  <c r="H25" i="9"/>
  <c r="I25" i="9" s="1"/>
  <c r="D19" i="12" s="1"/>
  <c r="H33" i="9"/>
  <c r="H41" i="9"/>
  <c r="H49" i="9"/>
  <c r="H57" i="9"/>
  <c r="H65" i="9"/>
  <c r="H73" i="9"/>
  <c r="H81" i="9"/>
  <c r="H89" i="9"/>
  <c r="H97" i="9"/>
  <c r="H105" i="9"/>
  <c r="H113" i="9"/>
  <c r="H121" i="9"/>
  <c r="H129" i="9"/>
  <c r="H137" i="9"/>
  <c r="H145" i="9"/>
  <c r="H153" i="9"/>
  <c r="H161" i="9"/>
  <c r="I161" i="9" s="1"/>
  <c r="D155" i="12" s="1"/>
  <c r="H169" i="9"/>
  <c r="H177" i="9"/>
  <c r="H185" i="9"/>
  <c r="H193" i="9"/>
  <c r="H201" i="9"/>
  <c r="H209" i="9"/>
  <c r="H217" i="9"/>
  <c r="I217" i="9" s="1"/>
  <c r="D211" i="12" s="1"/>
  <c r="H225" i="9"/>
  <c r="H233" i="9"/>
  <c r="H241" i="9"/>
  <c r="H249" i="9"/>
  <c r="H257" i="9"/>
  <c r="H265" i="9"/>
  <c r="I265" i="9" s="1"/>
  <c r="D259" i="12" s="1"/>
  <c r="H273" i="9"/>
  <c r="H281" i="9"/>
  <c r="H289" i="9"/>
  <c r="H297" i="9"/>
  <c r="H305" i="9"/>
  <c r="H27" i="9"/>
  <c r="H75" i="9"/>
  <c r="H115" i="9"/>
  <c r="H163" i="9"/>
  <c r="H203" i="9"/>
  <c r="I203" i="9" s="1"/>
  <c r="D197" i="12" s="1"/>
  <c r="H235" i="9"/>
  <c r="H283" i="9"/>
  <c r="H18" i="9"/>
  <c r="H26" i="9"/>
  <c r="H34" i="9"/>
  <c r="H42" i="9"/>
  <c r="H50" i="9"/>
  <c r="H58" i="9"/>
  <c r="H66" i="9"/>
  <c r="H74" i="9"/>
  <c r="H82" i="9"/>
  <c r="H90" i="9"/>
  <c r="H98" i="9"/>
  <c r="H106" i="9"/>
  <c r="I106" i="9" s="1"/>
  <c r="D100" i="12" s="1"/>
  <c r="H114" i="9"/>
  <c r="H122" i="9"/>
  <c r="H130" i="9"/>
  <c r="H138" i="9"/>
  <c r="H146" i="9"/>
  <c r="H154" i="9"/>
  <c r="H162" i="9"/>
  <c r="H170" i="9"/>
  <c r="I170" i="9" s="1"/>
  <c r="D164" i="12" s="1"/>
  <c r="H178" i="9"/>
  <c r="H186" i="9"/>
  <c r="H194" i="9"/>
  <c r="H202" i="9"/>
  <c r="H210" i="9"/>
  <c r="H218" i="9"/>
  <c r="H226" i="9"/>
  <c r="H234" i="9"/>
  <c r="H242" i="9"/>
  <c r="H250" i="9"/>
  <c r="H258" i="9"/>
  <c r="H266" i="9"/>
  <c r="H274" i="9"/>
  <c r="H282" i="9"/>
  <c r="H290" i="9"/>
  <c r="H298" i="9"/>
  <c r="H306" i="9"/>
  <c r="H19" i="9"/>
  <c r="H59" i="9"/>
  <c r="H91" i="9"/>
  <c r="H131" i="9"/>
  <c r="H171" i="9"/>
  <c r="H195" i="9"/>
  <c r="H227" i="9"/>
  <c r="I227" i="9" s="1"/>
  <c r="D221" i="12" s="1"/>
  <c r="H251" i="9"/>
  <c r="H275" i="9"/>
  <c r="H299" i="9"/>
  <c r="H306" i="11"/>
  <c r="O306" i="11"/>
  <c r="I166" i="9"/>
  <c r="D160" i="12" s="1"/>
  <c r="I53" i="9"/>
  <c r="D47" i="12" s="1"/>
  <c r="I62" i="9"/>
  <c r="D56" i="12" s="1"/>
  <c r="I135" i="9"/>
  <c r="D129" i="12" s="1"/>
  <c r="I181" i="9"/>
  <c r="D175" i="12" s="1"/>
  <c r="I44" i="9"/>
  <c r="D38" i="12" s="1"/>
  <c r="I172" i="9"/>
  <c r="D166" i="12" s="1"/>
  <c r="I221" i="9"/>
  <c r="D215" i="12" s="1"/>
  <c r="I51" i="9"/>
  <c r="D45" i="12" s="1"/>
  <c r="I236" i="9"/>
  <c r="D230" i="12" s="1"/>
  <c r="G100" i="25" l="1"/>
  <c r="C100" i="54" s="1"/>
  <c r="G178" i="25"/>
  <c r="C178" i="54" s="1"/>
  <c r="G231" i="25"/>
  <c r="C231" i="54" s="1"/>
  <c r="G285" i="25"/>
  <c r="C285" i="54" s="1"/>
  <c r="G297" i="25"/>
  <c r="C297" i="54" s="1"/>
  <c r="G155" i="25"/>
  <c r="C155" i="54" s="1"/>
  <c r="G197" i="25"/>
  <c r="C197" i="54" s="1"/>
  <c r="G287" i="25"/>
  <c r="C287" i="54" s="1"/>
  <c r="G49" i="25"/>
  <c r="C49" i="54" s="1"/>
  <c r="G112" i="25"/>
  <c r="C112" i="54" s="1"/>
  <c r="G78" i="25"/>
  <c r="C78" i="54" s="1"/>
  <c r="F121" i="39"/>
  <c r="F117" i="39"/>
  <c r="F93" i="39"/>
  <c r="F149" i="39"/>
  <c r="F81" i="39"/>
  <c r="F101" i="39"/>
  <c r="F201" i="39"/>
  <c r="G270" i="25"/>
  <c r="C270" i="54" s="1"/>
  <c r="G288" i="25"/>
  <c r="C288" i="54" s="1"/>
  <c r="G29" i="25"/>
  <c r="C29" i="54" s="1"/>
  <c r="G150" i="25"/>
  <c r="C150" i="54" s="1"/>
  <c r="G47" i="25"/>
  <c r="C47" i="54" s="1"/>
  <c r="G105" i="25"/>
  <c r="C105" i="54" s="1"/>
  <c r="G19" i="25"/>
  <c r="C19" i="54" s="1"/>
  <c r="F89" i="39"/>
  <c r="F61" i="39"/>
  <c r="F197" i="39"/>
  <c r="F133" i="39"/>
  <c r="F69" i="39"/>
  <c r="F177" i="39"/>
  <c r="G237" i="25"/>
  <c r="C237" i="54" s="1"/>
  <c r="G166" i="25"/>
  <c r="C166" i="54" s="1"/>
  <c r="G230" i="25"/>
  <c r="C230" i="54" s="1"/>
  <c r="G279" i="25"/>
  <c r="C279" i="54" s="1"/>
  <c r="G286" i="25"/>
  <c r="C286" i="54" s="1"/>
  <c r="G164" i="25"/>
  <c r="C164" i="54" s="1"/>
  <c r="G175" i="25"/>
  <c r="C175" i="54" s="1"/>
  <c r="G22" i="25"/>
  <c r="C22" i="54" s="1"/>
  <c r="G96" i="25"/>
  <c r="C96" i="54" s="1"/>
  <c r="G14" i="25"/>
  <c r="C14" i="54" s="1"/>
  <c r="F41" i="39"/>
  <c r="G170" i="25"/>
  <c r="C170" i="54" s="1"/>
  <c r="G185" i="25"/>
  <c r="C185" i="54" s="1"/>
  <c r="G57" i="25"/>
  <c r="C57" i="54" s="1"/>
  <c r="F153" i="39"/>
  <c r="F73" i="39"/>
  <c r="F85" i="39"/>
  <c r="F9" i="39"/>
  <c r="F25" i="39"/>
  <c r="F165" i="39"/>
  <c r="F109" i="39"/>
  <c r="F77" i="39"/>
  <c r="F137" i="39"/>
  <c r="F53" i="39"/>
  <c r="F125" i="39"/>
  <c r="G221" i="25"/>
  <c r="C221" i="54" s="1"/>
  <c r="G214" i="25"/>
  <c r="C214" i="54" s="1"/>
  <c r="G38" i="25"/>
  <c r="C38" i="54" s="1"/>
  <c r="G113" i="25"/>
  <c r="C113" i="54" s="1"/>
  <c r="G23" i="25"/>
  <c r="C23" i="54" s="1"/>
  <c r="F161" i="39"/>
  <c r="F97" i="39"/>
  <c r="F57" i="39"/>
  <c r="F145" i="39"/>
  <c r="G242" i="25"/>
  <c r="C242" i="54" s="1"/>
  <c r="G261" i="25"/>
  <c r="C261" i="54" s="1"/>
  <c r="G129" i="25"/>
  <c r="C129" i="54" s="1"/>
  <c r="G205" i="25"/>
  <c r="C205" i="54" s="1"/>
  <c r="G305" i="25"/>
  <c r="C305" i="54" s="1"/>
  <c r="G45" i="25"/>
  <c r="C45" i="54" s="1"/>
  <c r="G211" i="25"/>
  <c r="C211" i="54" s="1"/>
  <c r="G95" i="25"/>
  <c r="C95" i="54" s="1"/>
  <c r="G158" i="25"/>
  <c r="C158" i="54" s="1"/>
  <c r="F141" i="39"/>
  <c r="F129" i="39"/>
  <c r="F113" i="39"/>
  <c r="F169" i="39"/>
  <c r="F65" i="39"/>
  <c r="G233" i="25"/>
  <c r="C233" i="54" s="1"/>
  <c r="G41" i="25"/>
  <c r="C41" i="54" s="1"/>
  <c r="G259" i="25"/>
  <c r="C259" i="54" s="1"/>
  <c r="G169" i="25"/>
  <c r="C169" i="54" s="1"/>
  <c r="G224" i="25"/>
  <c r="C224" i="54" s="1"/>
  <c r="G298" i="25"/>
  <c r="C298" i="54" s="1"/>
  <c r="G167" i="25"/>
  <c r="C167" i="54" s="1"/>
  <c r="G304" i="25"/>
  <c r="C304" i="54" s="1"/>
  <c r="G215" i="25"/>
  <c r="C215" i="54" s="1"/>
  <c r="G206" i="25"/>
  <c r="C206" i="54" s="1"/>
  <c r="G296" i="25"/>
  <c r="C296" i="54" s="1"/>
  <c r="G56" i="25"/>
  <c r="C56" i="54" s="1"/>
  <c r="G160" i="25"/>
  <c r="C160" i="54" s="1"/>
  <c r="G142" i="25"/>
  <c r="C142" i="54" s="1"/>
  <c r="F105" i="39"/>
  <c r="F157" i="39"/>
  <c r="I195" i="9"/>
  <c r="D189" i="12" s="1"/>
  <c r="I290" i="9"/>
  <c r="D284" i="12" s="1"/>
  <c r="I226" i="9"/>
  <c r="D220" i="12" s="1"/>
  <c r="I162" i="9"/>
  <c r="D156" i="12" s="1"/>
  <c r="I98" i="9"/>
  <c r="D92" i="12" s="1"/>
  <c r="I34" i="9"/>
  <c r="D28" i="12" s="1"/>
  <c r="I75" i="9"/>
  <c r="D69" i="12" s="1"/>
  <c r="I257" i="9"/>
  <c r="D251" i="12" s="1"/>
  <c r="I193" i="9"/>
  <c r="D187" i="12" s="1"/>
  <c r="I129" i="9"/>
  <c r="D123" i="12" s="1"/>
  <c r="I65" i="9"/>
  <c r="D59" i="12" s="1"/>
  <c r="I259" i="9"/>
  <c r="D253" i="12" s="1"/>
  <c r="I296" i="9"/>
  <c r="D290" i="12" s="1"/>
  <c r="I232" i="9"/>
  <c r="D226" i="12" s="1"/>
  <c r="I168" i="9"/>
  <c r="D162" i="12" s="1"/>
  <c r="I104" i="9"/>
  <c r="D98" i="12" s="1"/>
  <c r="I40" i="9"/>
  <c r="D34" i="12" s="1"/>
  <c r="I187" i="9"/>
  <c r="D181" i="12" s="1"/>
  <c r="I295" i="9"/>
  <c r="D289" i="12" s="1"/>
  <c r="I231" i="9"/>
  <c r="D225" i="12" s="1"/>
  <c r="I167" i="9"/>
  <c r="D161" i="12" s="1"/>
  <c r="I103" i="9"/>
  <c r="D97" i="12" s="1"/>
  <c r="I39" i="9"/>
  <c r="D33" i="12" s="1"/>
  <c r="I286" i="9"/>
  <c r="D280" i="12" s="1"/>
  <c r="I222" i="9"/>
  <c r="D216" i="12" s="1"/>
  <c r="I158" i="9"/>
  <c r="D152" i="12" s="1"/>
  <c r="I94" i="9"/>
  <c r="D88" i="12" s="1"/>
  <c r="I30" i="9"/>
  <c r="D24" i="12" s="1"/>
  <c r="I277" i="9"/>
  <c r="D271" i="12" s="1"/>
  <c r="I213" i="9"/>
  <c r="D207" i="12" s="1"/>
  <c r="I149" i="9"/>
  <c r="D143" i="12" s="1"/>
  <c r="I85" i="9"/>
  <c r="D79" i="12" s="1"/>
  <c r="I21" i="9"/>
  <c r="D15" i="12" s="1"/>
  <c r="I268" i="9"/>
  <c r="D262" i="12" s="1"/>
  <c r="I204" i="9"/>
  <c r="D198" i="12" s="1"/>
  <c r="I140" i="9"/>
  <c r="D134" i="12" s="1"/>
  <c r="I76" i="9"/>
  <c r="D70" i="12" s="1"/>
  <c r="I171" i="9"/>
  <c r="D165" i="12" s="1"/>
  <c r="I282" i="9"/>
  <c r="D276" i="12" s="1"/>
  <c r="I218" i="9"/>
  <c r="D212" i="12" s="1"/>
  <c r="I154" i="9"/>
  <c r="D148" i="12" s="1"/>
  <c r="I90" i="9"/>
  <c r="D84" i="12" s="1"/>
  <c r="I26" i="9"/>
  <c r="D20" i="12" s="1"/>
  <c r="I27" i="9"/>
  <c r="D21" i="12" s="1"/>
  <c r="I249" i="9"/>
  <c r="D243" i="12" s="1"/>
  <c r="I185" i="9"/>
  <c r="D179" i="12" s="1"/>
  <c r="I121" i="9"/>
  <c r="D115" i="12" s="1"/>
  <c r="I57" i="9"/>
  <c r="D51" i="12" s="1"/>
  <c r="I219" i="9"/>
  <c r="D213" i="12" s="1"/>
  <c r="I288" i="9"/>
  <c r="D282" i="12" s="1"/>
  <c r="I224" i="9"/>
  <c r="D218" i="12" s="1"/>
  <c r="I160" i="9"/>
  <c r="D154" i="12" s="1"/>
  <c r="I96" i="9"/>
  <c r="D90" i="12" s="1"/>
  <c r="I32" i="9"/>
  <c r="D26" i="12" s="1"/>
  <c r="I155" i="9"/>
  <c r="D149" i="12" s="1"/>
  <c r="I287" i="9"/>
  <c r="D281" i="12" s="1"/>
  <c r="I223" i="9"/>
  <c r="D217" i="12" s="1"/>
  <c r="I159" i="9"/>
  <c r="D153" i="12" s="1"/>
  <c r="I95" i="9"/>
  <c r="D89" i="12" s="1"/>
  <c r="I31" i="9"/>
  <c r="D25" i="12" s="1"/>
  <c r="I278" i="9"/>
  <c r="D272" i="12" s="1"/>
  <c r="I214" i="9"/>
  <c r="D208" i="12" s="1"/>
  <c r="I150" i="9"/>
  <c r="D144" i="12" s="1"/>
  <c r="I86" i="9"/>
  <c r="D80" i="12" s="1"/>
  <c r="I22" i="9"/>
  <c r="D16" i="12" s="1"/>
  <c r="I269" i="9"/>
  <c r="D263" i="12" s="1"/>
  <c r="I205" i="9"/>
  <c r="D199" i="12" s="1"/>
  <c r="I141" i="9"/>
  <c r="D135" i="12" s="1"/>
  <c r="I77" i="9"/>
  <c r="D71" i="12" s="1"/>
  <c r="I13" i="9"/>
  <c r="D7" i="12" s="1"/>
  <c r="I260" i="9"/>
  <c r="D254" i="12" s="1"/>
  <c r="I196" i="9"/>
  <c r="D190" i="12" s="1"/>
  <c r="I132" i="9"/>
  <c r="D126" i="12" s="1"/>
  <c r="I68" i="9"/>
  <c r="D62" i="12" s="1"/>
  <c r="I131" i="9"/>
  <c r="D125" i="12" s="1"/>
  <c r="I274" i="9"/>
  <c r="D268" i="12" s="1"/>
  <c r="I210" i="9"/>
  <c r="D204" i="12" s="1"/>
  <c r="I146" i="9"/>
  <c r="D140" i="12" s="1"/>
  <c r="I82" i="9"/>
  <c r="D76" i="12" s="1"/>
  <c r="I18" i="9"/>
  <c r="D12" i="12" s="1"/>
  <c r="I305" i="9"/>
  <c r="D299" i="12" s="1"/>
  <c r="I241" i="9"/>
  <c r="D235" i="12" s="1"/>
  <c r="I177" i="9"/>
  <c r="D171" i="12" s="1"/>
  <c r="I113" i="9"/>
  <c r="D107" i="12" s="1"/>
  <c r="I49" i="9"/>
  <c r="D43" i="12" s="1"/>
  <c r="I179" i="9"/>
  <c r="D173" i="12" s="1"/>
  <c r="I280" i="9"/>
  <c r="D274" i="12" s="1"/>
  <c r="I216" i="9"/>
  <c r="D210" i="12" s="1"/>
  <c r="I152" i="9"/>
  <c r="D146" i="12" s="1"/>
  <c r="I88" i="9"/>
  <c r="D82" i="12" s="1"/>
  <c r="I24" i="9"/>
  <c r="D18" i="12" s="1"/>
  <c r="I107" i="9"/>
  <c r="D101" i="12" s="1"/>
  <c r="I279" i="9"/>
  <c r="D273" i="12" s="1"/>
  <c r="I215" i="9"/>
  <c r="D209" i="12" s="1"/>
  <c r="I151" i="9"/>
  <c r="D145" i="12" s="1"/>
  <c r="I87" i="9"/>
  <c r="D81" i="12" s="1"/>
  <c r="I23" i="9"/>
  <c r="D17" i="12" s="1"/>
  <c r="I270" i="9"/>
  <c r="D264" i="12" s="1"/>
  <c r="I206" i="9"/>
  <c r="D200" i="12" s="1"/>
  <c r="I142" i="9"/>
  <c r="D136" i="12" s="1"/>
  <c r="I78" i="9"/>
  <c r="D72" i="12" s="1"/>
  <c r="I14" i="9"/>
  <c r="D8" i="12" s="1"/>
  <c r="I261" i="9"/>
  <c r="D255" i="12" s="1"/>
  <c r="I197" i="9"/>
  <c r="D191" i="12" s="1"/>
  <c r="I133" i="9"/>
  <c r="D127" i="12" s="1"/>
  <c r="I69" i="9"/>
  <c r="D63" i="12" s="1"/>
  <c r="I147" i="9"/>
  <c r="D141" i="12" s="1"/>
  <c r="I252" i="9"/>
  <c r="D246" i="12" s="1"/>
  <c r="I188" i="9"/>
  <c r="D182" i="12" s="1"/>
  <c r="I124" i="9"/>
  <c r="D118" i="12" s="1"/>
  <c r="I60" i="9"/>
  <c r="D54" i="12" s="1"/>
  <c r="I91" i="9"/>
  <c r="D85" i="12" s="1"/>
  <c r="I266" i="9"/>
  <c r="D260" i="12" s="1"/>
  <c r="I202" i="9"/>
  <c r="D196" i="12" s="1"/>
  <c r="I138" i="9"/>
  <c r="D132" i="12" s="1"/>
  <c r="I74" i="9"/>
  <c r="D68" i="12" s="1"/>
  <c r="I283" i="9"/>
  <c r="D277" i="12" s="1"/>
  <c r="I297" i="9"/>
  <c r="D291" i="12" s="1"/>
  <c r="I233" i="9"/>
  <c r="D227" i="12" s="1"/>
  <c r="I169" i="9"/>
  <c r="D163" i="12" s="1"/>
  <c r="I105" i="9"/>
  <c r="D99" i="12" s="1"/>
  <c r="I41" i="9"/>
  <c r="D35" i="12" s="1"/>
  <c r="I123" i="9"/>
  <c r="D117" i="12" s="1"/>
  <c r="I272" i="9"/>
  <c r="D266" i="12" s="1"/>
  <c r="I208" i="9"/>
  <c r="D202" i="12" s="1"/>
  <c r="I144" i="9"/>
  <c r="D138" i="12" s="1"/>
  <c r="I80" i="9"/>
  <c r="D74" i="12" s="1"/>
  <c r="I16" i="9"/>
  <c r="D10" i="12" s="1"/>
  <c r="I83" i="9"/>
  <c r="D77" i="12" s="1"/>
  <c r="I271" i="9"/>
  <c r="D265" i="12" s="1"/>
  <c r="I207" i="9"/>
  <c r="D201" i="12" s="1"/>
  <c r="I143" i="9"/>
  <c r="D137" i="12" s="1"/>
  <c r="I79" i="9"/>
  <c r="D73" i="12" s="1"/>
  <c r="I15" i="9"/>
  <c r="D9" i="12" s="1"/>
  <c r="I262" i="9"/>
  <c r="D256" i="12" s="1"/>
  <c r="I198" i="9"/>
  <c r="D192" i="12" s="1"/>
  <c r="I134" i="9"/>
  <c r="D128" i="12" s="1"/>
  <c r="I70" i="9"/>
  <c r="D64" i="12" s="1"/>
  <c r="I139" i="9"/>
  <c r="D133" i="12" s="1"/>
  <c r="I253" i="9"/>
  <c r="D247" i="12" s="1"/>
  <c r="I189" i="9"/>
  <c r="D183" i="12" s="1"/>
  <c r="I125" i="9"/>
  <c r="D119" i="12" s="1"/>
  <c r="I61" i="9"/>
  <c r="D55" i="12" s="1"/>
  <c r="I308" i="9"/>
  <c r="D302" i="12" s="1"/>
  <c r="I244" i="9"/>
  <c r="D238" i="12" s="1"/>
  <c r="I180" i="9"/>
  <c r="D174" i="12" s="1"/>
  <c r="I116" i="9"/>
  <c r="D110" i="12" s="1"/>
  <c r="I52" i="9"/>
  <c r="D46" i="12" s="1"/>
  <c r="I299" i="9"/>
  <c r="D293" i="12" s="1"/>
  <c r="I59" i="9"/>
  <c r="D53" i="12" s="1"/>
  <c r="I258" i="9"/>
  <c r="D252" i="12" s="1"/>
  <c r="I194" i="9"/>
  <c r="D188" i="12" s="1"/>
  <c r="I130" i="9"/>
  <c r="D124" i="12" s="1"/>
  <c r="I66" i="9"/>
  <c r="D60" i="12" s="1"/>
  <c r="I235" i="9"/>
  <c r="D229" i="12" s="1"/>
  <c r="I289" i="9"/>
  <c r="D283" i="12" s="1"/>
  <c r="I225" i="9"/>
  <c r="D219" i="12" s="1"/>
  <c r="I97" i="9"/>
  <c r="D91" i="12" s="1"/>
  <c r="I33" i="9"/>
  <c r="D27" i="12" s="1"/>
  <c r="I67" i="9"/>
  <c r="D61" i="12" s="1"/>
  <c r="I264" i="9"/>
  <c r="D258" i="12" s="1"/>
  <c r="I200" i="9"/>
  <c r="D194" i="12" s="1"/>
  <c r="I136" i="9"/>
  <c r="D130" i="12" s="1"/>
  <c r="I72" i="9"/>
  <c r="D66" i="12" s="1"/>
  <c r="I307" i="9"/>
  <c r="D301" i="12" s="1"/>
  <c r="I263" i="9"/>
  <c r="D257" i="12" s="1"/>
  <c r="I199" i="9"/>
  <c r="D193" i="12" s="1"/>
  <c r="I71" i="9"/>
  <c r="D65" i="12" s="1"/>
  <c r="I99" i="9"/>
  <c r="D93" i="12" s="1"/>
  <c r="I254" i="9"/>
  <c r="D248" i="12" s="1"/>
  <c r="I190" i="9"/>
  <c r="D184" i="12" s="1"/>
  <c r="I126" i="9"/>
  <c r="D120" i="12" s="1"/>
  <c r="I309" i="9"/>
  <c r="D303" i="12" s="1"/>
  <c r="I245" i="9"/>
  <c r="D239" i="12" s="1"/>
  <c r="I117" i="9"/>
  <c r="D111" i="12" s="1"/>
  <c r="I300" i="9"/>
  <c r="D294" i="12" s="1"/>
  <c r="I108" i="9"/>
  <c r="D102" i="12" s="1"/>
  <c r="I275" i="9"/>
  <c r="D269" i="12" s="1"/>
  <c r="I19" i="9"/>
  <c r="D13" i="12" s="1"/>
  <c r="I250" i="9"/>
  <c r="D244" i="12" s="1"/>
  <c r="I186" i="9"/>
  <c r="D180" i="12" s="1"/>
  <c r="I122" i="9"/>
  <c r="D116" i="12" s="1"/>
  <c r="I58" i="9"/>
  <c r="D52" i="12" s="1"/>
  <c r="I281" i="9"/>
  <c r="D275" i="12" s="1"/>
  <c r="I153" i="9"/>
  <c r="D147" i="12" s="1"/>
  <c r="I89" i="9"/>
  <c r="D83" i="12" s="1"/>
  <c r="I256" i="9"/>
  <c r="D250" i="12" s="1"/>
  <c r="I192" i="9"/>
  <c r="D186" i="12" s="1"/>
  <c r="I128" i="9"/>
  <c r="D122" i="12" s="1"/>
  <c r="I64" i="9"/>
  <c r="D58" i="12" s="1"/>
  <c r="I43" i="9"/>
  <c r="D37" i="12" s="1"/>
  <c r="I255" i="9"/>
  <c r="D249" i="12" s="1"/>
  <c r="I127" i="9"/>
  <c r="D121" i="12" s="1"/>
  <c r="I246" i="9"/>
  <c r="D240" i="12" s="1"/>
  <c r="I182" i="9"/>
  <c r="D176" i="12" s="1"/>
  <c r="I54" i="9"/>
  <c r="D48" i="12" s="1"/>
  <c r="I301" i="9"/>
  <c r="D295" i="12" s="1"/>
  <c r="I109" i="9"/>
  <c r="D103" i="12" s="1"/>
  <c r="I45" i="9"/>
  <c r="D39" i="12" s="1"/>
  <c r="I228" i="9"/>
  <c r="D222" i="12" s="1"/>
  <c r="I100" i="9"/>
  <c r="D94" i="12" s="1"/>
  <c r="I36" i="9"/>
  <c r="D30" i="12" s="1"/>
  <c r="I251" i="9"/>
  <c r="D245" i="12" s="1"/>
  <c r="I306" i="9"/>
  <c r="D300" i="12" s="1"/>
  <c r="I242" i="9"/>
  <c r="D236" i="12" s="1"/>
  <c r="I178" i="9"/>
  <c r="D172" i="12" s="1"/>
  <c r="I114" i="9"/>
  <c r="D108" i="12" s="1"/>
  <c r="I50" i="9"/>
  <c r="D44" i="12" s="1"/>
  <c r="I163" i="9"/>
  <c r="D157" i="12" s="1"/>
  <c r="I273" i="9"/>
  <c r="D267" i="12" s="1"/>
  <c r="I209" i="9"/>
  <c r="D203" i="12" s="1"/>
  <c r="I145" i="9"/>
  <c r="D139" i="12" s="1"/>
  <c r="I81" i="9"/>
  <c r="D75" i="12" s="1"/>
  <c r="I17" i="9"/>
  <c r="D11" i="12" s="1"/>
  <c r="I120" i="9"/>
  <c r="D114" i="12" s="1"/>
  <c r="I56" i="9"/>
  <c r="D50" i="12" s="1"/>
  <c r="I247" i="9"/>
  <c r="D241" i="12" s="1"/>
  <c r="I183" i="9"/>
  <c r="D177" i="12" s="1"/>
  <c r="I238" i="9"/>
  <c r="D232" i="12" s="1"/>
  <c r="I174" i="9"/>
  <c r="D168" i="12" s="1"/>
  <c r="I110" i="9"/>
  <c r="D104" i="12" s="1"/>
  <c r="I46" i="9"/>
  <c r="D40" i="12" s="1"/>
  <c r="I229" i="9"/>
  <c r="D223" i="12" s="1"/>
  <c r="I165" i="9"/>
  <c r="D159" i="12" s="1"/>
  <c r="I37" i="9"/>
  <c r="D31" i="12" s="1"/>
  <c r="I284" i="9"/>
  <c r="D278" i="12" s="1"/>
  <c r="I92" i="9"/>
  <c r="D86" i="12" s="1"/>
  <c r="I298" i="9"/>
  <c r="D292" i="12" s="1"/>
  <c r="I234" i="9"/>
  <c r="D228" i="12" s="1"/>
  <c r="I42" i="9"/>
  <c r="D36" i="12" s="1"/>
  <c r="I115" i="9"/>
  <c r="D109" i="12" s="1"/>
  <c r="I201" i="9"/>
  <c r="D195" i="12" s="1"/>
  <c r="I137" i="9"/>
  <c r="D131" i="12" s="1"/>
  <c r="I73" i="9"/>
  <c r="D67" i="12" s="1"/>
  <c r="I240" i="9"/>
  <c r="D234" i="12" s="1"/>
  <c r="I112" i="9"/>
  <c r="D106" i="12" s="1"/>
  <c r="I48" i="9"/>
  <c r="D42" i="12" s="1"/>
  <c r="I38" i="9"/>
  <c r="D32" i="12" s="1"/>
  <c r="I157" i="9"/>
  <c r="D151" i="12" s="1"/>
  <c r="I93" i="9"/>
  <c r="D87" i="12" s="1"/>
  <c r="G312" i="34"/>
  <c r="C5" i="34" s="1"/>
  <c r="C8" i="34" s="1"/>
  <c r="F24" i="48"/>
  <c r="I12" i="9"/>
  <c r="D6" i="12" s="1"/>
  <c r="H312" i="9"/>
  <c r="G151" i="25" l="1"/>
  <c r="C151" i="54" s="1"/>
  <c r="G109" i="25"/>
  <c r="C109" i="54" s="1"/>
  <c r="G223" i="25"/>
  <c r="C223" i="54" s="1"/>
  <c r="G114" i="25"/>
  <c r="C114" i="54" s="1"/>
  <c r="G108" i="25"/>
  <c r="C108" i="54" s="1"/>
  <c r="G39" i="25"/>
  <c r="C39" i="54" s="1"/>
  <c r="G37" i="25"/>
  <c r="C37" i="54" s="1"/>
  <c r="G52" i="25"/>
  <c r="C52" i="54" s="1"/>
  <c r="G111" i="25"/>
  <c r="C111" i="54" s="1"/>
  <c r="G193" i="25"/>
  <c r="C193" i="54" s="1"/>
  <c r="G27" i="25"/>
  <c r="C27" i="54" s="1"/>
  <c r="G252" i="25"/>
  <c r="C252" i="54" s="1"/>
  <c r="G55" i="25"/>
  <c r="C55" i="54" s="1"/>
  <c r="G256" i="25"/>
  <c r="C256" i="54" s="1"/>
  <c r="G74" i="25"/>
  <c r="C74" i="54" s="1"/>
  <c r="G227" i="25"/>
  <c r="C227" i="54" s="1"/>
  <c r="G54" i="25"/>
  <c r="C54" i="54" s="1"/>
  <c r="G255" i="25"/>
  <c r="C255" i="54" s="1"/>
  <c r="G145" i="25"/>
  <c r="C145" i="54" s="1"/>
  <c r="G274" i="25"/>
  <c r="C274" i="54" s="1"/>
  <c r="G76" i="25"/>
  <c r="C76" i="54" s="1"/>
  <c r="G254" i="25"/>
  <c r="C254" i="54" s="1"/>
  <c r="G144" i="25"/>
  <c r="C144" i="54" s="1"/>
  <c r="G149" i="25"/>
  <c r="C149" i="54" s="1"/>
  <c r="G115" i="25"/>
  <c r="C115" i="54" s="1"/>
  <c r="G276" i="25"/>
  <c r="C276" i="54" s="1"/>
  <c r="G143" i="25"/>
  <c r="C143" i="54" s="1"/>
  <c r="G33" i="25"/>
  <c r="C33" i="54" s="1"/>
  <c r="G162" i="25"/>
  <c r="C162" i="54" s="1"/>
  <c r="G69" i="25"/>
  <c r="C69" i="54" s="1"/>
  <c r="G32" i="25"/>
  <c r="C32" i="54" s="1"/>
  <c r="G36" i="25"/>
  <c r="C36" i="54" s="1"/>
  <c r="G40" i="25"/>
  <c r="C40" i="54" s="1"/>
  <c r="G11" i="25"/>
  <c r="C11" i="54" s="1"/>
  <c r="G172" i="25"/>
  <c r="C172" i="54" s="1"/>
  <c r="G103" i="25"/>
  <c r="C103" i="54" s="1"/>
  <c r="G58" i="25"/>
  <c r="C58" i="54" s="1"/>
  <c r="G116" i="25"/>
  <c r="C116" i="54" s="1"/>
  <c r="G239" i="25"/>
  <c r="C239" i="54" s="1"/>
  <c r="G257" i="25"/>
  <c r="C257" i="54" s="1"/>
  <c r="G91" i="25"/>
  <c r="C91" i="54" s="1"/>
  <c r="G53" i="25"/>
  <c r="C53" i="54" s="1"/>
  <c r="G119" i="25"/>
  <c r="C119" i="54" s="1"/>
  <c r="G9" i="25"/>
  <c r="C9" i="54" s="1"/>
  <c r="G138" i="25"/>
  <c r="C138" i="54" s="1"/>
  <c r="G291" i="25"/>
  <c r="C291" i="54" s="1"/>
  <c r="G118" i="25"/>
  <c r="C118" i="54" s="1"/>
  <c r="G8" i="25"/>
  <c r="C8" i="54" s="1"/>
  <c r="G209" i="25"/>
  <c r="C209" i="54" s="1"/>
  <c r="G173" i="25"/>
  <c r="C173" i="54" s="1"/>
  <c r="G140" i="25"/>
  <c r="C140" i="54" s="1"/>
  <c r="G7" i="25"/>
  <c r="C7" i="54" s="1"/>
  <c r="G208" i="25"/>
  <c r="C208" i="54" s="1"/>
  <c r="G26" i="25"/>
  <c r="C26" i="54" s="1"/>
  <c r="G179" i="25"/>
  <c r="C179" i="54" s="1"/>
  <c r="G165" i="25"/>
  <c r="C165" i="54" s="1"/>
  <c r="G207" i="25"/>
  <c r="C207" i="54" s="1"/>
  <c r="G97" i="25"/>
  <c r="C97" i="54" s="1"/>
  <c r="G226" i="25"/>
  <c r="C226" i="54" s="1"/>
  <c r="G28" i="25"/>
  <c r="C28" i="54" s="1"/>
  <c r="G6" i="25"/>
  <c r="G42" i="25"/>
  <c r="C42" i="54" s="1"/>
  <c r="G228" i="25"/>
  <c r="C228" i="54" s="1"/>
  <c r="G104" i="25"/>
  <c r="C104" i="54" s="1"/>
  <c r="G75" i="25"/>
  <c r="C75" i="54" s="1"/>
  <c r="G236" i="25"/>
  <c r="C236" i="54" s="1"/>
  <c r="G295" i="25"/>
  <c r="C295" i="54" s="1"/>
  <c r="G122" i="25"/>
  <c r="C122" i="54" s="1"/>
  <c r="G180" i="25"/>
  <c r="C180" i="54" s="1"/>
  <c r="G303" i="25"/>
  <c r="C303" i="54" s="1"/>
  <c r="G301" i="25"/>
  <c r="C301" i="54" s="1"/>
  <c r="G219" i="25"/>
  <c r="C219" i="54" s="1"/>
  <c r="G293" i="25"/>
  <c r="C293" i="54" s="1"/>
  <c r="G183" i="25"/>
  <c r="C183" i="54" s="1"/>
  <c r="G73" i="25"/>
  <c r="C73" i="54" s="1"/>
  <c r="G202" i="25"/>
  <c r="C202" i="54" s="1"/>
  <c r="G277" i="25"/>
  <c r="C277" i="54" s="1"/>
  <c r="G182" i="25"/>
  <c r="C182" i="54" s="1"/>
  <c r="G72" i="25"/>
  <c r="C72" i="54" s="1"/>
  <c r="G273" i="25"/>
  <c r="C273" i="54" s="1"/>
  <c r="G43" i="25"/>
  <c r="C43" i="54" s="1"/>
  <c r="G204" i="25"/>
  <c r="C204" i="54" s="1"/>
  <c r="G71" i="25"/>
  <c r="C71" i="54" s="1"/>
  <c r="G272" i="25"/>
  <c r="C272" i="54" s="1"/>
  <c r="G90" i="25"/>
  <c r="C90" i="54" s="1"/>
  <c r="G243" i="25"/>
  <c r="C243" i="54" s="1"/>
  <c r="G70" i="25"/>
  <c r="C70" i="54" s="1"/>
  <c r="G271" i="25"/>
  <c r="C271" i="54" s="1"/>
  <c r="G161" i="25"/>
  <c r="C161" i="54" s="1"/>
  <c r="G290" i="25"/>
  <c r="C290" i="54" s="1"/>
  <c r="G92" i="25"/>
  <c r="C92" i="54" s="1"/>
  <c r="G106" i="25"/>
  <c r="C106" i="54" s="1"/>
  <c r="G292" i="25"/>
  <c r="C292" i="54" s="1"/>
  <c r="G168" i="25"/>
  <c r="C168" i="54" s="1"/>
  <c r="G139" i="25"/>
  <c r="C139" i="54" s="1"/>
  <c r="G300" i="25"/>
  <c r="C300" i="54" s="1"/>
  <c r="G48" i="25"/>
  <c r="C48" i="54" s="1"/>
  <c r="G186" i="25"/>
  <c r="C186" i="54" s="1"/>
  <c r="G244" i="25"/>
  <c r="C244" i="54" s="1"/>
  <c r="G120" i="25"/>
  <c r="C120" i="54" s="1"/>
  <c r="G66" i="25"/>
  <c r="C66" i="54" s="1"/>
  <c r="G283" i="25"/>
  <c r="C283" i="54" s="1"/>
  <c r="G46" i="25"/>
  <c r="C46" i="54" s="1"/>
  <c r="G247" i="25"/>
  <c r="C247" i="54" s="1"/>
  <c r="G137" i="25"/>
  <c r="C137" i="54" s="1"/>
  <c r="G266" i="25"/>
  <c r="C266" i="54" s="1"/>
  <c r="G68" i="25"/>
  <c r="C68" i="54" s="1"/>
  <c r="G246" i="25"/>
  <c r="C246" i="54" s="1"/>
  <c r="G136" i="25"/>
  <c r="C136" i="54" s="1"/>
  <c r="G101" i="25"/>
  <c r="C101" i="54" s="1"/>
  <c r="G107" i="25"/>
  <c r="C107" i="54" s="1"/>
  <c r="G268" i="25"/>
  <c r="C268" i="54" s="1"/>
  <c r="G135" i="25"/>
  <c r="C135" i="54" s="1"/>
  <c r="G25" i="25"/>
  <c r="C25" i="54" s="1"/>
  <c r="G154" i="25"/>
  <c r="C154" i="54" s="1"/>
  <c r="G21" i="25"/>
  <c r="C21" i="54" s="1"/>
  <c r="G134" i="25"/>
  <c r="C134" i="54" s="1"/>
  <c r="G24" i="25"/>
  <c r="C24" i="54" s="1"/>
  <c r="G225" i="25"/>
  <c r="C225" i="54" s="1"/>
  <c r="G253" i="25"/>
  <c r="C253" i="54" s="1"/>
  <c r="G156" i="25"/>
  <c r="C156" i="54" s="1"/>
  <c r="G234" i="25"/>
  <c r="C234" i="54" s="1"/>
  <c r="G86" i="25"/>
  <c r="C86" i="54" s="1"/>
  <c r="G232" i="25"/>
  <c r="C232" i="54" s="1"/>
  <c r="G203" i="25"/>
  <c r="C203" i="54" s="1"/>
  <c r="G245" i="25"/>
  <c r="C245" i="54" s="1"/>
  <c r="G176" i="25"/>
  <c r="C176" i="54" s="1"/>
  <c r="G250" i="25"/>
  <c r="C250" i="54" s="1"/>
  <c r="G13" i="25"/>
  <c r="C13" i="54" s="1"/>
  <c r="G184" i="25"/>
  <c r="C184" i="54" s="1"/>
  <c r="G130" i="25"/>
  <c r="C130" i="54" s="1"/>
  <c r="G229" i="25"/>
  <c r="C229" i="54" s="1"/>
  <c r="G110" i="25"/>
  <c r="C110" i="54" s="1"/>
  <c r="G133" i="25"/>
  <c r="C133" i="54" s="1"/>
  <c r="G201" i="25"/>
  <c r="C201" i="54" s="1"/>
  <c r="G117" i="25"/>
  <c r="C117" i="54" s="1"/>
  <c r="G132" i="25"/>
  <c r="C132" i="54" s="1"/>
  <c r="G141" i="25"/>
  <c r="C141" i="54" s="1"/>
  <c r="G200" i="25"/>
  <c r="C200" i="54" s="1"/>
  <c r="G18" i="25"/>
  <c r="C18" i="54" s="1"/>
  <c r="G171" i="25"/>
  <c r="C171" i="54" s="1"/>
  <c r="G125" i="25"/>
  <c r="C125" i="54" s="1"/>
  <c r="G199" i="25"/>
  <c r="C199" i="54" s="1"/>
  <c r="G89" i="25"/>
  <c r="C89" i="54" s="1"/>
  <c r="G218" i="25"/>
  <c r="C218" i="54" s="1"/>
  <c r="G20" i="25"/>
  <c r="C20" i="54" s="1"/>
  <c r="G198" i="25"/>
  <c r="C198" i="54" s="1"/>
  <c r="G88" i="25"/>
  <c r="C88" i="54" s="1"/>
  <c r="G289" i="25"/>
  <c r="C289" i="54" s="1"/>
  <c r="G59" i="25"/>
  <c r="C59" i="54" s="1"/>
  <c r="G220" i="25"/>
  <c r="C220" i="54" s="1"/>
  <c r="G67" i="25"/>
  <c r="C67" i="54" s="1"/>
  <c r="G278" i="25"/>
  <c r="C278" i="54" s="1"/>
  <c r="G177" i="25"/>
  <c r="C177" i="54" s="1"/>
  <c r="G267" i="25"/>
  <c r="C267" i="54" s="1"/>
  <c r="G30" i="25"/>
  <c r="C30" i="54" s="1"/>
  <c r="G240" i="25"/>
  <c r="C240" i="54" s="1"/>
  <c r="G83" i="25"/>
  <c r="C83" i="54" s="1"/>
  <c r="G269" i="25"/>
  <c r="C269" i="54" s="1"/>
  <c r="G248" i="25"/>
  <c r="C248" i="54" s="1"/>
  <c r="G194" i="25"/>
  <c r="C194" i="54" s="1"/>
  <c r="G60" i="25"/>
  <c r="C60" i="54" s="1"/>
  <c r="G174" i="25"/>
  <c r="C174" i="54" s="1"/>
  <c r="G64" i="25"/>
  <c r="C64" i="54" s="1"/>
  <c r="G265" i="25"/>
  <c r="C265" i="54" s="1"/>
  <c r="G35" i="25"/>
  <c r="C35" i="54" s="1"/>
  <c r="G196" i="25"/>
  <c r="C196" i="54" s="1"/>
  <c r="G63" i="25"/>
  <c r="C63" i="54" s="1"/>
  <c r="G264" i="25"/>
  <c r="C264" i="54" s="1"/>
  <c r="G82" i="25"/>
  <c r="C82" i="54" s="1"/>
  <c r="G235" i="25"/>
  <c r="C235" i="54" s="1"/>
  <c r="G62" i="25"/>
  <c r="C62" i="54" s="1"/>
  <c r="G263" i="25"/>
  <c r="C263" i="54" s="1"/>
  <c r="G153" i="25"/>
  <c r="C153" i="54" s="1"/>
  <c r="G282" i="25"/>
  <c r="C282" i="54" s="1"/>
  <c r="G84" i="25"/>
  <c r="C84" i="54" s="1"/>
  <c r="G262" i="25"/>
  <c r="C262" i="54" s="1"/>
  <c r="G152" i="25"/>
  <c r="C152" i="54" s="1"/>
  <c r="G181" i="25"/>
  <c r="C181" i="54" s="1"/>
  <c r="G123" i="25"/>
  <c r="C123" i="54" s="1"/>
  <c r="G284" i="25"/>
  <c r="C284" i="54" s="1"/>
  <c r="G11" i="34"/>
  <c r="G306" i="12"/>
  <c r="G131" i="25"/>
  <c r="C131" i="54" s="1"/>
  <c r="G31" i="25"/>
  <c r="C31" i="54" s="1"/>
  <c r="G241" i="25"/>
  <c r="C241" i="54" s="1"/>
  <c r="G157" i="25"/>
  <c r="C157" i="54" s="1"/>
  <c r="G94" i="25"/>
  <c r="C94" i="54" s="1"/>
  <c r="G121" i="25"/>
  <c r="C121" i="54" s="1"/>
  <c r="G147" i="25"/>
  <c r="C147" i="54" s="1"/>
  <c r="G102" i="25"/>
  <c r="C102" i="54" s="1"/>
  <c r="G93" i="25"/>
  <c r="C93" i="54" s="1"/>
  <c r="G258" i="25"/>
  <c r="C258" i="54" s="1"/>
  <c r="G124" i="25"/>
  <c r="C124" i="54" s="1"/>
  <c r="G238" i="25"/>
  <c r="C238" i="54" s="1"/>
  <c r="G128" i="25"/>
  <c r="C128" i="54" s="1"/>
  <c r="G77" i="25"/>
  <c r="C77" i="54" s="1"/>
  <c r="G99" i="25"/>
  <c r="C99" i="54" s="1"/>
  <c r="G260" i="25"/>
  <c r="C260" i="54" s="1"/>
  <c r="G127" i="25"/>
  <c r="C127" i="54" s="1"/>
  <c r="G17" i="25"/>
  <c r="C17" i="54" s="1"/>
  <c r="G146" i="25"/>
  <c r="C146" i="54" s="1"/>
  <c r="G299" i="25"/>
  <c r="C299" i="54" s="1"/>
  <c r="G126" i="25"/>
  <c r="C126" i="54" s="1"/>
  <c r="G16" i="25"/>
  <c r="C16" i="54" s="1"/>
  <c r="G217" i="25"/>
  <c r="C217" i="54" s="1"/>
  <c r="G213" i="25"/>
  <c r="C213" i="54" s="1"/>
  <c r="G148" i="25"/>
  <c r="C148" i="54" s="1"/>
  <c r="G15" i="25"/>
  <c r="C15" i="54" s="1"/>
  <c r="G216" i="25"/>
  <c r="C216" i="54" s="1"/>
  <c r="G34" i="25"/>
  <c r="C34" i="54" s="1"/>
  <c r="G187" i="25"/>
  <c r="C187" i="54" s="1"/>
  <c r="G189" i="25"/>
  <c r="C189" i="54" s="1"/>
  <c r="G87" i="25"/>
  <c r="C87" i="54" s="1"/>
  <c r="G195" i="25"/>
  <c r="C195" i="54" s="1"/>
  <c r="G159" i="25"/>
  <c r="C159" i="54" s="1"/>
  <c r="G50" i="25"/>
  <c r="C50" i="54" s="1"/>
  <c r="G44" i="25"/>
  <c r="C44" i="54" s="1"/>
  <c r="G222" i="25"/>
  <c r="C222" i="54" s="1"/>
  <c r="G249" i="25"/>
  <c r="C249" i="54" s="1"/>
  <c r="G275" i="25"/>
  <c r="C275" i="54" s="1"/>
  <c r="G294" i="25"/>
  <c r="C294" i="54" s="1"/>
  <c r="G65" i="25"/>
  <c r="C65" i="54" s="1"/>
  <c r="G61" i="25"/>
  <c r="C61" i="54" s="1"/>
  <c r="G188" i="25"/>
  <c r="C188" i="54" s="1"/>
  <c r="G302" i="25"/>
  <c r="C302" i="54" s="1"/>
  <c r="G192" i="25"/>
  <c r="C192" i="54" s="1"/>
  <c r="G10" i="25"/>
  <c r="C10" i="54" s="1"/>
  <c r="G163" i="25"/>
  <c r="C163" i="54" s="1"/>
  <c r="G85" i="25"/>
  <c r="C85" i="54" s="1"/>
  <c r="G191" i="25"/>
  <c r="C191" i="54" s="1"/>
  <c r="G81" i="25"/>
  <c r="C81" i="54" s="1"/>
  <c r="G210" i="25"/>
  <c r="C210" i="54" s="1"/>
  <c r="G12" i="25"/>
  <c r="C12" i="54" s="1"/>
  <c r="G190" i="25"/>
  <c r="C190" i="54" s="1"/>
  <c r="G80" i="25"/>
  <c r="C80" i="54" s="1"/>
  <c r="G281" i="25"/>
  <c r="C281" i="54" s="1"/>
  <c r="G51" i="25"/>
  <c r="C51" i="54" s="1"/>
  <c r="G212" i="25"/>
  <c r="C212" i="54" s="1"/>
  <c r="G79" i="25"/>
  <c r="C79" i="54" s="1"/>
  <c r="G280" i="25"/>
  <c r="C280" i="54" s="1"/>
  <c r="G98" i="25"/>
  <c r="C98" i="54" s="1"/>
  <c r="G251" i="25"/>
  <c r="C251" i="54" s="1"/>
  <c r="F306" i="39"/>
  <c r="I312" i="9"/>
  <c r="D306" i="12" s="1"/>
  <c r="G306" i="25" l="1"/>
  <c r="C6" i="54"/>
  <c r="C306" i="54" s="1"/>
  <c r="D5" i="34" l="1"/>
  <c r="F39" i="48" l="1"/>
  <c r="F43" i="48" s="1"/>
  <c r="F54" i="48" s="1"/>
  <c r="D6" i="34" l="1"/>
  <c r="D8" i="34" s="1"/>
  <c r="J11" i="34" s="1"/>
  <c r="J27" i="34" l="1"/>
  <c r="H21" i="12" s="1"/>
  <c r="I21" i="12" s="1"/>
  <c r="D21" i="39" s="1"/>
  <c r="G21" i="39" s="1"/>
  <c r="H21" i="39" s="1"/>
  <c r="J187" i="34"/>
  <c r="H181" i="12" s="1"/>
  <c r="I181" i="12" s="1"/>
  <c r="D181" i="39" s="1"/>
  <c r="G181" i="39" s="1"/>
  <c r="H181" i="39" s="1"/>
  <c r="J95" i="34"/>
  <c r="H89" i="12" s="1"/>
  <c r="I89" i="12" s="1"/>
  <c r="D89" i="39" s="1"/>
  <c r="G89" i="39" s="1"/>
  <c r="H89" i="39" s="1"/>
  <c r="J57" i="34"/>
  <c r="H51" i="12" s="1"/>
  <c r="I51" i="12" s="1"/>
  <c r="D51" i="39" s="1"/>
  <c r="G51" i="39" s="1"/>
  <c r="H51" i="39" s="1"/>
  <c r="J26" i="34"/>
  <c r="H20" i="12" s="1"/>
  <c r="I20" i="12" s="1"/>
  <c r="D20" i="39" s="1"/>
  <c r="G20" i="39" s="1"/>
  <c r="H20" i="39" s="1"/>
  <c r="J112" i="34"/>
  <c r="H106" i="12" s="1"/>
  <c r="I106" i="12" s="1"/>
  <c r="D106" i="39" s="1"/>
  <c r="G106" i="39" s="1"/>
  <c r="H106" i="39" s="1"/>
  <c r="J254" i="34"/>
  <c r="H248" i="12" s="1"/>
  <c r="I248" i="12" s="1"/>
  <c r="D248" i="39" s="1"/>
  <c r="G248" i="39" s="1"/>
  <c r="H248" i="39" s="1"/>
  <c r="J198" i="34"/>
  <c r="H192" i="12" s="1"/>
  <c r="I192" i="12" s="1"/>
  <c r="D192" i="39" s="1"/>
  <c r="G192" i="39" s="1"/>
  <c r="H192" i="39" s="1"/>
  <c r="J193" i="34"/>
  <c r="H187" i="12" s="1"/>
  <c r="I187" i="12" s="1"/>
  <c r="D187" i="39" s="1"/>
  <c r="G187" i="39" s="1"/>
  <c r="H187" i="39" s="1"/>
  <c r="J235" i="34"/>
  <c r="H229" i="12" s="1"/>
  <c r="I229" i="12" s="1"/>
  <c r="D229" i="39" s="1"/>
  <c r="G229" i="39" s="1"/>
  <c r="H229" i="39" s="1"/>
  <c r="J277" i="34"/>
  <c r="H271" i="12" s="1"/>
  <c r="I271" i="12" s="1"/>
  <c r="D271" i="39" s="1"/>
  <c r="G271" i="39" s="1"/>
  <c r="H271" i="39" s="1"/>
  <c r="J234" i="34"/>
  <c r="H228" i="12" s="1"/>
  <c r="I228" i="12" s="1"/>
  <c r="D228" i="39" s="1"/>
  <c r="G228" i="39" s="1"/>
  <c r="H228" i="39" s="1"/>
  <c r="J169" i="34"/>
  <c r="H163" i="12" s="1"/>
  <c r="I163" i="12" s="1"/>
  <c r="D163" i="39" s="1"/>
  <c r="G163" i="39" s="1"/>
  <c r="H163" i="39" s="1"/>
  <c r="J116" i="34"/>
  <c r="H110" i="12" s="1"/>
  <c r="I110" i="12" s="1"/>
  <c r="D110" i="39" s="1"/>
  <c r="G110" i="39" s="1"/>
  <c r="H110" i="39" s="1"/>
  <c r="J50" i="34"/>
  <c r="H44" i="12" s="1"/>
  <c r="I44" i="12" s="1"/>
  <c r="D44" i="39" s="1"/>
  <c r="G44" i="39" s="1"/>
  <c r="H44" i="39" s="1"/>
  <c r="J133" i="34"/>
  <c r="H127" i="12" s="1"/>
  <c r="I127" i="12" s="1"/>
  <c r="D127" i="39" s="1"/>
  <c r="G127" i="39" s="1"/>
  <c r="H127" i="39" s="1"/>
  <c r="J33" i="34"/>
  <c r="H27" i="12" s="1"/>
  <c r="I27" i="12" s="1"/>
  <c r="D27" i="39" s="1"/>
  <c r="G27" i="39" s="1"/>
  <c r="H27" i="39" s="1"/>
  <c r="J196" i="34"/>
  <c r="H190" i="12" s="1"/>
  <c r="I190" i="12" s="1"/>
  <c r="D190" i="39" s="1"/>
  <c r="G190" i="39" s="1"/>
  <c r="H190" i="39" s="1"/>
  <c r="J48" i="34"/>
  <c r="H42" i="12" s="1"/>
  <c r="I42" i="12" s="1"/>
  <c r="D42" i="39" s="1"/>
  <c r="G42" i="39" s="1"/>
  <c r="H42" i="39" s="1"/>
  <c r="J113" i="34"/>
  <c r="H107" i="12" s="1"/>
  <c r="I107" i="12" s="1"/>
  <c r="D107" i="39" s="1"/>
  <c r="G107" i="39" s="1"/>
  <c r="H107" i="39" s="1"/>
  <c r="J121" i="34"/>
  <c r="H115" i="12" s="1"/>
  <c r="I115" i="12" s="1"/>
  <c r="D115" i="39" s="1"/>
  <c r="G115" i="39" s="1"/>
  <c r="H115" i="39" s="1"/>
  <c r="J88" i="34"/>
  <c r="H82" i="12" s="1"/>
  <c r="I82" i="12" s="1"/>
  <c r="D82" i="39" s="1"/>
  <c r="G82" i="39" s="1"/>
  <c r="H82" i="39" s="1"/>
  <c r="J13" i="34"/>
  <c r="H7" i="12" s="1"/>
  <c r="I7" i="12" s="1"/>
  <c r="J174" i="34"/>
  <c r="H168" i="12" s="1"/>
  <c r="I168" i="12" s="1"/>
  <c r="D168" i="39" s="1"/>
  <c r="G168" i="39" s="1"/>
  <c r="H168" i="39" s="1"/>
  <c r="J14" i="34"/>
  <c r="H8" i="12" s="1"/>
  <c r="I8" i="12" s="1"/>
  <c r="D8" i="39" s="1"/>
  <c r="G8" i="39" s="1"/>
  <c r="H8" i="39" s="1"/>
  <c r="J192" i="34"/>
  <c r="H186" i="12" s="1"/>
  <c r="I186" i="12" s="1"/>
  <c r="D186" i="39" s="1"/>
  <c r="G186" i="39" s="1"/>
  <c r="H186" i="39" s="1"/>
  <c r="J29" i="34"/>
  <c r="H23" i="12" s="1"/>
  <c r="I23" i="12" s="1"/>
  <c r="D23" i="39" s="1"/>
  <c r="G23" i="39" s="1"/>
  <c r="H23" i="39" s="1"/>
  <c r="J93" i="34"/>
  <c r="H87" i="12" s="1"/>
  <c r="I87" i="12" s="1"/>
  <c r="D87" i="39" s="1"/>
  <c r="G87" i="39" s="1"/>
  <c r="H87" i="39" s="1"/>
  <c r="J271" i="34"/>
  <c r="H265" i="12" s="1"/>
  <c r="I265" i="12" s="1"/>
  <c r="D265" i="39" s="1"/>
  <c r="G265" i="39" s="1"/>
  <c r="H265" i="39" s="1"/>
  <c r="J68" i="34"/>
  <c r="H62" i="12" s="1"/>
  <c r="I62" i="12" s="1"/>
  <c r="D62" i="39" s="1"/>
  <c r="G62" i="39" s="1"/>
  <c r="H62" i="39" s="1"/>
  <c r="J259" i="34"/>
  <c r="H253" i="12" s="1"/>
  <c r="I253" i="12" s="1"/>
  <c r="D253" i="39" s="1"/>
  <c r="G253" i="39" s="1"/>
  <c r="H253" i="39" s="1"/>
  <c r="J94" i="34"/>
  <c r="H88" i="12" s="1"/>
  <c r="I88" i="12" s="1"/>
  <c r="D88" i="39" s="1"/>
  <c r="G88" i="39" s="1"/>
  <c r="H88" i="39" s="1"/>
  <c r="J221" i="34"/>
  <c r="H215" i="12" s="1"/>
  <c r="I215" i="12" s="1"/>
  <c r="D215" i="39" s="1"/>
  <c r="G215" i="39" s="1"/>
  <c r="H215" i="39" s="1"/>
  <c r="J157" i="34"/>
  <c r="H151" i="12" s="1"/>
  <c r="I151" i="12" s="1"/>
  <c r="D151" i="39" s="1"/>
  <c r="G151" i="39" s="1"/>
  <c r="H151" i="39" s="1"/>
  <c r="J32" i="34"/>
  <c r="H26" i="12" s="1"/>
  <c r="I26" i="12" s="1"/>
  <c r="D26" i="39" s="1"/>
  <c r="G26" i="39" s="1"/>
  <c r="H26" i="39" s="1"/>
  <c r="J179" i="34"/>
  <c r="H173" i="12" s="1"/>
  <c r="I173" i="12" s="1"/>
  <c r="D173" i="39" s="1"/>
  <c r="G173" i="39" s="1"/>
  <c r="H173" i="39" s="1"/>
  <c r="J228" i="34"/>
  <c r="H222" i="12" s="1"/>
  <c r="I222" i="12" s="1"/>
  <c r="D222" i="39" s="1"/>
  <c r="G222" i="39" s="1"/>
  <c r="H222" i="39" s="1"/>
  <c r="J23" i="34"/>
  <c r="H17" i="12" s="1"/>
  <c r="I17" i="12" s="1"/>
  <c r="D17" i="39" s="1"/>
  <c r="G17" i="39" s="1"/>
  <c r="H17" i="39" s="1"/>
  <c r="J146" i="34"/>
  <c r="H140" i="12" s="1"/>
  <c r="I140" i="12" s="1"/>
  <c r="D140" i="39" s="1"/>
  <c r="G140" i="39" s="1"/>
  <c r="H140" i="39" s="1"/>
  <c r="J90" i="34"/>
  <c r="H84" i="12" s="1"/>
  <c r="I84" i="12" s="1"/>
  <c r="D84" i="39" s="1"/>
  <c r="G84" i="39" s="1"/>
  <c r="H84" i="39" s="1"/>
  <c r="J206" i="34"/>
  <c r="H200" i="12" s="1"/>
  <c r="I200" i="12" s="1"/>
  <c r="D200" i="39" s="1"/>
  <c r="G200" i="39" s="1"/>
  <c r="H200" i="39" s="1"/>
  <c r="J153" i="34"/>
  <c r="H147" i="12" s="1"/>
  <c r="I147" i="12" s="1"/>
  <c r="D147" i="39" s="1"/>
  <c r="G147" i="39" s="1"/>
  <c r="H147" i="39" s="1"/>
  <c r="J276" i="34"/>
  <c r="H270" i="12" s="1"/>
  <c r="I270" i="12" s="1"/>
  <c r="D270" i="39" s="1"/>
  <c r="G270" i="39" s="1"/>
  <c r="H270" i="39" s="1"/>
  <c r="J308" i="34"/>
  <c r="H302" i="12" s="1"/>
  <c r="I302" i="12" s="1"/>
  <c r="D302" i="39" s="1"/>
  <c r="G302" i="39" s="1"/>
  <c r="H302" i="39" s="1"/>
  <c r="J201" i="34"/>
  <c r="H195" i="12" s="1"/>
  <c r="I195" i="12" s="1"/>
  <c r="D195" i="39" s="1"/>
  <c r="G195" i="39" s="1"/>
  <c r="H195" i="39" s="1"/>
  <c r="J37" i="34"/>
  <c r="H31" i="12" s="1"/>
  <c r="I31" i="12" s="1"/>
  <c r="D31" i="39" s="1"/>
  <c r="G31" i="39" s="1"/>
  <c r="H31" i="39" s="1"/>
  <c r="J84" i="34"/>
  <c r="H78" i="12" s="1"/>
  <c r="I78" i="12" s="1"/>
  <c r="D78" i="39" s="1"/>
  <c r="G78" i="39" s="1"/>
  <c r="H78" i="39" s="1"/>
  <c r="J298" i="34"/>
  <c r="H292" i="12" s="1"/>
  <c r="I292" i="12" s="1"/>
  <c r="D292" i="39" s="1"/>
  <c r="G292" i="39" s="1"/>
  <c r="H292" i="39" s="1"/>
  <c r="J207" i="34"/>
  <c r="H201" i="12" s="1"/>
  <c r="I201" i="12" s="1"/>
  <c r="D201" i="39" s="1"/>
  <c r="G201" i="39" s="1"/>
  <c r="H201" i="39" s="1"/>
  <c r="J287" i="34"/>
  <c r="H281" i="12" s="1"/>
  <c r="I281" i="12" s="1"/>
  <c r="D281" i="39" s="1"/>
  <c r="G281" i="39" s="1"/>
  <c r="H281" i="39" s="1"/>
  <c r="J242" i="34"/>
  <c r="H236" i="12" s="1"/>
  <c r="I236" i="12" s="1"/>
  <c r="D236" i="39" s="1"/>
  <c r="G236" i="39" s="1"/>
  <c r="H236" i="39" s="1"/>
  <c r="J312" i="34"/>
  <c r="H306" i="12" s="1"/>
  <c r="I306" i="12" s="1"/>
  <c r="J110" i="34"/>
  <c r="H104" i="12" s="1"/>
  <c r="I104" i="12" s="1"/>
  <c r="D104" i="39" s="1"/>
  <c r="G104" i="39" s="1"/>
  <c r="H104" i="39" s="1"/>
  <c r="J288" i="34"/>
  <c r="H282" i="12" s="1"/>
  <c r="I282" i="12" s="1"/>
  <c r="D282" i="39" s="1"/>
  <c r="G282" i="39" s="1"/>
  <c r="H282" i="39" s="1"/>
  <c r="J167" i="34"/>
  <c r="H161" i="12" s="1"/>
  <c r="I161" i="12" s="1"/>
  <c r="D161" i="39" s="1"/>
  <c r="G161" i="39" s="1"/>
  <c r="H161" i="39" s="1"/>
  <c r="J165" i="34"/>
  <c r="H159" i="12" s="1"/>
  <c r="I159" i="12" s="1"/>
  <c r="D159" i="39" s="1"/>
  <c r="G159" i="39" s="1"/>
  <c r="H159" i="39" s="1"/>
  <c r="J279" i="34"/>
  <c r="H273" i="12" s="1"/>
  <c r="I273" i="12" s="1"/>
  <c r="D273" i="39" s="1"/>
  <c r="G273" i="39" s="1"/>
  <c r="H273" i="39" s="1"/>
  <c r="J194" i="34"/>
  <c r="H188" i="12" s="1"/>
  <c r="I188" i="12" s="1"/>
  <c r="D188" i="39" s="1"/>
  <c r="G188" i="39" s="1"/>
  <c r="H188" i="39" s="1"/>
  <c r="J97" i="34"/>
  <c r="H91" i="12" s="1"/>
  <c r="I91" i="12" s="1"/>
  <c r="D91" i="39" s="1"/>
  <c r="G91" i="39" s="1"/>
  <c r="H91" i="39" s="1"/>
  <c r="J159" i="34"/>
  <c r="H153" i="12" s="1"/>
  <c r="I153" i="12" s="1"/>
  <c r="D153" i="39" s="1"/>
  <c r="G153" i="39" s="1"/>
  <c r="H153" i="39" s="1"/>
  <c r="J34" i="34"/>
  <c r="H28" i="12" s="1"/>
  <c r="I28" i="12" s="1"/>
  <c r="D28" i="39" s="1"/>
  <c r="G28" i="39" s="1"/>
  <c r="H28" i="39" s="1"/>
  <c r="J72" i="34"/>
  <c r="H66" i="12" s="1"/>
  <c r="I66" i="12" s="1"/>
  <c r="D66" i="39" s="1"/>
  <c r="G66" i="39" s="1"/>
  <c r="H66" i="39" s="1"/>
  <c r="J245" i="34"/>
  <c r="H239" i="12" s="1"/>
  <c r="I239" i="12" s="1"/>
  <c r="D239" i="39" s="1"/>
  <c r="G239" i="39" s="1"/>
  <c r="H239" i="39" s="1"/>
  <c r="J138" i="34"/>
  <c r="H132" i="12" s="1"/>
  <c r="I132" i="12" s="1"/>
  <c r="D132" i="39" s="1"/>
  <c r="G132" i="39" s="1"/>
  <c r="H132" i="39" s="1"/>
  <c r="J91" i="34"/>
  <c r="H85" i="12" s="1"/>
  <c r="I85" i="12" s="1"/>
  <c r="D85" i="39" s="1"/>
  <c r="G85" i="39" s="1"/>
  <c r="H85" i="39" s="1"/>
  <c r="J21" i="34"/>
  <c r="H15" i="12" s="1"/>
  <c r="I15" i="12" s="1"/>
  <c r="D15" i="39" s="1"/>
  <c r="G15" i="39" s="1"/>
  <c r="H15" i="39" s="1"/>
  <c r="J233" i="34"/>
  <c r="H227" i="12" s="1"/>
  <c r="I227" i="12" s="1"/>
  <c r="D227" i="39" s="1"/>
  <c r="G227" i="39" s="1"/>
  <c r="H227" i="39" s="1"/>
  <c r="J209" i="34"/>
  <c r="H203" i="12" s="1"/>
  <c r="I203" i="12" s="1"/>
  <c r="D203" i="39" s="1"/>
  <c r="G203" i="39" s="1"/>
  <c r="H203" i="39" s="1"/>
  <c r="J240" i="34"/>
  <c r="H234" i="12" s="1"/>
  <c r="I234" i="12" s="1"/>
  <c r="D234" i="39" s="1"/>
  <c r="G234" i="39" s="1"/>
  <c r="H234" i="39" s="1"/>
  <c r="J305" i="34"/>
  <c r="H299" i="12" s="1"/>
  <c r="I299" i="12" s="1"/>
  <c r="D299" i="39" s="1"/>
  <c r="G299" i="39" s="1"/>
  <c r="H299" i="39" s="1"/>
  <c r="J200" i="34"/>
  <c r="H194" i="12" s="1"/>
  <c r="I194" i="12" s="1"/>
  <c r="D194" i="39" s="1"/>
  <c r="G194" i="39" s="1"/>
  <c r="H194" i="39" s="1"/>
  <c r="J299" i="34"/>
  <c r="H293" i="12" s="1"/>
  <c r="I293" i="12" s="1"/>
  <c r="D293" i="39" s="1"/>
  <c r="G293" i="39" s="1"/>
  <c r="H293" i="39" s="1"/>
  <c r="J122" i="34"/>
  <c r="H116" i="12" s="1"/>
  <c r="I116" i="12" s="1"/>
  <c r="D116" i="39" s="1"/>
  <c r="G116" i="39" s="1"/>
  <c r="H116" i="39" s="1"/>
  <c r="J177" i="34"/>
  <c r="H171" i="12" s="1"/>
  <c r="I171" i="12" s="1"/>
  <c r="D171" i="39" s="1"/>
  <c r="G171" i="39" s="1"/>
  <c r="H171" i="39" s="1"/>
  <c r="J291" i="34"/>
  <c r="H285" i="12" s="1"/>
  <c r="I285" i="12" s="1"/>
  <c r="D285" i="39" s="1"/>
  <c r="G285" i="39" s="1"/>
  <c r="H285" i="39" s="1"/>
  <c r="J126" i="34"/>
  <c r="H120" i="12" s="1"/>
  <c r="I120" i="12" s="1"/>
  <c r="D120" i="39" s="1"/>
  <c r="G120" i="39" s="1"/>
  <c r="H120" i="39" s="1"/>
  <c r="J127" i="34"/>
  <c r="H121" i="12" s="1"/>
  <c r="I121" i="12" s="1"/>
  <c r="D121" i="39" s="1"/>
  <c r="G121" i="39" s="1"/>
  <c r="H121" i="39" s="1"/>
  <c r="J19" i="34"/>
  <c r="H13" i="12" s="1"/>
  <c r="I13" i="12" s="1"/>
  <c r="D13" i="39" s="1"/>
  <c r="G13" i="39" s="1"/>
  <c r="H13" i="39" s="1"/>
  <c r="J117" i="34"/>
  <c r="H111" i="12" s="1"/>
  <c r="I111" i="12" s="1"/>
  <c r="D111" i="39" s="1"/>
  <c r="G111" i="39" s="1"/>
  <c r="H111" i="39" s="1"/>
  <c r="J210" i="34"/>
  <c r="H204" i="12" s="1"/>
  <c r="I204" i="12" s="1"/>
  <c r="D204" i="39" s="1"/>
  <c r="G204" i="39" s="1"/>
  <c r="H204" i="39" s="1"/>
  <c r="J44" i="34"/>
  <c r="H38" i="12" s="1"/>
  <c r="I38" i="12" s="1"/>
  <c r="D38" i="39" s="1"/>
  <c r="G38" i="39" s="1"/>
  <c r="H38" i="39" s="1"/>
  <c r="J36" i="34"/>
  <c r="H30" i="12" s="1"/>
  <c r="I30" i="12" s="1"/>
  <c r="D30" i="39" s="1"/>
  <c r="G30" i="39" s="1"/>
  <c r="H30" i="39" s="1"/>
  <c r="J134" i="34"/>
  <c r="H128" i="12" s="1"/>
  <c r="I128" i="12" s="1"/>
  <c r="D128" i="39" s="1"/>
  <c r="G128" i="39" s="1"/>
  <c r="H128" i="39" s="1"/>
  <c r="J129" i="34"/>
  <c r="H123" i="12" s="1"/>
  <c r="I123" i="12" s="1"/>
  <c r="D123" i="39" s="1"/>
  <c r="G123" i="39" s="1"/>
  <c r="H123" i="39" s="1"/>
  <c r="J100" i="34"/>
  <c r="H94" i="12" s="1"/>
  <c r="I94" i="12" s="1"/>
  <c r="D94" i="39" s="1"/>
  <c r="G94" i="39" s="1"/>
  <c r="H94" i="39" s="1"/>
  <c r="J140" i="34"/>
  <c r="H134" i="12" s="1"/>
  <c r="I134" i="12" s="1"/>
  <c r="D134" i="39" s="1"/>
  <c r="G134" i="39" s="1"/>
  <c r="H134" i="39" s="1"/>
  <c r="J103" i="34"/>
  <c r="H97" i="12" s="1"/>
  <c r="I97" i="12" s="1"/>
  <c r="D97" i="39" s="1"/>
  <c r="G97" i="39" s="1"/>
  <c r="H97" i="39" s="1"/>
  <c r="J278" i="34"/>
  <c r="H272" i="12" s="1"/>
  <c r="I272" i="12" s="1"/>
  <c r="D272" i="39" s="1"/>
  <c r="G272" i="39" s="1"/>
  <c r="H272" i="39" s="1"/>
  <c r="J275" i="34"/>
  <c r="H269" i="12" s="1"/>
  <c r="I269" i="12" s="1"/>
  <c r="D269" i="39" s="1"/>
  <c r="G269" i="39" s="1"/>
  <c r="H269" i="39" s="1"/>
  <c r="J171" i="34"/>
  <c r="H165" i="12" s="1"/>
  <c r="I165" i="12" s="1"/>
  <c r="D165" i="39" s="1"/>
  <c r="G165" i="39" s="1"/>
  <c r="H165" i="39" s="1"/>
  <c r="J164" i="34"/>
  <c r="H158" i="12" s="1"/>
  <c r="I158" i="12" s="1"/>
  <c r="D158" i="39" s="1"/>
  <c r="G158" i="39" s="1"/>
  <c r="H158" i="39" s="1"/>
  <c r="J215" i="34"/>
  <c r="H209" i="12" s="1"/>
  <c r="I209" i="12" s="1"/>
  <c r="D209" i="39" s="1"/>
  <c r="G209" i="39" s="1"/>
  <c r="H209" i="39" s="1"/>
  <c r="J81" i="34"/>
  <c r="H75" i="12" s="1"/>
  <c r="I75" i="12" s="1"/>
  <c r="D75" i="39" s="1"/>
  <c r="G75" i="39" s="1"/>
  <c r="H75" i="39" s="1"/>
  <c r="J188" i="34"/>
  <c r="H182" i="12" s="1"/>
  <c r="I182" i="12" s="1"/>
  <c r="D182" i="39" s="1"/>
  <c r="G182" i="39" s="1"/>
  <c r="H182" i="39" s="1"/>
  <c r="J79" i="34"/>
  <c r="H73" i="12" s="1"/>
  <c r="I73" i="12" s="1"/>
  <c r="D73" i="39" s="1"/>
  <c r="G73" i="39" s="1"/>
  <c r="H73" i="39" s="1"/>
  <c r="J55" i="34"/>
  <c r="H49" i="12" s="1"/>
  <c r="I49" i="12" s="1"/>
  <c r="D49" i="39" s="1"/>
  <c r="G49" i="39" s="1"/>
  <c r="H49" i="39" s="1"/>
  <c r="J25" i="34"/>
  <c r="H19" i="12" s="1"/>
  <c r="I19" i="12" s="1"/>
  <c r="D19" i="39" s="1"/>
  <c r="G19" i="39" s="1"/>
  <c r="H19" i="39" s="1"/>
  <c r="J70" i="34"/>
  <c r="H64" i="12" s="1"/>
  <c r="I64" i="12" s="1"/>
  <c r="D64" i="39" s="1"/>
  <c r="G64" i="39" s="1"/>
  <c r="H64" i="39" s="1"/>
  <c r="J258" i="34"/>
  <c r="H252" i="12" s="1"/>
  <c r="I252" i="12" s="1"/>
  <c r="D252" i="39" s="1"/>
  <c r="G252" i="39" s="1"/>
  <c r="H252" i="39" s="1"/>
  <c r="J105" i="34"/>
  <c r="H99" i="12" s="1"/>
  <c r="I99" i="12" s="1"/>
  <c r="D99" i="39" s="1"/>
  <c r="G99" i="39" s="1"/>
  <c r="H99" i="39" s="1"/>
  <c r="J253" i="34"/>
  <c r="H247" i="12" s="1"/>
  <c r="I247" i="12" s="1"/>
  <c r="D247" i="39" s="1"/>
  <c r="G247" i="39" s="1"/>
  <c r="H247" i="39" s="1"/>
  <c r="J128" i="34"/>
  <c r="H122" i="12" s="1"/>
  <c r="I122" i="12" s="1"/>
  <c r="D122" i="39" s="1"/>
  <c r="G122" i="39" s="1"/>
  <c r="H122" i="39" s="1"/>
  <c r="J144" i="34"/>
  <c r="H138" i="12" s="1"/>
  <c r="I138" i="12" s="1"/>
  <c r="D138" i="39" s="1"/>
  <c r="G138" i="39" s="1"/>
  <c r="H138" i="39" s="1"/>
  <c r="J52" i="34"/>
  <c r="H46" i="12" s="1"/>
  <c r="I46" i="12" s="1"/>
  <c r="D46" i="39" s="1"/>
  <c r="G46" i="39" s="1"/>
  <c r="H46" i="39" s="1"/>
  <c r="J42" i="34"/>
  <c r="H36" i="12" s="1"/>
  <c r="I36" i="12" s="1"/>
  <c r="D36" i="39" s="1"/>
  <c r="G36" i="39" s="1"/>
  <c r="H36" i="39" s="1"/>
  <c r="J155" i="34"/>
  <c r="H149" i="12" s="1"/>
  <c r="I149" i="12" s="1"/>
  <c r="D149" i="39" s="1"/>
  <c r="G149" i="39" s="1"/>
  <c r="H149" i="39" s="1"/>
  <c r="J208" i="34"/>
  <c r="H202" i="12" s="1"/>
  <c r="I202" i="12" s="1"/>
  <c r="D202" i="39" s="1"/>
  <c r="G202" i="39" s="1"/>
  <c r="H202" i="39" s="1"/>
  <c r="J273" i="34"/>
  <c r="H267" i="12" s="1"/>
  <c r="I267" i="12" s="1"/>
  <c r="D267" i="39" s="1"/>
  <c r="G267" i="39" s="1"/>
  <c r="H267" i="39" s="1"/>
  <c r="J108" i="34"/>
  <c r="H102" i="12" s="1"/>
  <c r="I102" i="12" s="1"/>
  <c r="D102" i="39" s="1"/>
  <c r="G102" i="39" s="1"/>
  <c r="H102" i="39" s="1"/>
  <c r="J31" i="34"/>
  <c r="H25" i="12" s="1"/>
  <c r="I25" i="12" s="1"/>
  <c r="D25" i="39" s="1"/>
  <c r="G25" i="39" s="1"/>
  <c r="H25" i="39" s="1"/>
  <c r="J281" i="34"/>
  <c r="H275" i="12" s="1"/>
  <c r="I275" i="12" s="1"/>
  <c r="D275" i="39" s="1"/>
  <c r="G275" i="39" s="1"/>
  <c r="H275" i="39" s="1"/>
  <c r="J213" i="34"/>
  <c r="H207" i="12" s="1"/>
  <c r="I207" i="12" s="1"/>
  <c r="D207" i="39" s="1"/>
  <c r="G207" i="39" s="1"/>
  <c r="H207" i="39" s="1"/>
  <c r="J272" i="34"/>
  <c r="H266" i="12" s="1"/>
  <c r="I266" i="12" s="1"/>
  <c r="D266" i="39" s="1"/>
  <c r="G266" i="39" s="1"/>
  <c r="H266" i="39" s="1"/>
  <c r="J18" i="34"/>
  <c r="H12" i="12" s="1"/>
  <c r="I12" i="12" s="1"/>
  <c r="D12" i="39" s="1"/>
  <c r="G12" i="39" s="1"/>
  <c r="H12" i="39" s="1"/>
  <c r="J301" i="34"/>
  <c r="H295" i="12" s="1"/>
  <c r="I295" i="12" s="1"/>
  <c r="D295" i="39" s="1"/>
  <c r="G295" i="39" s="1"/>
  <c r="H295" i="39" s="1"/>
  <c r="J24" i="34"/>
  <c r="H18" i="12" s="1"/>
  <c r="I18" i="12" s="1"/>
  <c r="D18" i="39" s="1"/>
  <c r="G18" i="39" s="1"/>
  <c r="H18" i="39" s="1"/>
  <c r="J268" i="34"/>
  <c r="H262" i="12" s="1"/>
  <c r="I262" i="12" s="1"/>
  <c r="D262" i="39" s="1"/>
  <c r="G262" i="39" s="1"/>
  <c r="H262" i="39" s="1"/>
  <c r="J41" i="34"/>
  <c r="H35" i="12" s="1"/>
  <c r="I35" i="12" s="1"/>
  <c r="D35" i="39" s="1"/>
  <c r="G35" i="39" s="1"/>
  <c r="H35" i="39" s="1"/>
  <c r="J75" i="34"/>
  <c r="H69" i="12" s="1"/>
  <c r="I69" i="12" s="1"/>
  <c r="D69" i="39" s="1"/>
  <c r="G69" i="39" s="1"/>
  <c r="H69" i="39" s="1"/>
  <c r="J244" i="34"/>
  <c r="H238" i="12" s="1"/>
  <c r="I238" i="12" s="1"/>
  <c r="D238" i="39" s="1"/>
  <c r="G238" i="39" s="1"/>
  <c r="H238" i="39" s="1"/>
  <c r="J137" i="34"/>
  <c r="H131" i="12" s="1"/>
  <c r="I131" i="12" s="1"/>
  <c r="D131" i="39" s="1"/>
  <c r="G131" i="39" s="1"/>
  <c r="H131" i="39" s="1"/>
  <c r="J226" i="34"/>
  <c r="H220" i="12" s="1"/>
  <c r="I220" i="12" s="1"/>
  <c r="D220" i="39" s="1"/>
  <c r="G220" i="39" s="1"/>
  <c r="H220" i="39" s="1"/>
  <c r="J104" i="34"/>
  <c r="H98" i="12" s="1"/>
  <c r="I98" i="12" s="1"/>
  <c r="D98" i="39" s="1"/>
  <c r="G98" i="39" s="1"/>
  <c r="H98" i="39" s="1"/>
  <c r="J69" i="34"/>
  <c r="H63" i="12" s="1"/>
  <c r="I63" i="12" s="1"/>
  <c r="D63" i="39" s="1"/>
  <c r="G63" i="39" s="1"/>
  <c r="H63" i="39" s="1"/>
  <c r="J183" i="34"/>
  <c r="H177" i="12" s="1"/>
  <c r="I177" i="12" s="1"/>
  <c r="D177" i="39" s="1"/>
  <c r="G177" i="39" s="1"/>
  <c r="H177" i="39" s="1"/>
  <c r="J170" i="34"/>
  <c r="H164" i="12" s="1"/>
  <c r="I164" i="12" s="1"/>
  <c r="D164" i="39" s="1"/>
  <c r="G164" i="39" s="1"/>
  <c r="H164" i="39" s="1"/>
  <c r="J203" i="34"/>
  <c r="H197" i="12" s="1"/>
  <c r="I197" i="12" s="1"/>
  <c r="D197" i="39" s="1"/>
  <c r="G197" i="39" s="1"/>
  <c r="H197" i="39" s="1"/>
  <c r="J309" i="34"/>
  <c r="H303" i="12" s="1"/>
  <c r="I303" i="12" s="1"/>
  <c r="D303" i="39" s="1"/>
  <c r="G303" i="39" s="1"/>
  <c r="H303" i="39" s="1"/>
  <c r="J114" i="34"/>
  <c r="H108" i="12" s="1"/>
  <c r="I108" i="12" s="1"/>
  <c r="D108" i="39" s="1"/>
  <c r="G108" i="39" s="1"/>
  <c r="H108" i="39" s="1"/>
  <c r="J45" i="34"/>
  <c r="H39" i="12" s="1"/>
  <c r="I39" i="12" s="1"/>
  <c r="D39" i="39" s="1"/>
  <c r="G39" i="39" s="1"/>
  <c r="H39" i="39" s="1"/>
  <c r="J148" i="34"/>
  <c r="H142" i="12" s="1"/>
  <c r="I142" i="12" s="1"/>
  <c r="D142" i="39" s="1"/>
  <c r="G142" i="39" s="1"/>
  <c r="H142" i="39" s="1"/>
  <c r="J66" i="34"/>
  <c r="H60" i="12" s="1"/>
  <c r="I60" i="12" s="1"/>
  <c r="D60" i="39" s="1"/>
  <c r="G60" i="39" s="1"/>
  <c r="H60" i="39" s="1"/>
  <c r="J161" i="34"/>
  <c r="H155" i="12" s="1"/>
  <c r="I155" i="12" s="1"/>
  <c r="D155" i="39" s="1"/>
  <c r="G155" i="39" s="1"/>
  <c r="H155" i="39" s="1"/>
  <c r="J280" i="34"/>
  <c r="H274" i="12" s="1"/>
  <c r="I274" i="12" s="1"/>
  <c r="D274" i="39" s="1"/>
  <c r="G274" i="39" s="1"/>
  <c r="H274" i="39" s="1"/>
  <c r="J205" i="34"/>
  <c r="H199" i="12" s="1"/>
  <c r="I199" i="12" s="1"/>
  <c r="D199" i="39" s="1"/>
  <c r="G199" i="39" s="1"/>
  <c r="H199" i="39" s="1"/>
  <c r="J102" i="34"/>
  <c r="H96" i="12" s="1"/>
  <c r="I96" i="12" s="1"/>
  <c r="D96" i="39" s="1"/>
  <c r="G96" i="39" s="1"/>
  <c r="H96" i="39" s="1"/>
  <c r="J83" i="34"/>
  <c r="H77" i="12" s="1"/>
  <c r="I77" i="12" s="1"/>
  <c r="D77" i="39" s="1"/>
  <c r="G77" i="39" s="1"/>
  <c r="H77" i="39" s="1"/>
  <c r="J181" i="34"/>
  <c r="H175" i="12" s="1"/>
  <c r="I175" i="12" s="1"/>
  <c r="D175" i="39" s="1"/>
  <c r="G175" i="39" s="1"/>
  <c r="H175" i="39" s="1"/>
  <c r="J250" i="34"/>
  <c r="H244" i="12" s="1"/>
  <c r="I244" i="12" s="1"/>
  <c r="D244" i="39" s="1"/>
  <c r="G244" i="39" s="1"/>
  <c r="H244" i="39" s="1"/>
  <c r="J162" i="34"/>
  <c r="H156" i="12" s="1"/>
  <c r="I156" i="12" s="1"/>
  <c r="D156" i="39" s="1"/>
  <c r="G156" i="39" s="1"/>
  <c r="H156" i="39" s="1"/>
  <c r="J243" i="34"/>
  <c r="H237" i="12" s="1"/>
  <c r="I237" i="12" s="1"/>
  <c r="D237" i="39" s="1"/>
  <c r="G237" i="39" s="1"/>
  <c r="H237" i="39" s="1"/>
  <c r="J51" i="34"/>
  <c r="H45" i="12" s="1"/>
  <c r="I45" i="12" s="1"/>
  <c r="D45" i="39" s="1"/>
  <c r="G45" i="39" s="1"/>
  <c r="H45" i="39" s="1"/>
  <c r="J22" i="34"/>
  <c r="H16" i="12" s="1"/>
  <c r="I16" i="12" s="1"/>
  <c r="D16" i="39" s="1"/>
  <c r="G16" i="39" s="1"/>
  <c r="H16" i="39" s="1"/>
  <c r="J136" i="34"/>
  <c r="H130" i="12" s="1"/>
  <c r="I130" i="12" s="1"/>
  <c r="D130" i="39" s="1"/>
  <c r="G130" i="39" s="1"/>
  <c r="H130" i="39" s="1"/>
  <c r="J251" i="34"/>
  <c r="H245" i="12" s="1"/>
  <c r="I245" i="12" s="1"/>
  <c r="D245" i="39" s="1"/>
  <c r="G245" i="39" s="1"/>
  <c r="H245" i="39" s="1"/>
  <c r="J293" i="34"/>
  <c r="H287" i="12" s="1"/>
  <c r="I287" i="12" s="1"/>
  <c r="D287" i="39" s="1"/>
  <c r="G287" i="39" s="1"/>
  <c r="H287" i="39" s="1"/>
  <c r="J262" i="34"/>
  <c r="H256" i="12" s="1"/>
  <c r="I256" i="12" s="1"/>
  <c r="D256" i="39" s="1"/>
  <c r="G256" i="39" s="1"/>
  <c r="H256" i="39" s="1"/>
  <c r="J257" i="34"/>
  <c r="H251" i="12" s="1"/>
  <c r="I251" i="12" s="1"/>
  <c r="D251" i="39" s="1"/>
  <c r="G251" i="39" s="1"/>
  <c r="H251" i="39" s="1"/>
  <c r="J163" i="34"/>
  <c r="H157" i="12" s="1"/>
  <c r="I157" i="12" s="1"/>
  <c r="D157" i="39" s="1"/>
  <c r="G157" i="39" s="1"/>
  <c r="H157" i="39" s="1"/>
  <c r="J82" i="34"/>
  <c r="H76" i="12" s="1"/>
  <c r="I76" i="12" s="1"/>
  <c r="D76" i="39" s="1"/>
  <c r="G76" i="39" s="1"/>
  <c r="H76" i="39" s="1"/>
  <c r="J118" i="34"/>
  <c r="H112" i="12" s="1"/>
  <c r="I112" i="12" s="1"/>
  <c r="D112" i="39" s="1"/>
  <c r="G112" i="39" s="1"/>
  <c r="H112" i="39" s="1"/>
  <c r="J107" i="34"/>
  <c r="H101" i="12" s="1"/>
  <c r="I101" i="12" s="1"/>
  <c r="D101" i="39" s="1"/>
  <c r="G101" i="39" s="1"/>
  <c r="H101" i="39" s="1"/>
  <c r="J96" i="34"/>
  <c r="H90" i="12" s="1"/>
  <c r="I90" i="12" s="1"/>
  <c r="D90" i="39" s="1"/>
  <c r="G90" i="39" s="1"/>
  <c r="H90" i="39" s="1"/>
  <c r="J76" i="34"/>
  <c r="H70" i="12" s="1"/>
  <c r="I70" i="12" s="1"/>
  <c r="D70" i="39" s="1"/>
  <c r="G70" i="39" s="1"/>
  <c r="H70" i="39" s="1"/>
  <c r="J150" i="34"/>
  <c r="H144" i="12" s="1"/>
  <c r="I144" i="12" s="1"/>
  <c r="D144" i="39" s="1"/>
  <c r="G144" i="39" s="1"/>
  <c r="H144" i="39" s="1"/>
  <c r="J61" i="34"/>
  <c r="H55" i="12" s="1"/>
  <c r="I55" i="12" s="1"/>
  <c r="D55" i="39" s="1"/>
  <c r="G55" i="39" s="1"/>
  <c r="H55" i="39" s="1"/>
  <c r="J239" i="34"/>
  <c r="H233" i="12" s="1"/>
  <c r="I233" i="12" s="1"/>
  <c r="D233" i="39" s="1"/>
  <c r="G233" i="39" s="1"/>
  <c r="H233" i="39" s="1"/>
  <c r="J214" i="34"/>
  <c r="H208" i="12" s="1"/>
  <c r="I208" i="12" s="1"/>
  <c r="D208" i="39" s="1"/>
  <c r="G208" i="39" s="1"/>
  <c r="H208" i="39" s="1"/>
  <c r="J124" i="34"/>
  <c r="H118" i="12" s="1"/>
  <c r="I118" i="12" s="1"/>
  <c r="D118" i="39" s="1"/>
  <c r="G118" i="39" s="1"/>
  <c r="H118" i="39" s="1"/>
  <c r="J15" i="34"/>
  <c r="H9" i="12" s="1"/>
  <c r="I9" i="12" s="1"/>
  <c r="D9" i="39" s="1"/>
  <c r="G9" i="39" s="1"/>
  <c r="H9" i="39" s="1"/>
  <c r="J311" i="34"/>
  <c r="H305" i="12" s="1"/>
  <c r="I305" i="12" s="1"/>
  <c r="D305" i="39" s="1"/>
  <c r="G305" i="39" s="1"/>
  <c r="H305" i="39" s="1"/>
  <c r="J216" i="34"/>
  <c r="H210" i="12" s="1"/>
  <c r="I210" i="12" s="1"/>
  <c r="D210" i="39" s="1"/>
  <c r="G210" i="39" s="1"/>
  <c r="H210" i="39" s="1"/>
  <c r="J141" i="34"/>
  <c r="H135" i="12" s="1"/>
  <c r="I135" i="12" s="1"/>
  <c r="D135" i="39" s="1"/>
  <c r="G135" i="39" s="1"/>
  <c r="H135" i="39" s="1"/>
  <c r="J285" i="34"/>
  <c r="H279" i="12" s="1"/>
  <c r="I279" i="12" s="1"/>
  <c r="D279" i="39" s="1"/>
  <c r="G279" i="39" s="1"/>
  <c r="H279" i="39" s="1"/>
  <c r="J16" i="34"/>
  <c r="H10" i="12" s="1"/>
  <c r="I10" i="12" s="1"/>
  <c r="D10" i="39" s="1"/>
  <c r="G10" i="39" s="1"/>
  <c r="H10" i="39" s="1"/>
  <c r="J130" i="34"/>
  <c r="H124" i="12" s="1"/>
  <c r="I124" i="12" s="1"/>
  <c r="D124" i="39" s="1"/>
  <c r="G124" i="39" s="1"/>
  <c r="H124" i="39" s="1"/>
  <c r="J119" i="34"/>
  <c r="H113" i="12" s="1"/>
  <c r="I113" i="12" s="1"/>
  <c r="D113" i="39" s="1"/>
  <c r="G113" i="39" s="1"/>
  <c r="H113" i="39" s="1"/>
  <c r="J71" i="34"/>
  <c r="H65" i="12" s="1"/>
  <c r="I65" i="12" s="1"/>
  <c r="D65" i="39" s="1"/>
  <c r="G65" i="39" s="1"/>
  <c r="H65" i="39" s="1"/>
  <c r="J65" i="34"/>
  <c r="H59" i="12" s="1"/>
  <c r="I59" i="12" s="1"/>
  <c r="D59" i="39" s="1"/>
  <c r="G59" i="39" s="1"/>
  <c r="H59" i="39" s="1"/>
  <c r="J49" i="34"/>
  <c r="H43" i="12" s="1"/>
  <c r="I43" i="12" s="1"/>
  <c r="D43" i="39" s="1"/>
  <c r="G43" i="39" s="1"/>
  <c r="H43" i="39" s="1"/>
  <c r="J99" i="34"/>
  <c r="H93" i="12" s="1"/>
  <c r="I93" i="12" s="1"/>
  <c r="D93" i="39" s="1"/>
  <c r="G93" i="39" s="1"/>
  <c r="H93" i="39" s="1"/>
  <c r="J73" i="34"/>
  <c r="H67" i="12" s="1"/>
  <c r="I67" i="12" s="1"/>
  <c r="D67" i="39" s="1"/>
  <c r="G67" i="39" s="1"/>
  <c r="H67" i="39" s="1"/>
  <c r="J202" i="34"/>
  <c r="H196" i="12" s="1"/>
  <c r="I196" i="12" s="1"/>
  <c r="D196" i="39" s="1"/>
  <c r="G196" i="39" s="1"/>
  <c r="H196" i="39" s="1"/>
  <c r="J185" i="34"/>
  <c r="H179" i="12" s="1"/>
  <c r="I179" i="12" s="1"/>
  <c r="D179" i="39" s="1"/>
  <c r="G179" i="39" s="1"/>
  <c r="H179" i="39" s="1"/>
  <c r="J151" i="34"/>
  <c r="H145" i="12" s="1"/>
  <c r="I145" i="12" s="1"/>
  <c r="D145" i="39" s="1"/>
  <c r="G145" i="39" s="1"/>
  <c r="H145" i="39" s="1"/>
  <c r="J186" i="34"/>
  <c r="H180" i="12" s="1"/>
  <c r="I180" i="12" s="1"/>
  <c r="D180" i="39" s="1"/>
  <c r="G180" i="39" s="1"/>
  <c r="H180" i="39" s="1"/>
  <c r="J132" i="34"/>
  <c r="H126" i="12" s="1"/>
  <c r="I126" i="12" s="1"/>
  <c r="D126" i="39" s="1"/>
  <c r="G126" i="39" s="1"/>
  <c r="H126" i="39" s="1"/>
  <c r="J230" i="34"/>
  <c r="H224" i="12" s="1"/>
  <c r="I224" i="12" s="1"/>
  <c r="D224" i="39" s="1"/>
  <c r="G224" i="39" s="1"/>
  <c r="H224" i="39" s="1"/>
  <c r="J225" i="34"/>
  <c r="H219" i="12" s="1"/>
  <c r="I219" i="12" s="1"/>
  <c r="D219" i="39" s="1"/>
  <c r="G219" i="39" s="1"/>
  <c r="H219" i="39" s="1"/>
  <c r="J98" i="34"/>
  <c r="H92" i="12" s="1"/>
  <c r="I92" i="12" s="1"/>
  <c r="D92" i="39" s="1"/>
  <c r="G92" i="39" s="1"/>
  <c r="H92" i="39" s="1"/>
  <c r="J53" i="34"/>
  <c r="H47" i="12" s="1"/>
  <c r="I47" i="12" s="1"/>
  <c r="D47" i="39" s="1"/>
  <c r="G47" i="39" s="1"/>
  <c r="H47" i="39" s="1"/>
  <c r="J265" i="34"/>
  <c r="H259" i="12" s="1"/>
  <c r="I259" i="12" s="1"/>
  <c r="D259" i="39" s="1"/>
  <c r="G259" i="39" s="1"/>
  <c r="H259" i="39" s="1"/>
  <c r="J199" i="34"/>
  <c r="H193" i="12" s="1"/>
  <c r="I193" i="12" s="1"/>
  <c r="D193" i="39" s="1"/>
  <c r="G193" i="39" s="1"/>
  <c r="H193" i="39" s="1"/>
  <c r="J294" i="34"/>
  <c r="H288" i="12" s="1"/>
  <c r="I288" i="12" s="1"/>
  <c r="D288" i="39" s="1"/>
  <c r="G288" i="39" s="1"/>
  <c r="H288" i="39" s="1"/>
  <c r="J289" i="34"/>
  <c r="H283" i="12" s="1"/>
  <c r="I283" i="12" s="1"/>
  <c r="D283" i="39" s="1"/>
  <c r="G283" i="39" s="1"/>
  <c r="H283" i="39" s="1"/>
  <c r="J267" i="34"/>
  <c r="H261" i="12" s="1"/>
  <c r="I261" i="12" s="1"/>
  <c r="D261" i="39" s="1"/>
  <c r="G261" i="39" s="1"/>
  <c r="H261" i="39" s="1"/>
  <c r="J189" i="34"/>
  <c r="H183" i="12" s="1"/>
  <c r="I183" i="12" s="1"/>
  <c r="D183" i="39" s="1"/>
  <c r="G183" i="39" s="1"/>
  <c r="H183" i="39" s="1"/>
  <c r="J64" i="34"/>
  <c r="H58" i="12" s="1"/>
  <c r="I58" i="12" s="1"/>
  <c r="D58" i="39" s="1"/>
  <c r="G58" i="39" s="1"/>
  <c r="H58" i="39" s="1"/>
  <c r="J190" i="34"/>
  <c r="H184" i="12" s="1"/>
  <c r="I184" i="12" s="1"/>
  <c r="D184" i="39" s="1"/>
  <c r="G184" i="39" s="1"/>
  <c r="H184" i="39" s="1"/>
  <c r="J229" i="34"/>
  <c r="H223" i="12" s="1"/>
  <c r="I223" i="12" s="1"/>
  <c r="D223" i="39" s="1"/>
  <c r="G223" i="39" s="1"/>
  <c r="H223" i="39" s="1"/>
  <c r="J40" i="34"/>
  <c r="H34" i="12" s="1"/>
  <c r="I34" i="12" s="1"/>
  <c r="D34" i="39" s="1"/>
  <c r="G34" i="39" s="1"/>
  <c r="H34" i="39" s="1"/>
  <c r="J67" i="34"/>
  <c r="H61" i="12" s="1"/>
  <c r="I61" i="12" s="1"/>
  <c r="D61" i="39" s="1"/>
  <c r="G61" i="39" s="1"/>
  <c r="H61" i="39" s="1"/>
  <c r="J195" i="34"/>
  <c r="H189" i="12" s="1"/>
  <c r="I189" i="12" s="1"/>
  <c r="D189" i="39" s="1"/>
  <c r="G189" i="39" s="1"/>
  <c r="H189" i="39" s="1"/>
  <c r="J30" i="34"/>
  <c r="H24" i="12" s="1"/>
  <c r="I24" i="12" s="1"/>
  <c r="D24" i="39" s="1"/>
  <c r="G24" i="39" s="1"/>
  <c r="H24" i="39" s="1"/>
  <c r="J264" i="34"/>
  <c r="H258" i="12" s="1"/>
  <c r="I258" i="12" s="1"/>
  <c r="D258" i="39" s="1"/>
  <c r="G258" i="39" s="1"/>
  <c r="H258" i="39" s="1"/>
  <c r="J184" i="34"/>
  <c r="H178" i="12" s="1"/>
  <c r="I178" i="12" s="1"/>
  <c r="D178" i="39" s="1"/>
  <c r="G178" i="39" s="1"/>
  <c r="H178" i="39" s="1"/>
  <c r="J109" i="34"/>
  <c r="H103" i="12" s="1"/>
  <c r="I103" i="12" s="1"/>
  <c r="D103" i="39" s="1"/>
  <c r="G103" i="39" s="1"/>
  <c r="H103" i="39" s="1"/>
  <c r="J252" i="34"/>
  <c r="H246" i="12" s="1"/>
  <c r="I246" i="12" s="1"/>
  <c r="D246" i="39" s="1"/>
  <c r="G246" i="39" s="1"/>
  <c r="H246" i="39" s="1"/>
  <c r="J310" i="34"/>
  <c r="H304" i="12" s="1"/>
  <c r="I304" i="12" s="1"/>
  <c r="D304" i="39" s="1"/>
  <c r="G304" i="39" s="1"/>
  <c r="H304" i="39" s="1"/>
  <c r="J307" i="34"/>
  <c r="H301" i="12" s="1"/>
  <c r="I301" i="12" s="1"/>
  <c r="D301" i="39" s="1"/>
  <c r="G301" i="39" s="1"/>
  <c r="H301" i="39" s="1"/>
  <c r="J139" i="34"/>
  <c r="H133" i="12" s="1"/>
  <c r="I133" i="12" s="1"/>
  <c r="D133" i="39" s="1"/>
  <c r="G133" i="39" s="1"/>
  <c r="H133" i="39" s="1"/>
  <c r="J59" i="34"/>
  <c r="H53" i="12" s="1"/>
  <c r="I53" i="12" s="1"/>
  <c r="D53" i="39" s="1"/>
  <c r="G53" i="39" s="1"/>
  <c r="H53" i="39" s="1"/>
  <c r="J247" i="34"/>
  <c r="H241" i="12" s="1"/>
  <c r="I241" i="12" s="1"/>
  <c r="D241" i="39" s="1"/>
  <c r="G241" i="39" s="1"/>
  <c r="H241" i="39" s="1"/>
  <c r="J306" i="34"/>
  <c r="H300" i="12" s="1"/>
  <c r="I300" i="12" s="1"/>
  <c r="D300" i="39" s="1"/>
  <c r="G300" i="39" s="1"/>
  <c r="H300" i="39" s="1"/>
  <c r="J101" i="34"/>
  <c r="H95" i="12" s="1"/>
  <c r="I95" i="12" s="1"/>
  <c r="D95" i="39" s="1"/>
  <c r="G95" i="39" s="1"/>
  <c r="H95" i="39" s="1"/>
  <c r="J142" i="34"/>
  <c r="H136" i="12" s="1"/>
  <c r="I136" i="12" s="1"/>
  <c r="D136" i="39" s="1"/>
  <c r="G136" i="39" s="1"/>
  <c r="H136" i="39" s="1"/>
  <c r="J89" i="34"/>
  <c r="H83" i="12" s="1"/>
  <c r="I83" i="12" s="1"/>
  <c r="D83" i="39" s="1"/>
  <c r="G83" i="39" s="1"/>
  <c r="H83" i="39" s="1"/>
  <c r="J143" i="34"/>
  <c r="H137" i="12" s="1"/>
  <c r="I137" i="12" s="1"/>
  <c r="D137" i="39" s="1"/>
  <c r="G137" i="39" s="1"/>
  <c r="H137" i="39" s="1"/>
  <c r="J182" i="34"/>
  <c r="H176" i="12" s="1"/>
  <c r="I176" i="12" s="1"/>
  <c r="D176" i="39" s="1"/>
  <c r="G176" i="39" s="1"/>
  <c r="H176" i="39" s="1"/>
  <c r="J296" i="34"/>
  <c r="H290" i="12" s="1"/>
  <c r="I290" i="12" s="1"/>
  <c r="D290" i="39" s="1"/>
  <c r="G290" i="39" s="1"/>
  <c r="H290" i="39" s="1"/>
  <c r="J43" i="34"/>
  <c r="H37" i="12" s="1"/>
  <c r="I37" i="12" s="1"/>
  <c r="D37" i="39" s="1"/>
  <c r="G37" i="39" s="1"/>
  <c r="H37" i="39" s="1"/>
  <c r="J92" i="34"/>
  <c r="H86" i="12" s="1"/>
  <c r="I86" i="12" s="1"/>
  <c r="D86" i="39" s="1"/>
  <c r="G86" i="39" s="1"/>
  <c r="H86" i="39" s="1"/>
  <c r="J286" i="34"/>
  <c r="H280" i="12" s="1"/>
  <c r="I280" i="12" s="1"/>
  <c r="D280" i="39" s="1"/>
  <c r="G280" i="39" s="1"/>
  <c r="H280" i="39" s="1"/>
  <c r="J283" i="34"/>
  <c r="H277" i="12" s="1"/>
  <c r="I277" i="12" s="1"/>
  <c r="D277" i="39" s="1"/>
  <c r="G277" i="39" s="1"/>
  <c r="H277" i="39" s="1"/>
  <c r="J227" i="34"/>
  <c r="H221" i="12" s="1"/>
  <c r="I221" i="12" s="1"/>
  <c r="D221" i="39" s="1"/>
  <c r="G221" i="39" s="1"/>
  <c r="H221" i="39" s="1"/>
  <c r="J62" i="34"/>
  <c r="H56" i="12" s="1"/>
  <c r="I56" i="12" s="1"/>
  <c r="D56" i="39" s="1"/>
  <c r="G56" i="39" s="1"/>
  <c r="H56" i="39" s="1"/>
  <c r="J212" i="34"/>
  <c r="H206" i="12" s="1"/>
  <c r="I206" i="12" s="1"/>
  <c r="D206" i="39" s="1"/>
  <c r="G206" i="39" s="1"/>
  <c r="H206" i="39" s="1"/>
  <c r="J263" i="34"/>
  <c r="H257" i="12" s="1"/>
  <c r="I257" i="12" s="1"/>
  <c r="D257" i="39" s="1"/>
  <c r="G257" i="39" s="1"/>
  <c r="H257" i="39" s="1"/>
  <c r="J204" i="34"/>
  <c r="H198" i="12" s="1"/>
  <c r="I198" i="12" s="1"/>
  <c r="D198" i="39" s="1"/>
  <c r="G198" i="39" s="1"/>
  <c r="H198" i="39" s="1"/>
  <c r="J260" i="34"/>
  <c r="H254" i="12" s="1"/>
  <c r="I254" i="12" s="1"/>
  <c r="D254" i="39" s="1"/>
  <c r="G254" i="39" s="1"/>
  <c r="H254" i="39" s="1"/>
  <c r="J63" i="34"/>
  <c r="H57" i="12" s="1"/>
  <c r="I57" i="12" s="1"/>
  <c r="D57" i="39" s="1"/>
  <c r="G57" i="39" s="1"/>
  <c r="H57" i="39" s="1"/>
  <c r="J191" i="34"/>
  <c r="H185" i="12" s="1"/>
  <c r="I185" i="12" s="1"/>
  <c r="D185" i="39" s="1"/>
  <c r="G185" i="39" s="1"/>
  <c r="H185" i="39" s="1"/>
  <c r="J232" i="34"/>
  <c r="H226" i="12" s="1"/>
  <c r="I226" i="12" s="1"/>
  <c r="D226" i="39" s="1"/>
  <c r="G226" i="39" s="1"/>
  <c r="H226" i="39" s="1"/>
  <c r="J135" i="34"/>
  <c r="H129" i="12" s="1"/>
  <c r="I129" i="12" s="1"/>
  <c r="D129" i="39" s="1"/>
  <c r="G129" i="39" s="1"/>
  <c r="H129" i="39" s="1"/>
  <c r="J290" i="34"/>
  <c r="H284" i="12" s="1"/>
  <c r="I284" i="12" s="1"/>
  <c r="D284" i="39" s="1"/>
  <c r="G284" i="39" s="1"/>
  <c r="H284" i="39" s="1"/>
  <c r="J85" i="34"/>
  <c r="H79" i="12" s="1"/>
  <c r="I79" i="12" s="1"/>
  <c r="D79" i="39" s="1"/>
  <c r="G79" i="39" s="1"/>
  <c r="H79" i="39" s="1"/>
  <c r="J297" i="34"/>
  <c r="H291" i="12" s="1"/>
  <c r="I291" i="12" s="1"/>
  <c r="D291" i="39" s="1"/>
  <c r="G291" i="39" s="1"/>
  <c r="H291" i="39" s="1"/>
  <c r="J123" i="34"/>
  <c r="H117" i="12" s="1"/>
  <c r="I117" i="12" s="1"/>
  <c r="D117" i="39" s="1"/>
  <c r="G117" i="39" s="1"/>
  <c r="H117" i="39" s="1"/>
  <c r="J17" i="34"/>
  <c r="H11" i="12" s="1"/>
  <c r="I11" i="12" s="1"/>
  <c r="D11" i="39" s="1"/>
  <c r="G11" i="39" s="1"/>
  <c r="H11" i="39" s="1"/>
  <c r="J158" i="34"/>
  <c r="H152" i="12" s="1"/>
  <c r="I152" i="12" s="1"/>
  <c r="D152" i="39" s="1"/>
  <c r="G152" i="39" s="1"/>
  <c r="H152" i="39" s="1"/>
  <c r="J178" i="34"/>
  <c r="H172" i="12" s="1"/>
  <c r="I172" i="12" s="1"/>
  <c r="D172" i="39" s="1"/>
  <c r="G172" i="39" s="1"/>
  <c r="H172" i="39" s="1"/>
  <c r="J154" i="34"/>
  <c r="H148" i="12" s="1"/>
  <c r="I148" i="12" s="1"/>
  <c r="D148" i="39" s="1"/>
  <c r="G148" i="39" s="1"/>
  <c r="H148" i="39" s="1"/>
  <c r="J284" i="34"/>
  <c r="H278" i="12" s="1"/>
  <c r="I278" i="12" s="1"/>
  <c r="D278" i="39" s="1"/>
  <c r="G278" i="39" s="1"/>
  <c r="H278" i="39" s="1"/>
  <c r="J175" i="34"/>
  <c r="H169" i="12" s="1"/>
  <c r="I169" i="12" s="1"/>
  <c r="D169" i="39" s="1"/>
  <c r="G169" i="39" s="1"/>
  <c r="H169" i="39" s="1"/>
  <c r="J60" i="34"/>
  <c r="H54" i="12" s="1"/>
  <c r="I54" i="12" s="1"/>
  <c r="D54" i="39" s="1"/>
  <c r="G54" i="39" s="1"/>
  <c r="H54" i="39" s="1"/>
  <c r="J176" i="34"/>
  <c r="H170" i="12" s="1"/>
  <c r="I170" i="12" s="1"/>
  <c r="D170" i="39" s="1"/>
  <c r="G170" i="39" s="1"/>
  <c r="H170" i="39" s="1"/>
  <c r="J241" i="34"/>
  <c r="H235" i="12" s="1"/>
  <c r="I235" i="12" s="1"/>
  <c r="D235" i="39" s="1"/>
  <c r="G235" i="39" s="1"/>
  <c r="H235" i="39" s="1"/>
  <c r="J160" i="34"/>
  <c r="H154" i="12" s="1"/>
  <c r="I154" i="12" s="1"/>
  <c r="D154" i="39" s="1"/>
  <c r="G154" i="39" s="1"/>
  <c r="H154" i="39" s="1"/>
  <c r="J255" i="34"/>
  <c r="H249" i="12" s="1"/>
  <c r="I249" i="12" s="1"/>
  <c r="D249" i="39" s="1"/>
  <c r="G249" i="39" s="1"/>
  <c r="H249" i="39" s="1"/>
  <c r="J266" i="34"/>
  <c r="H260" i="12" s="1"/>
  <c r="I260" i="12" s="1"/>
  <c r="D260" i="39" s="1"/>
  <c r="G260" i="39" s="1"/>
  <c r="H260" i="39" s="1"/>
  <c r="J166" i="34"/>
  <c r="H160" i="12" s="1"/>
  <c r="I160" i="12" s="1"/>
  <c r="D160" i="39" s="1"/>
  <c r="G160" i="39" s="1"/>
  <c r="H160" i="39" s="1"/>
  <c r="J78" i="34"/>
  <c r="H72" i="12" s="1"/>
  <c r="I72" i="12" s="1"/>
  <c r="D72" i="39" s="1"/>
  <c r="G72" i="39" s="1"/>
  <c r="H72" i="39" s="1"/>
  <c r="J256" i="34"/>
  <c r="H250" i="12" s="1"/>
  <c r="I250" i="12" s="1"/>
  <c r="D250" i="39" s="1"/>
  <c r="G250" i="39" s="1"/>
  <c r="H250" i="39" s="1"/>
  <c r="J35" i="34"/>
  <c r="H29" i="12" s="1"/>
  <c r="I29" i="12" s="1"/>
  <c r="D29" i="39" s="1"/>
  <c r="G29" i="39" s="1"/>
  <c r="H29" i="39" s="1"/>
  <c r="J38" i="34"/>
  <c r="H32" i="12" s="1"/>
  <c r="I32" i="12" s="1"/>
  <c r="D32" i="39" s="1"/>
  <c r="G32" i="39" s="1"/>
  <c r="H32" i="39" s="1"/>
  <c r="J58" i="34"/>
  <c r="H52" i="12" s="1"/>
  <c r="I52" i="12" s="1"/>
  <c r="D52" i="39" s="1"/>
  <c r="G52" i="39" s="1"/>
  <c r="H52" i="39" s="1"/>
  <c r="J246" i="34"/>
  <c r="H240" i="12" s="1"/>
  <c r="I240" i="12" s="1"/>
  <c r="D240" i="39" s="1"/>
  <c r="G240" i="39" s="1"/>
  <c r="H240" i="39" s="1"/>
  <c r="J220" i="34"/>
  <c r="H214" i="12" s="1"/>
  <c r="I214" i="12" s="1"/>
  <c r="D214" i="39" s="1"/>
  <c r="G214" i="39" s="1"/>
  <c r="H214" i="39" s="1"/>
  <c r="J111" i="34"/>
  <c r="H105" i="12" s="1"/>
  <c r="I105" i="12" s="1"/>
  <c r="D105" i="39" s="1"/>
  <c r="G105" i="39" s="1"/>
  <c r="H105" i="39" s="1"/>
  <c r="J237" i="34"/>
  <c r="H231" i="12" s="1"/>
  <c r="I231" i="12" s="1"/>
  <c r="D231" i="39" s="1"/>
  <c r="G231" i="39" s="1"/>
  <c r="H231" i="39" s="1"/>
  <c r="J292" i="34"/>
  <c r="H286" i="12" s="1"/>
  <c r="I286" i="12" s="1"/>
  <c r="D286" i="39" s="1"/>
  <c r="G286" i="39" s="1"/>
  <c r="H286" i="39" s="1"/>
  <c r="J87" i="34"/>
  <c r="H81" i="12" s="1"/>
  <c r="I81" i="12" s="1"/>
  <c r="D81" i="39" s="1"/>
  <c r="G81" i="39" s="1"/>
  <c r="H81" i="39" s="1"/>
  <c r="J282" i="34"/>
  <c r="H276" i="12" s="1"/>
  <c r="I276" i="12" s="1"/>
  <c r="D276" i="39" s="1"/>
  <c r="G276" i="39" s="1"/>
  <c r="H276" i="39" s="1"/>
  <c r="J152" i="34"/>
  <c r="H146" i="12" s="1"/>
  <c r="I146" i="12" s="1"/>
  <c r="D146" i="39" s="1"/>
  <c r="G146" i="39" s="1"/>
  <c r="H146" i="39" s="1"/>
  <c r="J77" i="34"/>
  <c r="H71" i="12" s="1"/>
  <c r="I71" i="12" s="1"/>
  <c r="D71" i="39" s="1"/>
  <c r="G71" i="39" s="1"/>
  <c r="H71" i="39" s="1"/>
  <c r="J80" i="34"/>
  <c r="H74" i="12" s="1"/>
  <c r="I74" i="12" s="1"/>
  <c r="D74" i="39" s="1"/>
  <c r="G74" i="39" s="1"/>
  <c r="H74" i="39" s="1"/>
  <c r="J231" i="34"/>
  <c r="H225" i="12" s="1"/>
  <c r="I225" i="12" s="1"/>
  <c r="D225" i="39" s="1"/>
  <c r="G225" i="39" s="1"/>
  <c r="H225" i="39" s="1"/>
  <c r="J172" i="34"/>
  <c r="H166" i="12" s="1"/>
  <c r="I166" i="12" s="1"/>
  <c r="D166" i="39" s="1"/>
  <c r="G166" i="39" s="1"/>
  <c r="H166" i="39" s="1"/>
  <c r="J197" i="34"/>
  <c r="H191" i="12" s="1"/>
  <c r="I191" i="12" s="1"/>
  <c r="D191" i="39" s="1"/>
  <c r="G191" i="39" s="1"/>
  <c r="H191" i="39" s="1"/>
  <c r="J54" i="34"/>
  <c r="H48" i="12" s="1"/>
  <c r="I48" i="12" s="1"/>
  <c r="D48" i="39" s="1"/>
  <c r="G48" i="39" s="1"/>
  <c r="H48" i="39" s="1"/>
  <c r="J168" i="34"/>
  <c r="H162" i="12" s="1"/>
  <c r="I162" i="12" s="1"/>
  <c r="D162" i="39" s="1"/>
  <c r="G162" i="39" s="1"/>
  <c r="H162" i="39" s="1"/>
  <c r="J115" i="34"/>
  <c r="H109" i="12" s="1"/>
  <c r="I109" i="12" s="1"/>
  <c r="D109" i="39" s="1"/>
  <c r="G109" i="39" s="1"/>
  <c r="H109" i="39" s="1"/>
  <c r="J39" i="34"/>
  <c r="H33" i="12" s="1"/>
  <c r="I33" i="12" s="1"/>
  <c r="D33" i="39" s="1"/>
  <c r="G33" i="39" s="1"/>
  <c r="H33" i="39" s="1"/>
  <c r="J236" i="34"/>
  <c r="H230" i="12" s="1"/>
  <c r="I230" i="12" s="1"/>
  <c r="D230" i="39" s="1"/>
  <c r="G230" i="39" s="1"/>
  <c r="H230" i="39" s="1"/>
  <c r="J219" i="34"/>
  <c r="H213" i="12" s="1"/>
  <c r="I213" i="12" s="1"/>
  <c r="D213" i="39" s="1"/>
  <c r="G213" i="39" s="1"/>
  <c r="H213" i="39" s="1"/>
  <c r="J86" i="34"/>
  <c r="H80" i="12" s="1"/>
  <c r="I80" i="12" s="1"/>
  <c r="D80" i="39" s="1"/>
  <c r="G80" i="39" s="1"/>
  <c r="H80" i="39" s="1"/>
  <c r="J304" i="34"/>
  <c r="H298" i="12" s="1"/>
  <c r="I298" i="12" s="1"/>
  <c r="D298" i="39" s="1"/>
  <c r="G298" i="39" s="1"/>
  <c r="H298" i="39" s="1"/>
  <c r="J274" i="34"/>
  <c r="H268" i="12" s="1"/>
  <c r="I268" i="12" s="1"/>
  <c r="D268" i="39" s="1"/>
  <c r="G268" i="39" s="1"/>
  <c r="H268" i="39" s="1"/>
  <c r="J218" i="34"/>
  <c r="H212" i="12" s="1"/>
  <c r="I212" i="12" s="1"/>
  <c r="D212" i="39" s="1"/>
  <c r="G212" i="39" s="1"/>
  <c r="H212" i="39" s="1"/>
  <c r="J131" i="34"/>
  <c r="H125" i="12" s="1"/>
  <c r="I125" i="12" s="1"/>
  <c r="D125" i="39" s="1"/>
  <c r="G125" i="39" s="1"/>
  <c r="H125" i="39" s="1"/>
  <c r="J269" i="34"/>
  <c r="H263" i="12" s="1"/>
  <c r="I263" i="12" s="1"/>
  <c r="D263" i="39" s="1"/>
  <c r="G263" i="39" s="1"/>
  <c r="H263" i="39" s="1"/>
  <c r="J300" i="34"/>
  <c r="H294" i="12" s="1"/>
  <c r="I294" i="12" s="1"/>
  <c r="D294" i="39" s="1"/>
  <c r="G294" i="39" s="1"/>
  <c r="H294" i="39" s="1"/>
  <c r="J270" i="34"/>
  <c r="H264" i="12" s="1"/>
  <c r="I264" i="12" s="1"/>
  <c r="D264" i="39" s="1"/>
  <c r="G264" i="39" s="1"/>
  <c r="H264" i="39" s="1"/>
  <c r="J217" i="34"/>
  <c r="H211" i="12" s="1"/>
  <c r="I211" i="12" s="1"/>
  <c r="D211" i="39" s="1"/>
  <c r="G211" i="39" s="1"/>
  <c r="H211" i="39" s="1"/>
  <c r="J20" i="34"/>
  <c r="H14" i="12" s="1"/>
  <c r="I14" i="12" s="1"/>
  <c r="D14" i="39" s="1"/>
  <c r="G14" i="39" s="1"/>
  <c r="H14" i="39" s="1"/>
  <c r="J46" i="34"/>
  <c r="H40" i="12" s="1"/>
  <c r="I40" i="12" s="1"/>
  <c r="D40" i="39" s="1"/>
  <c r="G40" i="39" s="1"/>
  <c r="H40" i="39" s="1"/>
  <c r="J224" i="34"/>
  <c r="H218" i="12" s="1"/>
  <c r="I218" i="12" s="1"/>
  <c r="D218" i="39" s="1"/>
  <c r="G218" i="39" s="1"/>
  <c r="H218" i="39" s="1"/>
  <c r="J120" i="34"/>
  <c r="H114" i="12" s="1"/>
  <c r="I114" i="12" s="1"/>
  <c r="D114" i="39" s="1"/>
  <c r="G114" i="39" s="1"/>
  <c r="H114" i="39" s="1"/>
  <c r="J156" i="34"/>
  <c r="H150" i="12" s="1"/>
  <c r="I150" i="12" s="1"/>
  <c r="D150" i="39" s="1"/>
  <c r="G150" i="39" s="1"/>
  <c r="H150" i="39" s="1"/>
  <c r="J47" i="34"/>
  <c r="H41" i="12" s="1"/>
  <c r="I41" i="12" s="1"/>
  <c r="D41" i="39" s="1"/>
  <c r="G41" i="39" s="1"/>
  <c r="H41" i="39" s="1"/>
  <c r="J149" i="34"/>
  <c r="H143" i="12" s="1"/>
  <c r="I143" i="12" s="1"/>
  <c r="D143" i="39" s="1"/>
  <c r="G143" i="39" s="1"/>
  <c r="H143" i="39" s="1"/>
  <c r="J248" i="34"/>
  <c r="H242" i="12" s="1"/>
  <c r="I242" i="12" s="1"/>
  <c r="D242" i="39" s="1"/>
  <c r="G242" i="39" s="1"/>
  <c r="H242" i="39" s="1"/>
  <c r="J173" i="34"/>
  <c r="H167" i="12" s="1"/>
  <c r="I167" i="12" s="1"/>
  <c r="D167" i="39" s="1"/>
  <c r="G167" i="39" s="1"/>
  <c r="H167" i="39" s="1"/>
  <c r="J56" i="34"/>
  <c r="H50" i="12" s="1"/>
  <c r="I50" i="12" s="1"/>
  <c r="D50" i="39" s="1"/>
  <c r="G50" i="39" s="1"/>
  <c r="H50" i="39" s="1"/>
  <c r="J295" i="34"/>
  <c r="H289" i="12" s="1"/>
  <c r="I289" i="12" s="1"/>
  <c r="D289" i="39" s="1"/>
  <c r="G289" i="39" s="1"/>
  <c r="H289" i="39" s="1"/>
  <c r="J180" i="34"/>
  <c r="H174" i="12" s="1"/>
  <c r="I174" i="12" s="1"/>
  <c r="D174" i="39" s="1"/>
  <c r="G174" i="39" s="1"/>
  <c r="H174" i="39" s="1"/>
  <c r="J74" i="34"/>
  <c r="H68" i="12" s="1"/>
  <c r="I68" i="12" s="1"/>
  <c r="D68" i="39" s="1"/>
  <c r="G68" i="39" s="1"/>
  <c r="H68" i="39" s="1"/>
  <c r="J261" i="34"/>
  <c r="H255" i="12" s="1"/>
  <c r="I255" i="12" s="1"/>
  <c r="D255" i="39" s="1"/>
  <c r="G255" i="39" s="1"/>
  <c r="H255" i="39" s="1"/>
  <c r="J125" i="34"/>
  <c r="H119" i="12" s="1"/>
  <c r="I119" i="12" s="1"/>
  <c r="D119" i="39" s="1"/>
  <c r="G119" i="39" s="1"/>
  <c r="H119" i="39" s="1"/>
  <c r="J12" i="34"/>
  <c r="J147" i="34"/>
  <c r="H141" i="12" s="1"/>
  <c r="I141" i="12" s="1"/>
  <c r="D141" i="39" s="1"/>
  <c r="G141" i="39" s="1"/>
  <c r="H141" i="39" s="1"/>
  <c r="J222" i="34"/>
  <c r="H216" i="12" s="1"/>
  <c r="I216" i="12" s="1"/>
  <c r="D216" i="39" s="1"/>
  <c r="G216" i="39" s="1"/>
  <c r="H216" i="39" s="1"/>
  <c r="J238" i="34"/>
  <c r="H232" i="12" s="1"/>
  <c r="I232" i="12" s="1"/>
  <c r="D232" i="39" s="1"/>
  <c r="G232" i="39" s="1"/>
  <c r="H232" i="39" s="1"/>
  <c r="J28" i="34"/>
  <c r="H22" i="12" s="1"/>
  <c r="I22" i="12" s="1"/>
  <c r="D22" i="39" s="1"/>
  <c r="G22" i="39" s="1"/>
  <c r="H22" i="39" s="1"/>
  <c r="J303" i="34"/>
  <c r="H297" i="12" s="1"/>
  <c r="I297" i="12" s="1"/>
  <c r="D297" i="39" s="1"/>
  <c r="G297" i="39" s="1"/>
  <c r="H297" i="39" s="1"/>
  <c r="J145" i="34"/>
  <c r="H139" i="12" s="1"/>
  <c r="I139" i="12" s="1"/>
  <c r="D139" i="39" s="1"/>
  <c r="G139" i="39" s="1"/>
  <c r="H139" i="39" s="1"/>
  <c r="J223" i="34"/>
  <c r="H217" i="12" s="1"/>
  <c r="I217" i="12" s="1"/>
  <c r="D217" i="39" s="1"/>
  <c r="G217" i="39" s="1"/>
  <c r="H217" i="39" s="1"/>
  <c r="J106" i="34"/>
  <c r="H100" i="12" s="1"/>
  <c r="I100" i="12" s="1"/>
  <c r="D100" i="39" s="1"/>
  <c r="G100" i="39" s="1"/>
  <c r="H100" i="39" s="1"/>
  <c r="J211" i="34"/>
  <c r="H205" i="12" s="1"/>
  <c r="I205" i="12" s="1"/>
  <c r="D205" i="39" s="1"/>
  <c r="G205" i="39" s="1"/>
  <c r="H205" i="39" s="1"/>
  <c r="J302" i="34"/>
  <c r="H296" i="12" s="1"/>
  <c r="I296" i="12" s="1"/>
  <c r="D296" i="39" s="1"/>
  <c r="G296" i="39" s="1"/>
  <c r="H296" i="39" s="1"/>
  <c r="J249" i="34"/>
  <c r="H243" i="12" s="1"/>
  <c r="I243" i="12" s="1"/>
  <c r="D243" i="39" s="1"/>
  <c r="G243" i="39" s="1"/>
  <c r="H243" i="39" s="1"/>
  <c r="H6" i="12" l="1"/>
  <c r="I6" i="12" s="1"/>
  <c r="D7" i="39"/>
  <c r="G7" i="39" s="1"/>
  <c r="H7" i="39" s="1"/>
  <c r="J306" i="12"/>
  <c r="D306" i="39"/>
  <c r="G306" i="39" s="1"/>
  <c r="J120" i="12" l="1"/>
  <c r="K120" i="12" s="1"/>
  <c r="J267" i="12"/>
  <c r="K267" i="12" s="1"/>
  <c r="J156" i="12"/>
  <c r="K156" i="12" s="1"/>
  <c r="J67" i="12"/>
  <c r="K67" i="12" s="1"/>
  <c r="J300" i="12"/>
  <c r="K300" i="12" s="1"/>
  <c r="J170" i="12"/>
  <c r="K170" i="12" s="1"/>
  <c r="J268" i="12"/>
  <c r="K268" i="12" s="1"/>
  <c r="J296" i="12"/>
  <c r="K296" i="12" s="1"/>
  <c r="J115" i="12"/>
  <c r="K115" i="12" s="1"/>
  <c r="J104" i="12"/>
  <c r="K104" i="12" s="1"/>
  <c r="J94" i="12"/>
  <c r="K94" i="12" s="1"/>
  <c r="J262" i="12"/>
  <c r="K262" i="12" s="1"/>
  <c r="J157" i="12"/>
  <c r="K157" i="12" s="1"/>
  <c r="J47" i="12"/>
  <c r="K47" i="12" s="1"/>
  <c r="J280" i="12"/>
  <c r="K280" i="12" s="1"/>
  <c r="J32" i="12"/>
  <c r="K32" i="12" s="1"/>
  <c r="J218" i="12"/>
  <c r="K218" i="12" s="1"/>
  <c r="J150" i="12"/>
  <c r="K150" i="12" s="1"/>
  <c r="J62" i="12"/>
  <c r="K62" i="12" s="1"/>
  <c r="J66" i="12"/>
  <c r="K66" i="12" s="1"/>
  <c r="J182" i="12"/>
  <c r="K182" i="12" s="1"/>
  <c r="J164" i="12"/>
  <c r="K164" i="12" s="1"/>
  <c r="J208" i="12"/>
  <c r="K208" i="12" s="1"/>
  <c r="J223" i="12"/>
  <c r="K223" i="12" s="1"/>
  <c r="J185" i="12"/>
  <c r="K185" i="12" s="1"/>
  <c r="J146" i="12"/>
  <c r="K146" i="12" s="1"/>
  <c r="J174" i="12"/>
  <c r="K174" i="12" s="1"/>
  <c r="J7" i="12"/>
  <c r="K7" i="12" s="1"/>
  <c r="J161" i="12"/>
  <c r="K161" i="12" s="1"/>
  <c r="J97" i="12"/>
  <c r="K97" i="12" s="1"/>
  <c r="J69" i="12"/>
  <c r="K69" i="12" s="1"/>
  <c r="J112" i="12"/>
  <c r="K112" i="12" s="1"/>
  <c r="J193" i="12"/>
  <c r="K193" i="12" s="1"/>
  <c r="J221" i="12"/>
  <c r="K221" i="12" s="1"/>
  <c r="J240" i="12"/>
  <c r="K240" i="12" s="1"/>
  <c r="J168" i="12"/>
  <c r="K168" i="12" s="1"/>
  <c r="J159" i="12"/>
  <c r="K159" i="12" s="1"/>
  <c r="J272" i="12"/>
  <c r="K272" i="12" s="1"/>
  <c r="J238" i="12"/>
  <c r="K238" i="12" s="1"/>
  <c r="J101" i="12"/>
  <c r="K101" i="12" s="1"/>
  <c r="J288" i="12"/>
  <c r="K288" i="12" s="1"/>
  <c r="J56" i="12"/>
  <c r="K56" i="12" s="1"/>
  <c r="J214" i="12"/>
  <c r="K214" i="12" s="1"/>
  <c r="J41" i="12"/>
  <c r="K41" i="12" s="1"/>
  <c r="J201" i="12"/>
  <c r="K201" i="12" s="1"/>
  <c r="J38" i="12"/>
  <c r="K38" i="12" s="1"/>
  <c r="J266" i="12"/>
  <c r="K266" i="12" s="1"/>
  <c r="J245" i="12"/>
  <c r="K245" i="12" s="1"/>
  <c r="J126" i="12"/>
  <c r="K126" i="12" s="1"/>
  <c r="J176" i="12"/>
  <c r="K176" i="12" s="1"/>
  <c r="J160" i="12"/>
  <c r="K160" i="12" s="1"/>
  <c r="J264" i="12"/>
  <c r="K264" i="12" s="1"/>
  <c r="J68" i="12"/>
  <c r="K68" i="12" s="1"/>
  <c r="J186" i="12"/>
  <c r="K186" i="12" s="1"/>
  <c r="J188" i="12"/>
  <c r="K188" i="12" s="1"/>
  <c r="J165" i="12"/>
  <c r="K165" i="12" s="1"/>
  <c r="J220" i="12"/>
  <c r="K220" i="12" s="1"/>
  <c r="J70" i="12"/>
  <c r="K70" i="12" s="1"/>
  <c r="J261" i="12"/>
  <c r="K261" i="12" s="1"/>
  <c r="J257" i="12"/>
  <c r="K257" i="12" s="1"/>
  <c r="J231" i="12"/>
  <c r="K231" i="12" s="1"/>
  <c r="J242" i="12"/>
  <c r="K242" i="12" s="1"/>
  <c r="J89" i="12"/>
  <c r="K89" i="12" s="1"/>
  <c r="J26" i="12"/>
  <c r="K26" i="12" s="1"/>
  <c r="J227" i="12"/>
  <c r="K227" i="12" s="1"/>
  <c r="J252" i="12"/>
  <c r="K252" i="12" s="1"/>
  <c r="J142" i="12"/>
  <c r="K142" i="12" s="1"/>
  <c r="J135" i="12"/>
  <c r="K135" i="12" s="1"/>
  <c r="J258" i="12"/>
  <c r="K258" i="12" s="1"/>
  <c r="J291" i="12"/>
  <c r="K291" i="12" s="1"/>
  <c r="J191" i="12"/>
  <c r="K191" i="12" s="1"/>
  <c r="J141" i="12"/>
  <c r="K141" i="12" s="1"/>
  <c r="J107" i="12"/>
  <c r="K107" i="12" s="1"/>
  <c r="J123" i="12"/>
  <c r="K123" i="12" s="1"/>
  <c r="J18" i="12"/>
  <c r="K18" i="12" s="1"/>
  <c r="J251" i="12"/>
  <c r="K251" i="12" s="1"/>
  <c r="J92" i="12"/>
  <c r="K92" i="12" s="1"/>
  <c r="J86" i="12"/>
  <c r="K86" i="12" s="1"/>
  <c r="J29" i="12"/>
  <c r="K29" i="12" s="1"/>
  <c r="J40" i="12"/>
  <c r="K40" i="12" s="1"/>
  <c r="J263" i="12"/>
  <c r="K263" i="12" s="1"/>
  <c r="J265" i="12"/>
  <c r="K265" i="12" s="1"/>
  <c r="J28" i="12"/>
  <c r="K28" i="12" s="1"/>
  <c r="J75" i="12"/>
  <c r="K75" i="12" s="1"/>
  <c r="J177" i="12"/>
  <c r="K177" i="12" s="1"/>
  <c r="J233" i="12"/>
  <c r="K233" i="12" s="1"/>
  <c r="J184" i="12"/>
  <c r="K184" i="12" s="1"/>
  <c r="J57" i="12"/>
  <c r="K57" i="12" s="1"/>
  <c r="J276" i="12"/>
  <c r="K276" i="12" s="1"/>
  <c r="J289" i="12"/>
  <c r="K289" i="12" s="1"/>
  <c r="J106" i="12"/>
  <c r="K106" i="12" s="1"/>
  <c r="J17" i="12"/>
  <c r="K17" i="12" s="1"/>
  <c r="J299" i="12"/>
  <c r="K299" i="12" s="1"/>
  <c r="J122" i="12"/>
  <c r="K122" i="12" s="1"/>
  <c r="J274" i="12"/>
  <c r="K274" i="12" s="1"/>
  <c r="J124" i="12"/>
  <c r="K124" i="12" s="1"/>
  <c r="J246" i="12"/>
  <c r="K246" i="12" s="1"/>
  <c r="J152" i="12"/>
  <c r="K152" i="12" s="1"/>
  <c r="J109" i="12"/>
  <c r="K109" i="12" s="1"/>
  <c r="J22" i="12"/>
  <c r="K22" i="12" s="1"/>
  <c r="J253" i="12"/>
  <c r="K253" i="12" s="1"/>
  <c r="J239" i="12"/>
  <c r="K239" i="12" s="1"/>
  <c r="J73" i="12"/>
  <c r="K73" i="12" s="1"/>
  <c r="J197" i="12"/>
  <c r="K197" i="12" s="1"/>
  <c r="J118" i="12"/>
  <c r="K118" i="12" s="1"/>
  <c r="J34" i="12"/>
  <c r="K34" i="12" s="1"/>
  <c r="J226" i="12"/>
  <c r="K226" i="12" s="1"/>
  <c r="J33" i="12"/>
  <c r="K33" i="12" s="1"/>
  <c r="J88" i="12"/>
  <c r="K88" i="12" s="1"/>
  <c r="J132" i="12"/>
  <c r="K132" i="12" s="1"/>
  <c r="J49" i="12"/>
  <c r="K49" i="12" s="1"/>
  <c r="J303" i="12"/>
  <c r="K303" i="12" s="1"/>
  <c r="J9" i="12"/>
  <c r="K9" i="12" s="1"/>
  <c r="J61" i="12"/>
  <c r="K61" i="12" s="1"/>
  <c r="J129" i="12"/>
  <c r="K129" i="12" s="1"/>
  <c r="J74" i="12"/>
  <c r="K74" i="12" s="1"/>
  <c r="J255" i="12"/>
  <c r="K255" i="12" s="1"/>
  <c r="J131" i="12"/>
  <c r="K131" i="12" s="1"/>
  <c r="J90" i="12"/>
  <c r="K90" i="12" s="1"/>
  <c r="J283" i="12"/>
  <c r="K283" i="12" s="1"/>
  <c r="J206" i="12"/>
  <c r="K206" i="12" s="1"/>
  <c r="J105" i="12"/>
  <c r="K105" i="12" s="1"/>
  <c r="J143" i="12"/>
  <c r="K143" i="12" s="1"/>
  <c r="J181" i="12"/>
  <c r="K181" i="12" s="1"/>
  <c r="J151" i="12"/>
  <c r="K151" i="12" s="1"/>
  <c r="J15" i="12"/>
  <c r="K15" i="12" s="1"/>
  <c r="J64" i="12"/>
  <c r="K64" i="12" s="1"/>
  <c r="J39" i="12"/>
  <c r="K39" i="12" s="1"/>
  <c r="J210" i="12"/>
  <c r="K210" i="12" s="1"/>
  <c r="J24" i="12"/>
  <c r="K24" i="12" s="1"/>
  <c r="J79" i="12"/>
  <c r="K79" i="12" s="1"/>
  <c r="J166" i="12"/>
  <c r="K166" i="12" s="1"/>
  <c r="D6" i="39"/>
  <c r="J6" i="12"/>
  <c r="K6" i="12" s="1"/>
  <c r="J271" i="12"/>
  <c r="K271" i="12" s="1"/>
  <c r="J270" i="12"/>
  <c r="K270" i="12" s="1"/>
  <c r="J285" i="12"/>
  <c r="K285" i="12" s="1"/>
  <c r="J202" i="12"/>
  <c r="K202" i="12" s="1"/>
  <c r="J244" i="12"/>
  <c r="K244" i="12" s="1"/>
  <c r="J93" i="12"/>
  <c r="K93" i="12" s="1"/>
  <c r="J241" i="12"/>
  <c r="K241" i="12" s="1"/>
  <c r="J54" i="12"/>
  <c r="K54" i="12" s="1"/>
  <c r="J298" i="12"/>
  <c r="K298" i="12" s="1"/>
  <c r="J205" i="12"/>
  <c r="K205" i="12" s="1"/>
  <c r="J87" i="12"/>
  <c r="K87" i="12" s="1"/>
  <c r="J187" i="12"/>
  <c r="K187" i="12" s="1"/>
  <c r="J8" i="12"/>
  <c r="K8" i="12" s="1"/>
  <c r="J153" i="12"/>
  <c r="K153" i="12" s="1"/>
  <c r="J209" i="12"/>
  <c r="K209" i="12" s="1"/>
  <c r="J63" i="12"/>
  <c r="K63" i="12" s="1"/>
  <c r="J55" i="12"/>
  <c r="K55" i="12" s="1"/>
  <c r="J58" i="12"/>
  <c r="K58" i="12" s="1"/>
  <c r="J254" i="12"/>
  <c r="K254" i="12" s="1"/>
  <c r="J81" i="12"/>
  <c r="K81" i="12" s="1"/>
  <c r="J50" i="12"/>
  <c r="K50" i="12" s="1"/>
  <c r="J20" i="12"/>
  <c r="K20" i="12" s="1"/>
  <c r="J222" i="12"/>
  <c r="K222" i="12" s="1"/>
  <c r="J234" i="12"/>
  <c r="K234" i="12" s="1"/>
  <c r="J247" i="12"/>
  <c r="K247" i="12" s="1"/>
  <c r="J155" i="12"/>
  <c r="K155" i="12" s="1"/>
  <c r="J10" i="12"/>
  <c r="K10" i="12" s="1"/>
  <c r="J103" i="12"/>
  <c r="K103" i="12" s="1"/>
  <c r="J11" i="12"/>
  <c r="K11" i="12" s="1"/>
  <c r="J162" i="12"/>
  <c r="K162" i="12" s="1"/>
  <c r="J232" i="12"/>
  <c r="K232" i="12" s="1"/>
  <c r="J110" i="12"/>
  <c r="K110" i="12" s="1"/>
  <c r="J31" i="12"/>
  <c r="K31" i="12" s="1"/>
  <c r="J13" i="12"/>
  <c r="K13" i="12" s="1"/>
  <c r="J25" i="12"/>
  <c r="K25" i="12" s="1"/>
  <c r="J45" i="12"/>
  <c r="K45" i="12" s="1"/>
  <c r="J179" i="12"/>
  <c r="K179" i="12" s="1"/>
  <c r="J136" i="12"/>
  <c r="K136" i="12" s="1"/>
  <c r="J154" i="12"/>
  <c r="K154" i="12" s="1"/>
  <c r="J125" i="12"/>
  <c r="K125" i="12" s="1"/>
  <c r="J248" i="12"/>
  <c r="K248" i="12" s="1"/>
  <c r="J140" i="12"/>
  <c r="K140" i="12" s="1"/>
  <c r="J194" i="12"/>
  <c r="K194" i="12" s="1"/>
  <c r="J138" i="12"/>
  <c r="K138" i="12" s="1"/>
  <c r="J199" i="12"/>
  <c r="K199" i="12" s="1"/>
  <c r="J113" i="12"/>
  <c r="K113" i="12" s="1"/>
  <c r="J304" i="12"/>
  <c r="K304" i="12" s="1"/>
  <c r="J172" i="12"/>
  <c r="K172" i="12" s="1"/>
  <c r="J192" i="12"/>
  <c r="K192" i="12" s="1"/>
  <c r="J84" i="12"/>
  <c r="K84" i="12" s="1"/>
  <c r="J293" i="12"/>
  <c r="K293" i="12" s="1"/>
  <c r="J46" i="12"/>
  <c r="K46" i="12" s="1"/>
  <c r="J96" i="12"/>
  <c r="K96" i="12" s="1"/>
  <c r="J65" i="12"/>
  <c r="K65" i="12" s="1"/>
  <c r="J301" i="12"/>
  <c r="K301" i="12" s="1"/>
  <c r="J148" i="12"/>
  <c r="K148" i="12" s="1"/>
  <c r="J230" i="12"/>
  <c r="K230" i="12" s="1"/>
  <c r="J139" i="12"/>
  <c r="K139" i="12" s="1"/>
  <c r="J27" i="12"/>
  <c r="K27" i="12" s="1"/>
  <c r="J273" i="12"/>
  <c r="K273" i="12" s="1"/>
  <c r="J215" i="12"/>
  <c r="K215" i="12" s="1"/>
  <c r="J19" i="12"/>
  <c r="K19" i="12" s="1"/>
  <c r="J108" i="12"/>
  <c r="K108" i="12" s="1"/>
  <c r="J305" i="12"/>
  <c r="K305" i="12" s="1"/>
  <c r="J189" i="12"/>
  <c r="K189" i="12" s="1"/>
  <c r="J284" i="12"/>
  <c r="K284" i="12" s="1"/>
  <c r="J225" i="12"/>
  <c r="K225" i="12" s="1"/>
  <c r="J119" i="12"/>
  <c r="K119" i="12" s="1"/>
  <c r="J229" i="12"/>
  <c r="K229" i="12" s="1"/>
  <c r="J147" i="12"/>
  <c r="K147" i="12" s="1"/>
  <c r="J171" i="12"/>
  <c r="K171" i="12" s="1"/>
  <c r="J149" i="12"/>
  <c r="K149" i="12" s="1"/>
  <c r="J175" i="12"/>
  <c r="K175" i="12" s="1"/>
  <c r="J43" i="12"/>
  <c r="K43" i="12" s="1"/>
  <c r="J53" i="12"/>
  <c r="K53" i="12" s="1"/>
  <c r="J169" i="12"/>
  <c r="K169" i="12" s="1"/>
  <c r="J80" i="12"/>
  <c r="K80" i="12" s="1"/>
  <c r="J100" i="12"/>
  <c r="K100" i="12" s="1"/>
  <c r="J42" i="12"/>
  <c r="K42" i="12" s="1"/>
  <c r="J236" i="12"/>
  <c r="K236" i="12" s="1"/>
  <c r="J128" i="12"/>
  <c r="K128" i="12" s="1"/>
  <c r="J295" i="12"/>
  <c r="K295" i="12" s="1"/>
  <c r="J256" i="12"/>
  <c r="K256" i="12" s="1"/>
  <c r="J219" i="12"/>
  <c r="K219" i="12" s="1"/>
  <c r="J37" i="12"/>
  <c r="K37" i="12" s="1"/>
  <c r="J250" i="12"/>
  <c r="K250" i="12" s="1"/>
  <c r="J14" i="12"/>
  <c r="K14" i="12" s="1"/>
  <c r="J51" i="12"/>
  <c r="K51" i="12" s="1"/>
  <c r="J173" i="12"/>
  <c r="K173" i="12" s="1"/>
  <c r="J269" i="12"/>
  <c r="K269" i="12" s="1"/>
  <c r="J21" i="12"/>
  <c r="K21" i="12" s="1"/>
  <c r="J85" i="12"/>
  <c r="K85" i="12" s="1"/>
  <c r="J203" i="12"/>
  <c r="K203" i="12" s="1"/>
  <c r="J99" i="12"/>
  <c r="K99" i="12" s="1"/>
  <c r="J60" i="12"/>
  <c r="K60" i="12" s="1"/>
  <c r="J279" i="12"/>
  <c r="K279" i="12" s="1"/>
  <c r="J178" i="12"/>
  <c r="K178" i="12" s="1"/>
  <c r="J117" i="12"/>
  <c r="K117" i="12" s="1"/>
  <c r="J48" i="12"/>
  <c r="K48" i="12" s="1"/>
  <c r="J216" i="12"/>
  <c r="K216" i="12" s="1"/>
  <c r="J163" i="12"/>
  <c r="K163" i="12" s="1"/>
  <c r="J195" i="12"/>
  <c r="K195" i="12" s="1"/>
  <c r="J121" i="12"/>
  <c r="K121" i="12" s="1"/>
  <c r="J102" i="12"/>
  <c r="K102" i="12" s="1"/>
  <c r="J237" i="12"/>
  <c r="K237" i="12" s="1"/>
  <c r="J196" i="12"/>
  <c r="K196" i="12" s="1"/>
  <c r="J95" i="12"/>
  <c r="K95" i="12" s="1"/>
  <c r="J235" i="12"/>
  <c r="K235" i="12" s="1"/>
  <c r="J212" i="12"/>
  <c r="K212" i="12" s="1"/>
  <c r="J243" i="12"/>
  <c r="K243" i="12" s="1"/>
  <c r="J82" i="12"/>
  <c r="K82" i="12" s="1"/>
  <c r="J282" i="12"/>
  <c r="K282" i="12" s="1"/>
  <c r="J134" i="12"/>
  <c r="K134" i="12" s="1"/>
  <c r="J35" i="12"/>
  <c r="K35" i="12" s="1"/>
  <c r="J76" i="12"/>
  <c r="K76" i="12" s="1"/>
  <c r="J259" i="12"/>
  <c r="K259" i="12" s="1"/>
  <c r="J277" i="12"/>
  <c r="K277" i="12" s="1"/>
  <c r="J52" i="12"/>
  <c r="K52" i="12" s="1"/>
  <c r="J114" i="12"/>
  <c r="K114" i="12" s="1"/>
  <c r="J44" i="12"/>
  <c r="K44" i="12" s="1"/>
  <c r="J78" i="12"/>
  <c r="K78" i="12" s="1"/>
  <c r="J111" i="12"/>
  <c r="K111" i="12" s="1"/>
  <c r="J275" i="12"/>
  <c r="K275" i="12" s="1"/>
  <c r="J16" i="12"/>
  <c r="K16" i="12" s="1"/>
  <c r="J145" i="12"/>
  <c r="K145" i="12" s="1"/>
  <c r="J83" i="12"/>
  <c r="K83" i="12" s="1"/>
  <c r="J249" i="12"/>
  <c r="K249" i="12" s="1"/>
  <c r="J127" i="12"/>
  <c r="K127" i="12" s="1"/>
  <c r="J292" i="12"/>
  <c r="K292" i="12" s="1"/>
  <c r="J204" i="12"/>
  <c r="K204" i="12" s="1"/>
  <c r="J207" i="12"/>
  <c r="K207" i="12" s="1"/>
  <c r="J130" i="12"/>
  <c r="K130" i="12" s="1"/>
  <c r="J180" i="12"/>
  <c r="K180" i="12" s="1"/>
  <c r="J137" i="12"/>
  <c r="K137" i="12" s="1"/>
  <c r="J260" i="12"/>
  <c r="K260" i="12" s="1"/>
  <c r="J294" i="12"/>
  <c r="K294" i="12" s="1"/>
  <c r="J71" i="12"/>
  <c r="K71" i="12" s="1"/>
  <c r="J200" i="12"/>
  <c r="K200" i="12" s="1"/>
  <c r="J116" i="12"/>
  <c r="K116" i="12" s="1"/>
  <c r="J36" i="12"/>
  <c r="K36" i="12" s="1"/>
  <c r="J77" i="12"/>
  <c r="K77" i="12" s="1"/>
  <c r="J59" i="12"/>
  <c r="K59" i="12" s="1"/>
  <c r="J133" i="12"/>
  <c r="K133" i="12" s="1"/>
  <c r="J278" i="12"/>
  <c r="K278" i="12" s="1"/>
  <c r="J213" i="12"/>
  <c r="K213" i="12" s="1"/>
  <c r="J217" i="12"/>
  <c r="K217" i="12" s="1"/>
  <c r="J190" i="12"/>
  <c r="K190" i="12" s="1"/>
  <c r="J281" i="12"/>
  <c r="K281" i="12" s="1"/>
  <c r="J30" i="12"/>
  <c r="K30" i="12" s="1"/>
  <c r="J12" i="12"/>
  <c r="K12" i="12" s="1"/>
  <c r="J287" i="12"/>
  <c r="K287" i="12" s="1"/>
  <c r="J224" i="12"/>
  <c r="K224" i="12" s="1"/>
  <c r="J290" i="12"/>
  <c r="K290" i="12" s="1"/>
  <c r="J72" i="12"/>
  <c r="K72" i="12" s="1"/>
  <c r="J211" i="12"/>
  <c r="K211" i="12" s="1"/>
  <c r="J297" i="12"/>
  <c r="K297" i="12" s="1"/>
  <c r="J23" i="12"/>
  <c r="K23" i="12" s="1"/>
  <c r="J91" i="12"/>
  <c r="K91" i="12" s="1"/>
  <c r="J158" i="12"/>
  <c r="K158" i="12" s="1"/>
  <c r="J98" i="12"/>
  <c r="K98" i="12" s="1"/>
  <c r="J144" i="12"/>
  <c r="K144" i="12" s="1"/>
  <c r="J183" i="12"/>
  <c r="K183" i="12" s="1"/>
  <c r="J198" i="12"/>
  <c r="K198" i="12" s="1"/>
  <c r="J286" i="12"/>
  <c r="K286" i="12" s="1"/>
  <c r="J167" i="12"/>
  <c r="K167" i="12" s="1"/>
  <c r="J228" i="12"/>
  <c r="K228" i="12" s="1"/>
  <c r="J302" i="12"/>
  <c r="K302" i="12" s="1"/>
  <c r="K306" i="12" l="1"/>
  <c r="G6" i="39"/>
  <c r="H6" i="39" s="1"/>
  <c r="I283" i="39" l="1"/>
  <c r="G283" i="13" s="1"/>
  <c r="H283" i="13" s="1"/>
  <c r="I301" i="39"/>
  <c r="G301" i="13" s="1"/>
  <c r="H301" i="13" s="1"/>
  <c r="I193" i="39"/>
  <c r="G193" i="13" s="1"/>
  <c r="H193" i="13" s="1"/>
  <c r="I14" i="39"/>
  <c r="G14" i="13" s="1"/>
  <c r="H14" i="13" s="1"/>
  <c r="I114" i="39"/>
  <c r="G114" i="13" s="1"/>
  <c r="H114" i="13" s="1"/>
  <c r="I59" i="39"/>
  <c r="G59" i="13" s="1"/>
  <c r="H59" i="13" s="1"/>
  <c r="I263" i="39"/>
  <c r="G263" i="13" s="1"/>
  <c r="H263" i="13" s="1"/>
  <c r="I206" i="39"/>
  <c r="G206" i="13" s="1"/>
  <c r="H206" i="13" s="1"/>
  <c r="I103" i="39"/>
  <c r="G103" i="13" s="1"/>
  <c r="H103" i="13" s="1"/>
  <c r="I149" i="39"/>
  <c r="G149" i="13" s="1"/>
  <c r="H149" i="13" s="1"/>
  <c r="I104" i="39"/>
  <c r="G104" i="13" s="1"/>
  <c r="H104" i="13" s="1"/>
  <c r="I56" i="39"/>
  <c r="G56" i="13" s="1"/>
  <c r="H56" i="13" s="1"/>
  <c r="I236" i="39"/>
  <c r="G236" i="13" s="1"/>
  <c r="H236" i="13" s="1"/>
  <c r="I282" i="39"/>
  <c r="G282" i="13" s="1"/>
  <c r="H282" i="13" s="1"/>
  <c r="I278" i="39"/>
  <c r="G278" i="13" s="1"/>
  <c r="H278" i="13" s="1"/>
  <c r="I26" i="39"/>
  <c r="G26" i="13" s="1"/>
  <c r="H26" i="13" s="1"/>
  <c r="I291" i="39"/>
  <c r="G291" i="13" s="1"/>
  <c r="H291" i="13" s="1"/>
  <c r="I239" i="39"/>
  <c r="G239" i="13" s="1"/>
  <c r="H239" i="13" s="1"/>
  <c r="I244" i="39"/>
  <c r="G244" i="13" s="1"/>
  <c r="H244" i="13" s="1"/>
  <c r="I179" i="39"/>
  <c r="G179" i="13" s="1"/>
  <c r="H179" i="13" s="1"/>
  <c r="I112" i="39"/>
  <c r="G112" i="13" s="1"/>
  <c r="H112" i="13" s="1"/>
  <c r="I94" i="39"/>
  <c r="G94" i="13" s="1"/>
  <c r="H94" i="13" s="1"/>
  <c r="I214" i="39"/>
  <c r="G214" i="13" s="1"/>
  <c r="H214" i="13" s="1"/>
  <c r="I37" i="39"/>
  <c r="G37" i="13" s="1"/>
  <c r="H37" i="13" s="1"/>
  <c r="I277" i="39"/>
  <c r="G277" i="13" s="1"/>
  <c r="H277" i="13" s="1"/>
  <c r="I30" i="39"/>
  <c r="G30" i="13" s="1"/>
  <c r="H30" i="13" s="1"/>
  <c r="I52" i="39"/>
  <c r="G52" i="13" s="1"/>
  <c r="H52" i="13" s="1"/>
  <c r="I29" i="39"/>
  <c r="G29" i="13" s="1"/>
  <c r="H29" i="13" s="1"/>
  <c r="I49" i="39"/>
  <c r="G49" i="13" s="1"/>
  <c r="H49" i="13" s="1"/>
  <c r="I205" i="39"/>
  <c r="G205" i="13" s="1"/>
  <c r="H205" i="13" s="1"/>
  <c r="I140" i="39"/>
  <c r="G140" i="13" s="1"/>
  <c r="H140" i="13" s="1"/>
  <c r="I41" i="39"/>
  <c r="G41" i="13" s="1"/>
  <c r="H41" i="13" s="1"/>
  <c r="I57" i="39"/>
  <c r="G57" i="13" s="1"/>
  <c r="H57" i="13" s="1"/>
  <c r="I120" i="39"/>
  <c r="G120" i="13" s="1"/>
  <c r="H120" i="13" s="1"/>
  <c r="I234" i="39"/>
  <c r="G234" i="13" s="1"/>
  <c r="H234" i="13" s="1"/>
  <c r="I287" i="39"/>
  <c r="G287" i="13" s="1"/>
  <c r="H287" i="13" s="1"/>
  <c r="I165" i="39"/>
  <c r="G165" i="13" s="1"/>
  <c r="H165" i="13" s="1"/>
  <c r="I17" i="39"/>
  <c r="G17" i="13" s="1"/>
  <c r="H17" i="13" s="1"/>
  <c r="I181" i="39"/>
  <c r="G181" i="13" s="1"/>
  <c r="H181" i="13" s="1"/>
  <c r="I10" i="39"/>
  <c r="G10" i="13" s="1"/>
  <c r="H10" i="13" s="1"/>
  <c r="I300" i="39"/>
  <c r="G300" i="13" s="1"/>
  <c r="H300" i="13" s="1"/>
  <c r="I159" i="39"/>
  <c r="G159" i="13" s="1"/>
  <c r="H159" i="13" s="1"/>
  <c r="I21" i="39"/>
  <c r="G21" i="13" s="1"/>
  <c r="H21" i="13" s="1"/>
  <c r="I275" i="39"/>
  <c r="G275" i="13" s="1"/>
  <c r="H275" i="13" s="1"/>
  <c r="I211" i="39"/>
  <c r="G211" i="13" s="1"/>
  <c r="H211" i="13" s="1"/>
  <c r="I68" i="39"/>
  <c r="G68" i="13" s="1"/>
  <c r="H68" i="13" s="1"/>
  <c r="I66" i="39"/>
  <c r="G66" i="13" s="1"/>
  <c r="H66" i="13" s="1"/>
  <c r="I38" i="39"/>
  <c r="G38" i="13" s="1"/>
  <c r="H38" i="13" s="1"/>
  <c r="I219" i="39"/>
  <c r="G219" i="13" s="1"/>
  <c r="H219" i="13" s="1"/>
  <c r="I43" i="39"/>
  <c r="G43" i="13" s="1"/>
  <c r="H43" i="13" s="1"/>
  <c r="I34" i="39"/>
  <c r="G34" i="13" s="1"/>
  <c r="H34" i="13" s="1"/>
  <c r="I248" i="39"/>
  <c r="G248" i="13" s="1"/>
  <c r="H248" i="13" s="1"/>
  <c r="I280" i="39"/>
  <c r="G280" i="13" s="1"/>
  <c r="H280" i="13" s="1"/>
  <c r="I173" i="39"/>
  <c r="G173" i="13" s="1"/>
  <c r="H173" i="13" s="1"/>
  <c r="I290" i="39"/>
  <c r="G290" i="13" s="1"/>
  <c r="H290" i="13" s="1"/>
  <c r="I28" i="39"/>
  <c r="G28" i="13" s="1"/>
  <c r="H28" i="13" s="1"/>
  <c r="I257" i="39"/>
  <c r="G257" i="13" s="1"/>
  <c r="H257" i="13" s="1"/>
  <c r="I124" i="39"/>
  <c r="G124" i="13" s="1"/>
  <c r="H124" i="13" s="1"/>
  <c r="I39" i="39"/>
  <c r="G39" i="13" s="1"/>
  <c r="H39" i="13" s="1"/>
  <c r="I232" i="39"/>
  <c r="G232" i="13" s="1"/>
  <c r="H232" i="13" s="1"/>
  <c r="I262" i="39"/>
  <c r="G262" i="13" s="1"/>
  <c r="H262" i="13" s="1"/>
  <c r="I115" i="39"/>
  <c r="G115" i="13" s="1"/>
  <c r="H115" i="13" s="1"/>
  <c r="I288" i="39"/>
  <c r="G288" i="13" s="1"/>
  <c r="H288" i="13" s="1"/>
  <c r="I249" i="39"/>
  <c r="G249" i="13" s="1"/>
  <c r="H249" i="13" s="1"/>
  <c r="I158" i="39"/>
  <c r="G158" i="13" s="1"/>
  <c r="H158" i="13" s="1"/>
  <c r="I220" i="39"/>
  <c r="G220" i="13" s="1"/>
  <c r="H220" i="13" s="1"/>
  <c r="I276" i="39"/>
  <c r="G276" i="13" s="1"/>
  <c r="H276" i="13" s="1"/>
  <c r="I210" i="39"/>
  <c r="G210" i="13" s="1"/>
  <c r="H210" i="13" s="1"/>
  <c r="I45" i="39"/>
  <c r="G45" i="13" s="1"/>
  <c r="H45" i="13" s="1"/>
  <c r="I168" i="39"/>
  <c r="G168" i="13" s="1"/>
  <c r="H168" i="13" s="1"/>
  <c r="I150" i="39"/>
  <c r="G150" i="13" s="1"/>
  <c r="H150" i="13" s="1"/>
  <c r="I176" i="39"/>
  <c r="G176" i="13" s="1"/>
  <c r="H176" i="13" s="1"/>
  <c r="I51" i="39"/>
  <c r="G51" i="13" s="1"/>
  <c r="H51" i="13" s="1"/>
  <c r="I44" i="39"/>
  <c r="G44" i="13" s="1"/>
  <c r="H44" i="13" s="1"/>
  <c r="I224" i="39"/>
  <c r="G224" i="13" s="1"/>
  <c r="H224" i="13" s="1"/>
  <c r="I195" i="39"/>
  <c r="G195" i="13" s="1"/>
  <c r="H195" i="13" s="1"/>
  <c r="I86" i="39"/>
  <c r="G86" i="13" s="1"/>
  <c r="H86" i="13" s="1"/>
  <c r="I132" i="39"/>
  <c r="G132" i="13" s="1"/>
  <c r="H132" i="13" s="1"/>
  <c r="I8" i="39"/>
  <c r="G8" i="13" s="1"/>
  <c r="H8" i="13" s="1"/>
  <c r="I199" i="39"/>
  <c r="G199" i="13" s="1"/>
  <c r="H199" i="13" s="1"/>
  <c r="I209" i="39"/>
  <c r="G209" i="13" s="1"/>
  <c r="H209" i="13" s="1"/>
  <c r="I62" i="39"/>
  <c r="G62" i="13" s="1"/>
  <c r="I160" i="39"/>
  <c r="G160" i="13" s="1"/>
  <c r="H160" i="13" s="1"/>
  <c r="I203" i="39"/>
  <c r="G203" i="13" s="1"/>
  <c r="H203" i="13" s="1"/>
  <c r="I145" i="39"/>
  <c r="G145" i="13" s="1"/>
  <c r="H145" i="13" s="1"/>
  <c r="I23" i="39"/>
  <c r="G23" i="13" s="1"/>
  <c r="H23" i="13" s="1"/>
  <c r="I188" i="39"/>
  <c r="G188" i="13" s="1"/>
  <c r="H188" i="13" s="1"/>
  <c r="I184" i="39"/>
  <c r="G184" i="13" s="1"/>
  <c r="H184" i="13" s="1"/>
  <c r="I90" i="39"/>
  <c r="G90" i="13" s="1"/>
  <c r="H90" i="13" s="1"/>
  <c r="I58" i="39"/>
  <c r="G58" i="13" s="1"/>
  <c r="H58" i="13" s="1"/>
  <c r="I84" i="39"/>
  <c r="G84" i="13" s="1"/>
  <c r="H84" i="13" s="1"/>
  <c r="I204" i="39"/>
  <c r="G204" i="13" s="1"/>
  <c r="H204" i="13" s="1"/>
  <c r="I177" i="39"/>
  <c r="G177" i="13" s="1"/>
  <c r="H177" i="13" s="1"/>
  <c r="I110" i="39"/>
  <c r="G110" i="13" s="1"/>
  <c r="H110" i="13" s="1"/>
  <c r="I47" i="39"/>
  <c r="G47" i="13" s="1"/>
  <c r="H47" i="13" s="1"/>
  <c r="I281" i="39"/>
  <c r="G281" i="13" s="1"/>
  <c r="H281" i="13" s="1"/>
  <c r="I123" i="39"/>
  <c r="G123" i="13" s="1"/>
  <c r="H123" i="13" s="1"/>
  <c r="I298" i="39"/>
  <c r="G298" i="13" s="1"/>
  <c r="H298" i="13" s="1"/>
  <c r="I245" i="39"/>
  <c r="G245" i="13" s="1"/>
  <c r="H245" i="13" s="1"/>
  <c r="I266" i="39"/>
  <c r="G266" i="13" s="1"/>
  <c r="H266" i="13" s="1"/>
  <c r="I78" i="39"/>
  <c r="G78" i="13" s="1"/>
  <c r="H78" i="13" s="1"/>
  <c r="I12" i="39"/>
  <c r="G12" i="13" s="1"/>
  <c r="H12" i="13" s="1"/>
  <c r="I129" i="39"/>
  <c r="G129" i="13" s="1"/>
  <c r="H129" i="13" s="1"/>
  <c r="I153" i="39"/>
  <c r="G153" i="13" s="1"/>
  <c r="H153" i="13" s="1"/>
  <c r="I117" i="39"/>
  <c r="G117" i="13" s="1"/>
  <c r="H117" i="13" s="1"/>
  <c r="I135" i="39"/>
  <c r="G135" i="13" s="1"/>
  <c r="H135" i="13" s="1"/>
  <c r="I22" i="39"/>
  <c r="G22" i="13" s="1"/>
  <c r="H22" i="13" s="1"/>
  <c r="I166" i="39"/>
  <c r="G166" i="13" s="1"/>
  <c r="H166" i="13" s="1"/>
  <c r="I147" i="39"/>
  <c r="G147" i="13" s="1"/>
  <c r="H147" i="13" s="1"/>
  <c r="I157" i="39"/>
  <c r="G157" i="13" s="1"/>
  <c r="H157" i="13" s="1"/>
  <c r="I201" i="39"/>
  <c r="G201" i="13" s="1"/>
  <c r="H201" i="13" s="1"/>
  <c r="I225" i="39"/>
  <c r="G225" i="13" s="1"/>
  <c r="H225" i="13" s="1"/>
  <c r="I48" i="39"/>
  <c r="G48" i="13" s="1"/>
  <c r="H48" i="13" s="1"/>
  <c r="I207" i="39"/>
  <c r="G207" i="13" s="1"/>
  <c r="H207" i="13" s="1"/>
  <c r="I198" i="39"/>
  <c r="G198" i="13" s="1"/>
  <c r="H198" i="13" s="1"/>
  <c r="I231" i="39"/>
  <c r="G231" i="13" s="1"/>
  <c r="H231" i="13" s="1"/>
  <c r="I246" i="39"/>
  <c r="G246" i="13" s="1"/>
  <c r="H246" i="13" s="1"/>
  <c r="I202" i="39"/>
  <c r="G202" i="13" s="1"/>
  <c r="H202" i="13" s="1"/>
  <c r="I125" i="39"/>
  <c r="G125" i="13" s="1"/>
  <c r="H125" i="13" s="1"/>
  <c r="I284" i="39"/>
  <c r="G284" i="13" s="1"/>
  <c r="H284" i="13" s="1"/>
  <c r="I164" i="39"/>
  <c r="G164" i="13" s="1"/>
  <c r="H164" i="13" s="1"/>
  <c r="I252" i="39"/>
  <c r="G252" i="13" s="1"/>
  <c r="H252" i="13" s="1"/>
  <c r="I16" i="39"/>
  <c r="G16" i="13" s="1"/>
  <c r="H16" i="13" s="1"/>
  <c r="I297" i="39"/>
  <c r="G297" i="13" s="1"/>
  <c r="H297" i="13" s="1"/>
  <c r="I111" i="39"/>
  <c r="G111" i="13" s="1"/>
  <c r="H111" i="13" s="1"/>
  <c r="I265" i="39"/>
  <c r="G265" i="13" s="1"/>
  <c r="H265" i="13" s="1"/>
  <c r="I55" i="39"/>
  <c r="G55" i="13" s="1"/>
  <c r="H55" i="13" s="1"/>
  <c r="I192" i="39"/>
  <c r="G192" i="13" s="1"/>
  <c r="H192" i="13" s="1"/>
  <c r="I295" i="39"/>
  <c r="G295" i="13" s="1"/>
  <c r="H295" i="13" s="1"/>
  <c r="I208" i="39"/>
  <c r="G208" i="13" s="1"/>
  <c r="H208" i="13" s="1"/>
  <c r="I189" i="39"/>
  <c r="G189" i="13" s="1"/>
  <c r="H189" i="13" s="1"/>
  <c r="I178" i="39"/>
  <c r="G178" i="13" s="1"/>
  <c r="H178" i="13" s="1"/>
  <c r="I292" i="39"/>
  <c r="G292" i="13" s="1"/>
  <c r="H292" i="13" s="1"/>
  <c r="I144" i="39"/>
  <c r="G144" i="13" s="1"/>
  <c r="H144" i="13" s="1"/>
  <c r="I261" i="39"/>
  <c r="G261" i="13" s="1"/>
  <c r="H261" i="13" s="1"/>
  <c r="I106" i="39"/>
  <c r="G106" i="13" s="1"/>
  <c r="H106" i="13" s="1"/>
  <c r="I143" i="39"/>
  <c r="G143" i="13" s="1"/>
  <c r="H143" i="13" s="1"/>
  <c r="I20" i="39"/>
  <c r="G20" i="13" s="1"/>
  <c r="H20" i="13" s="1"/>
  <c r="I65" i="39"/>
  <c r="G65" i="13" s="1"/>
  <c r="H65" i="13" s="1"/>
  <c r="I183" i="39"/>
  <c r="G183" i="13" s="1"/>
  <c r="H183" i="13" s="1"/>
  <c r="I141" i="39"/>
  <c r="G141" i="13" s="1"/>
  <c r="H141" i="13" s="1"/>
  <c r="I154" i="39"/>
  <c r="G154" i="13" s="1"/>
  <c r="H154" i="13" s="1"/>
  <c r="I126" i="39"/>
  <c r="G126" i="13" s="1"/>
  <c r="H126" i="13" s="1"/>
  <c r="I227" i="39"/>
  <c r="G227" i="13" s="1"/>
  <c r="H227" i="13" s="1"/>
  <c r="I98" i="39"/>
  <c r="G98" i="13" s="1"/>
  <c r="H98" i="13" s="1"/>
  <c r="I131" i="39"/>
  <c r="G131" i="13" s="1"/>
  <c r="H131" i="13" s="1"/>
  <c r="I196" i="39"/>
  <c r="G196" i="13" s="1"/>
  <c r="H196" i="13" s="1"/>
  <c r="I163" i="39"/>
  <c r="G163" i="13" s="1"/>
  <c r="H163" i="13" s="1"/>
  <c r="I89" i="39"/>
  <c r="G89" i="13" s="1"/>
  <c r="H89" i="13" s="1"/>
  <c r="I155" i="39"/>
  <c r="G155" i="13" s="1"/>
  <c r="H155" i="13" s="1"/>
  <c r="I251" i="39"/>
  <c r="G251" i="13" s="1"/>
  <c r="H251" i="13" s="1"/>
  <c r="I33" i="39"/>
  <c r="G33" i="13" s="1"/>
  <c r="H33" i="13" s="1"/>
  <c r="I241" i="39"/>
  <c r="G241" i="13" s="1"/>
  <c r="H241" i="13" s="1"/>
  <c r="I194" i="39"/>
  <c r="G194" i="13" s="1"/>
  <c r="H194" i="13" s="1"/>
  <c r="I35" i="39"/>
  <c r="G35" i="13" s="1"/>
  <c r="H35" i="13" s="1"/>
  <c r="I182" i="39"/>
  <c r="G182" i="13" s="1"/>
  <c r="H182" i="13" s="1"/>
  <c r="I299" i="39"/>
  <c r="G299" i="13" s="1"/>
  <c r="H299" i="13" s="1"/>
  <c r="I53" i="39"/>
  <c r="G53" i="13" s="1"/>
  <c r="H53" i="13" s="1"/>
  <c r="I95" i="39"/>
  <c r="G95" i="13" s="1"/>
  <c r="H95" i="13" s="1"/>
  <c r="I116" i="39"/>
  <c r="G116" i="13" s="1"/>
  <c r="H116" i="13" s="1"/>
  <c r="I296" i="39"/>
  <c r="G296" i="13" s="1"/>
  <c r="H296" i="13" s="1"/>
  <c r="I258" i="39"/>
  <c r="G258" i="13" s="1"/>
  <c r="H258" i="13" s="1"/>
  <c r="I118" i="39"/>
  <c r="G118" i="13" s="1"/>
  <c r="H118" i="13" s="1"/>
  <c r="I187" i="39"/>
  <c r="G187" i="13" s="1"/>
  <c r="H187" i="13" s="1"/>
  <c r="I46" i="39"/>
  <c r="G46" i="13" s="1"/>
  <c r="H46" i="13" s="1"/>
  <c r="I72" i="39"/>
  <c r="G72" i="13" s="1"/>
  <c r="H72" i="13" s="1"/>
  <c r="I97" i="39"/>
  <c r="G97" i="13" s="1"/>
  <c r="H97" i="13" s="1"/>
  <c r="I305" i="39"/>
  <c r="G305" i="13" s="1"/>
  <c r="H305" i="13" s="1"/>
  <c r="I216" i="39"/>
  <c r="G216" i="13" s="1"/>
  <c r="H216" i="13" s="1"/>
  <c r="I130" i="39"/>
  <c r="G130" i="13" s="1"/>
  <c r="H130" i="13" s="1"/>
  <c r="I286" i="39"/>
  <c r="G286" i="13" s="1"/>
  <c r="H286" i="13" s="1"/>
  <c r="I186" i="39"/>
  <c r="G186" i="13" s="1"/>
  <c r="H186" i="13" s="1"/>
  <c r="I289" i="39"/>
  <c r="G289" i="13" s="1"/>
  <c r="H289" i="13" s="1"/>
  <c r="I247" i="39"/>
  <c r="G247" i="13" s="1"/>
  <c r="H247" i="13" s="1"/>
  <c r="I230" i="39"/>
  <c r="G230" i="13" s="1"/>
  <c r="H230" i="13" s="1"/>
  <c r="I137" i="39"/>
  <c r="G137" i="13" s="1"/>
  <c r="H137" i="13" s="1"/>
  <c r="I69" i="39"/>
  <c r="G69" i="13" s="1"/>
  <c r="H69" i="13" s="1"/>
  <c r="I175" i="39"/>
  <c r="G175" i="13" s="1"/>
  <c r="H175" i="13" s="1"/>
  <c r="I71" i="39"/>
  <c r="G71" i="13" s="1"/>
  <c r="H71" i="13" s="1"/>
  <c r="I91" i="39"/>
  <c r="G91" i="13" s="1"/>
  <c r="H91" i="13" s="1"/>
  <c r="I142" i="39"/>
  <c r="G142" i="13" s="1"/>
  <c r="H142" i="13" s="1"/>
  <c r="I109" i="39"/>
  <c r="G109" i="13" s="1"/>
  <c r="H109" i="13" s="1"/>
  <c r="I79" i="39"/>
  <c r="G79" i="13" s="1"/>
  <c r="H79" i="13" s="1"/>
  <c r="I162" i="39"/>
  <c r="G162" i="13" s="1"/>
  <c r="H162" i="13" s="1"/>
  <c r="I19" i="39"/>
  <c r="G19" i="13" s="1"/>
  <c r="H19" i="13" s="1"/>
  <c r="I197" i="39"/>
  <c r="G197" i="13" s="1"/>
  <c r="H197" i="13" s="1"/>
  <c r="I99" i="39"/>
  <c r="G99" i="13" s="1"/>
  <c r="H99" i="13" s="1"/>
  <c r="I171" i="39"/>
  <c r="G171" i="13" s="1"/>
  <c r="H171" i="13" s="1"/>
  <c r="I260" i="39"/>
  <c r="G260" i="13" s="1"/>
  <c r="H260" i="13" s="1"/>
  <c r="I253" i="39"/>
  <c r="G253" i="13" s="1"/>
  <c r="H253" i="13" s="1"/>
  <c r="I172" i="39"/>
  <c r="G172" i="13" s="1"/>
  <c r="H172" i="13" s="1"/>
  <c r="I146" i="39"/>
  <c r="G146" i="13" s="1"/>
  <c r="H146" i="13" s="1"/>
  <c r="I127" i="39"/>
  <c r="G127" i="13" s="1"/>
  <c r="H127" i="13" s="1"/>
  <c r="I233" i="39"/>
  <c r="G233" i="13" s="1"/>
  <c r="H233" i="13" s="1"/>
  <c r="I96" i="39"/>
  <c r="G96" i="13" s="1"/>
  <c r="H96" i="13" s="1"/>
  <c r="I229" i="39"/>
  <c r="G229" i="13" s="1"/>
  <c r="H229" i="13" s="1"/>
  <c r="I180" i="39"/>
  <c r="G180" i="13" s="1"/>
  <c r="H180" i="13" s="1"/>
  <c r="I274" i="39"/>
  <c r="G274" i="13" s="1"/>
  <c r="H274" i="13" s="1"/>
  <c r="I139" i="39"/>
  <c r="G139" i="13" s="1"/>
  <c r="H139" i="13" s="1"/>
  <c r="I40" i="39"/>
  <c r="G40" i="13" s="1"/>
  <c r="H40" i="13" s="1"/>
  <c r="I303" i="39"/>
  <c r="G303" i="13" s="1"/>
  <c r="H303" i="13" s="1"/>
  <c r="I87" i="39"/>
  <c r="G87" i="13" s="1"/>
  <c r="H87" i="13" s="1"/>
  <c r="I304" i="39"/>
  <c r="G304" i="13" s="1"/>
  <c r="H304" i="13" s="1"/>
  <c r="I200" i="39"/>
  <c r="G200" i="13" s="1"/>
  <c r="H200" i="13" s="1"/>
  <c r="I185" i="39"/>
  <c r="G185" i="13" s="1"/>
  <c r="H185" i="13" s="1"/>
  <c r="I88" i="39"/>
  <c r="G88" i="13" s="1"/>
  <c r="H88" i="13" s="1"/>
  <c r="I42" i="39"/>
  <c r="G42" i="13" s="1"/>
  <c r="H42" i="13" s="1"/>
  <c r="I82" i="39"/>
  <c r="G82" i="13" s="1"/>
  <c r="H82" i="13" s="1"/>
  <c r="I133" i="39"/>
  <c r="G133" i="13" s="1"/>
  <c r="H133" i="13" s="1"/>
  <c r="I100" i="39"/>
  <c r="G100" i="13" s="1"/>
  <c r="H100" i="13" s="1"/>
  <c r="I107" i="39"/>
  <c r="G107" i="13" s="1"/>
  <c r="H107" i="13" s="1"/>
  <c r="I63" i="39"/>
  <c r="G63" i="13" s="1"/>
  <c r="H63" i="13" s="1"/>
  <c r="I148" i="39"/>
  <c r="G148" i="13" s="1"/>
  <c r="H148" i="13" s="1"/>
  <c r="I267" i="39"/>
  <c r="G267" i="13" s="1"/>
  <c r="H267" i="13" s="1"/>
  <c r="I221" i="39"/>
  <c r="G221" i="13" s="1"/>
  <c r="H221" i="13" s="1"/>
  <c r="I119" i="39"/>
  <c r="G119" i="13" s="1"/>
  <c r="H119" i="13" s="1"/>
  <c r="I102" i="39"/>
  <c r="G102" i="13" s="1"/>
  <c r="H102" i="13" s="1"/>
  <c r="I294" i="39"/>
  <c r="G294" i="13" s="1"/>
  <c r="H294" i="13" s="1"/>
  <c r="I223" i="39"/>
  <c r="G223" i="13" s="1"/>
  <c r="H223" i="13" s="1"/>
  <c r="I122" i="39"/>
  <c r="G122" i="13" s="1"/>
  <c r="H122" i="13" s="1"/>
  <c r="I24" i="39"/>
  <c r="G24" i="13" s="1"/>
  <c r="H24" i="13" s="1"/>
  <c r="I11" i="39"/>
  <c r="G11" i="13" s="1"/>
  <c r="H11" i="13" s="1"/>
  <c r="I215" i="39"/>
  <c r="G215" i="13" s="1"/>
  <c r="H215" i="13" s="1"/>
  <c r="I240" i="39"/>
  <c r="G240" i="13" s="1"/>
  <c r="H240" i="13" s="1"/>
  <c r="I80" i="39"/>
  <c r="G80" i="13" s="1"/>
  <c r="H80" i="13" s="1"/>
  <c r="I77" i="39"/>
  <c r="G77" i="13" s="1"/>
  <c r="H77" i="13" s="1"/>
  <c r="I67" i="39"/>
  <c r="G67" i="13" s="1"/>
  <c r="H67" i="13" s="1"/>
  <c r="I191" i="39"/>
  <c r="G191" i="13" s="1"/>
  <c r="H191" i="13" s="1"/>
  <c r="I73" i="39"/>
  <c r="G73" i="13" s="1"/>
  <c r="H73" i="13" s="1"/>
  <c r="I270" i="39"/>
  <c r="G270" i="13" s="1"/>
  <c r="H270" i="13" s="1"/>
  <c r="I13" i="39"/>
  <c r="G13" i="13" s="1"/>
  <c r="H13" i="13" s="1"/>
  <c r="I269" i="39"/>
  <c r="G269" i="13" s="1"/>
  <c r="H269" i="13" s="1"/>
  <c r="I285" i="39"/>
  <c r="G285" i="13" s="1"/>
  <c r="H285" i="13" s="1"/>
  <c r="I218" i="39"/>
  <c r="G218" i="13" s="1"/>
  <c r="H218" i="13" s="1"/>
  <c r="I121" i="39"/>
  <c r="G121" i="13" s="1"/>
  <c r="H121" i="13" s="1"/>
  <c r="I302" i="39"/>
  <c r="G302" i="13" s="1"/>
  <c r="H302" i="13" s="1"/>
  <c r="I54" i="39"/>
  <c r="G54" i="13" s="1"/>
  <c r="H54" i="13" s="1"/>
  <c r="I83" i="39"/>
  <c r="G83" i="13" s="1"/>
  <c r="H83" i="13" s="1"/>
  <c r="I279" i="39"/>
  <c r="G279" i="13" s="1"/>
  <c r="H279" i="13" s="1"/>
  <c r="I217" i="39"/>
  <c r="G217" i="13" s="1"/>
  <c r="H217" i="13" s="1"/>
  <c r="I50" i="39"/>
  <c r="G50" i="13" s="1"/>
  <c r="H50" i="13" s="1"/>
  <c r="I174" i="39"/>
  <c r="G174" i="13" s="1"/>
  <c r="H174" i="13" s="1"/>
  <c r="I167" i="39"/>
  <c r="G167" i="13" s="1"/>
  <c r="H167" i="13" s="1"/>
  <c r="I64" i="39"/>
  <c r="G64" i="13" s="1"/>
  <c r="H64" i="13" s="1"/>
  <c r="I75" i="39"/>
  <c r="G75" i="13" s="1"/>
  <c r="H75" i="13" s="1"/>
  <c r="I74" i="39"/>
  <c r="G74" i="13" s="1"/>
  <c r="H74" i="13" s="1"/>
  <c r="I254" i="39"/>
  <c r="G254" i="13" s="1"/>
  <c r="H254" i="13" s="1"/>
  <c r="I293" i="39"/>
  <c r="G293" i="13" s="1"/>
  <c r="H293" i="13" s="1"/>
  <c r="I228" i="39"/>
  <c r="G228" i="13" s="1"/>
  <c r="H228" i="13" s="1"/>
  <c r="I161" i="39"/>
  <c r="G161" i="13" s="1"/>
  <c r="H161" i="13" s="1"/>
  <c r="I256" i="39"/>
  <c r="G256" i="13" s="1"/>
  <c r="H256" i="13" s="1"/>
  <c r="I76" i="39"/>
  <c r="G76" i="13" s="1"/>
  <c r="H76" i="13" s="1"/>
  <c r="I190" i="39"/>
  <c r="G190" i="13" s="1"/>
  <c r="H190" i="13" s="1"/>
  <c r="I243" i="39"/>
  <c r="G243" i="13" s="1"/>
  <c r="H243" i="13" s="1"/>
  <c r="I92" i="39"/>
  <c r="G92" i="13" s="1"/>
  <c r="H92" i="13" s="1"/>
  <c r="I255" i="39"/>
  <c r="G255" i="13" s="1"/>
  <c r="H255" i="13" s="1"/>
  <c r="I81" i="39"/>
  <c r="G81" i="13" s="1"/>
  <c r="H81" i="13" s="1"/>
  <c r="I273" i="39"/>
  <c r="G273" i="13" s="1"/>
  <c r="H273" i="13" s="1"/>
  <c r="I170" i="39"/>
  <c r="G170" i="13" s="1"/>
  <c r="H170" i="13" s="1"/>
  <c r="I272" i="39"/>
  <c r="G272" i="13" s="1"/>
  <c r="H272" i="13" s="1"/>
  <c r="I169" i="39"/>
  <c r="G169" i="13" s="1"/>
  <c r="H169" i="13" s="1"/>
  <c r="I36" i="39"/>
  <c r="G36" i="13" s="1"/>
  <c r="H36" i="13" s="1"/>
  <c r="I101" i="39"/>
  <c r="G101" i="13" s="1"/>
  <c r="H101" i="13" s="1"/>
  <c r="I242" i="39"/>
  <c r="G242" i="13" s="1"/>
  <c r="H242" i="13" s="1"/>
  <c r="I152" i="39"/>
  <c r="G152" i="13" s="1"/>
  <c r="H152" i="13" s="1"/>
  <c r="I271" i="39"/>
  <c r="G271" i="13" s="1"/>
  <c r="H271" i="13" s="1"/>
  <c r="I31" i="39"/>
  <c r="G31" i="13" s="1"/>
  <c r="H31" i="13" s="1"/>
  <c r="I7" i="39"/>
  <c r="G7" i="13" s="1"/>
  <c r="H7" i="13" s="1"/>
  <c r="I268" i="39"/>
  <c r="G268" i="13" s="1"/>
  <c r="H268" i="13" s="1"/>
  <c r="I238" i="39"/>
  <c r="G238" i="13" s="1"/>
  <c r="H238" i="13" s="1"/>
  <c r="I128" i="39"/>
  <c r="G128" i="13" s="1"/>
  <c r="H128" i="13" s="1"/>
  <c r="I134" i="39"/>
  <c r="G134" i="13" s="1"/>
  <c r="H134" i="13" s="1"/>
  <c r="I250" i="39"/>
  <c r="G250" i="13" s="1"/>
  <c r="H250" i="13" s="1"/>
  <c r="I226" i="39"/>
  <c r="G226" i="13" s="1"/>
  <c r="H226" i="13" s="1"/>
  <c r="I93" i="39"/>
  <c r="G93" i="13" s="1"/>
  <c r="H93" i="13" s="1"/>
  <c r="I136" i="39"/>
  <c r="G136" i="13" s="1"/>
  <c r="H136" i="13" s="1"/>
  <c r="I32" i="39"/>
  <c r="G32" i="13" s="1"/>
  <c r="H32" i="13" s="1"/>
  <c r="H62" i="13"/>
  <c r="I105" i="39"/>
  <c r="G105" i="13" s="1"/>
  <c r="H105" i="13" s="1"/>
  <c r="I237" i="39"/>
  <c r="G237" i="13" s="1"/>
  <c r="H237" i="13" s="1"/>
  <c r="I9" i="39"/>
  <c r="G9" i="13" s="1"/>
  <c r="H9" i="13" s="1"/>
  <c r="I70" i="39"/>
  <c r="G70" i="13" s="1"/>
  <c r="H70" i="13" s="1"/>
  <c r="I156" i="39"/>
  <c r="G156" i="13" s="1"/>
  <c r="H156" i="13" s="1"/>
  <c r="I212" i="39"/>
  <c r="G212" i="13" s="1"/>
  <c r="H212" i="13" s="1"/>
  <c r="I6" i="39"/>
  <c r="G6" i="13" s="1"/>
  <c r="H6" i="13" s="1"/>
  <c r="I6" i="13" s="1"/>
  <c r="J6" i="13" s="1"/>
  <c r="I235" i="39"/>
  <c r="G235" i="13" s="1"/>
  <c r="H235" i="13" s="1"/>
  <c r="I213" i="39"/>
  <c r="G213" i="13" s="1"/>
  <c r="H213" i="13" s="1"/>
  <c r="I18" i="39"/>
  <c r="G18" i="13" s="1"/>
  <c r="H18" i="13" s="1"/>
  <c r="I264" i="39"/>
  <c r="G264" i="13" s="1"/>
  <c r="H264" i="13" s="1"/>
  <c r="I222" i="39"/>
  <c r="G222" i="13" s="1"/>
  <c r="H222" i="13" s="1"/>
  <c r="I27" i="39"/>
  <c r="G27" i="13" s="1"/>
  <c r="H27" i="13" s="1"/>
  <c r="I138" i="39"/>
  <c r="G138" i="13" s="1"/>
  <c r="H138" i="13" s="1"/>
  <c r="I151" i="39"/>
  <c r="G151" i="13" s="1"/>
  <c r="H151" i="13" s="1"/>
  <c r="I259" i="39"/>
  <c r="G259" i="13" s="1"/>
  <c r="H259" i="13" s="1"/>
  <c r="I113" i="39"/>
  <c r="G113" i="13" s="1"/>
  <c r="H113" i="13" s="1"/>
  <c r="I15" i="39"/>
  <c r="G15" i="13" s="1"/>
  <c r="H15" i="13" s="1"/>
  <c r="I108" i="39"/>
  <c r="G108" i="13" s="1"/>
  <c r="H108" i="13" s="1"/>
  <c r="I60" i="39"/>
  <c r="G60" i="13" s="1"/>
  <c r="H60" i="13" s="1"/>
  <c r="I25" i="39"/>
  <c r="G25" i="13" s="1"/>
  <c r="H25" i="13" s="1"/>
  <c r="I85" i="39"/>
  <c r="G85" i="13" s="1"/>
  <c r="H85" i="13" s="1"/>
  <c r="I61" i="39"/>
  <c r="G61" i="13" s="1"/>
  <c r="H61" i="13" s="1"/>
  <c r="I134" i="13" l="1"/>
  <c r="I119" i="13"/>
  <c r="I116" i="13"/>
  <c r="J116" i="13" s="1"/>
  <c r="I281" i="13"/>
  <c r="I206" i="13"/>
  <c r="I60" i="13"/>
  <c r="I151" i="13"/>
  <c r="I158" i="13"/>
  <c r="I276" i="13"/>
  <c r="J276" i="13" s="1"/>
  <c r="H282" i="34" s="1"/>
  <c r="I135" i="13"/>
  <c r="J135" i="13" s="1"/>
  <c r="I128" i="13"/>
  <c r="I101" i="13"/>
  <c r="J101" i="13" s="1"/>
  <c r="I92" i="13"/>
  <c r="J92" i="13" s="1"/>
  <c r="H98" i="34" s="1"/>
  <c r="I254" i="13"/>
  <c r="J254" i="13" s="1"/>
  <c r="H260" i="34" s="1"/>
  <c r="I279" i="13"/>
  <c r="J279" i="13" s="1"/>
  <c r="H285" i="34" s="1"/>
  <c r="I13" i="13"/>
  <c r="I215" i="13"/>
  <c r="I221" i="13"/>
  <c r="J221" i="13" s="1"/>
  <c r="I42" i="13"/>
  <c r="J42" i="13" s="1"/>
  <c r="I139" i="13"/>
  <c r="J139" i="13" s="1"/>
  <c r="I172" i="13"/>
  <c r="J172" i="13" s="1"/>
  <c r="H178" i="34" s="1"/>
  <c r="I79" i="13"/>
  <c r="I230" i="13"/>
  <c r="J230" i="13" s="1"/>
  <c r="H236" i="34" s="1"/>
  <c r="I97" i="13"/>
  <c r="I95" i="13"/>
  <c r="J95" i="13" s="1"/>
  <c r="I251" i="13"/>
  <c r="J251" i="13" s="1"/>
  <c r="I126" i="13"/>
  <c r="J126" i="13" s="1"/>
  <c r="I261" i="13"/>
  <c r="J261" i="13" s="1"/>
  <c r="I55" i="13"/>
  <c r="J55" i="13" s="1"/>
  <c r="I125" i="13"/>
  <c r="I201" i="13"/>
  <c r="J201" i="13" s="1"/>
  <c r="H207" i="34" s="1"/>
  <c r="I129" i="13"/>
  <c r="I47" i="13"/>
  <c r="J47" i="13" s="1"/>
  <c r="H53" i="34" s="1"/>
  <c r="I188" i="13"/>
  <c r="J188" i="13" s="1"/>
  <c r="H194" i="34" s="1"/>
  <c r="I8" i="13"/>
  <c r="J8" i="13" s="1"/>
  <c r="I150" i="13"/>
  <c r="J150" i="13" s="1"/>
  <c r="I288" i="13"/>
  <c r="J288" i="13" s="1"/>
  <c r="I290" i="13"/>
  <c r="I66" i="13"/>
  <c r="J66" i="13" s="1"/>
  <c r="H72" i="34" s="1"/>
  <c r="I181" i="13"/>
  <c r="I140" i="13"/>
  <c r="J140" i="13" s="1"/>
  <c r="H146" i="34" s="1"/>
  <c r="I214" i="13"/>
  <c r="J214" i="13" s="1"/>
  <c r="H220" i="34" s="1"/>
  <c r="I278" i="13"/>
  <c r="J278" i="13" s="1"/>
  <c r="I263" i="13"/>
  <c r="J263" i="13" s="1"/>
  <c r="I242" i="13"/>
  <c r="I82" i="13"/>
  <c r="I33" i="13"/>
  <c r="I153" i="13"/>
  <c r="I10" i="13"/>
  <c r="I108" i="13"/>
  <c r="J108" i="13" s="1"/>
  <c r="H114" i="34" s="1"/>
  <c r="I138" i="13"/>
  <c r="J138" i="13" s="1"/>
  <c r="I212" i="13"/>
  <c r="J212" i="13" s="1"/>
  <c r="I220" i="13"/>
  <c r="J220" i="13" s="1"/>
  <c r="I44" i="13"/>
  <c r="I257" i="13"/>
  <c r="J257" i="13" s="1"/>
  <c r="H263" i="34" s="1"/>
  <c r="I238" i="13"/>
  <c r="I36" i="13"/>
  <c r="J36" i="13" s="1"/>
  <c r="H42" i="34" s="1"/>
  <c r="I243" i="13"/>
  <c r="J243" i="13" s="1"/>
  <c r="H249" i="34" s="1"/>
  <c r="I74" i="13"/>
  <c r="J74" i="13" s="1"/>
  <c r="I83" i="13"/>
  <c r="J83" i="13" s="1"/>
  <c r="I270" i="13"/>
  <c r="J270" i="13" s="1"/>
  <c r="H276" i="34" s="1"/>
  <c r="I11" i="13"/>
  <c r="I267" i="13"/>
  <c r="J267" i="13" s="1"/>
  <c r="H273" i="34" s="1"/>
  <c r="I88" i="13"/>
  <c r="I274" i="13"/>
  <c r="J274" i="13" s="1"/>
  <c r="H280" i="34" s="1"/>
  <c r="I253" i="13"/>
  <c r="J253" i="13" s="1"/>
  <c r="H259" i="34" s="1"/>
  <c r="I109" i="13"/>
  <c r="J109" i="13" s="1"/>
  <c r="I247" i="13"/>
  <c r="J247" i="13" s="1"/>
  <c r="I72" i="13"/>
  <c r="J72" i="13" s="1"/>
  <c r="H78" i="34" s="1"/>
  <c r="I53" i="13"/>
  <c r="J53" i="13" s="1"/>
  <c r="H59" i="34" s="1"/>
  <c r="I144" i="13"/>
  <c r="J144" i="13" s="1"/>
  <c r="H150" i="34" s="1"/>
  <c r="I265" i="13"/>
  <c r="I157" i="13"/>
  <c r="J157" i="13" s="1"/>
  <c r="H163" i="34" s="1"/>
  <c r="I12" i="13"/>
  <c r="J12" i="13" s="1"/>
  <c r="H18" i="34" s="1"/>
  <c r="I110" i="13"/>
  <c r="J110" i="13" s="1"/>
  <c r="I168" i="13"/>
  <c r="J168" i="13" s="1"/>
  <c r="I173" i="13"/>
  <c r="J173" i="13" s="1"/>
  <c r="H179" i="34" s="1"/>
  <c r="I68" i="13"/>
  <c r="I17" i="13"/>
  <c r="J17" i="13" s="1"/>
  <c r="H23" i="34" s="1"/>
  <c r="I205" i="13"/>
  <c r="I94" i="13"/>
  <c r="J94" i="13" s="1"/>
  <c r="H100" i="34" s="1"/>
  <c r="I282" i="13"/>
  <c r="J282" i="13" s="1"/>
  <c r="H288" i="34" s="1"/>
  <c r="I59" i="13"/>
  <c r="J59" i="13" s="1"/>
  <c r="I25" i="13"/>
  <c r="J25" i="13" s="1"/>
  <c r="I255" i="13"/>
  <c r="J255" i="13" s="1"/>
  <c r="H261" i="34" s="1"/>
  <c r="I146" i="13"/>
  <c r="I106" i="13"/>
  <c r="I199" i="13"/>
  <c r="I41" i="13"/>
  <c r="I98" i="13"/>
  <c r="J98" i="13" s="1"/>
  <c r="H104" i="34" s="1"/>
  <c r="I27" i="13"/>
  <c r="J27" i="13" s="1"/>
  <c r="I156" i="13"/>
  <c r="I23" i="13"/>
  <c r="J23" i="13" s="1"/>
  <c r="I115" i="13"/>
  <c r="I32" i="13"/>
  <c r="J32" i="13" s="1"/>
  <c r="H38" i="34" s="1"/>
  <c r="I268" i="13"/>
  <c r="I169" i="13"/>
  <c r="J169" i="13" s="1"/>
  <c r="I190" i="13"/>
  <c r="J190" i="13" s="1"/>
  <c r="H196" i="34" s="1"/>
  <c r="I75" i="13"/>
  <c r="J75" i="13" s="1"/>
  <c r="I54" i="13"/>
  <c r="J54" i="13" s="1"/>
  <c r="I73" i="13"/>
  <c r="J73" i="13" s="1"/>
  <c r="H79" i="34" s="1"/>
  <c r="I24" i="13"/>
  <c r="I148" i="13"/>
  <c r="J148" i="13" s="1"/>
  <c r="H154" i="34" s="1"/>
  <c r="I185" i="13"/>
  <c r="I180" i="13"/>
  <c r="J180" i="13" s="1"/>
  <c r="H186" i="34" s="1"/>
  <c r="I260" i="13"/>
  <c r="J260" i="13" s="1"/>
  <c r="H266" i="34" s="1"/>
  <c r="I142" i="13"/>
  <c r="J142" i="13" s="1"/>
  <c r="I289" i="13"/>
  <c r="J289" i="13" s="1"/>
  <c r="I46" i="13"/>
  <c r="J46" i="13" s="1"/>
  <c r="H52" i="34" s="1"/>
  <c r="I299" i="13"/>
  <c r="I89" i="13"/>
  <c r="J89" i="13" s="1"/>
  <c r="H95" i="34" s="1"/>
  <c r="I292" i="13"/>
  <c r="I111" i="13"/>
  <c r="J111" i="13" s="1"/>
  <c r="I246" i="13"/>
  <c r="J246" i="13" s="1"/>
  <c r="H252" i="34" s="1"/>
  <c r="I147" i="13"/>
  <c r="J147" i="13" s="1"/>
  <c r="I78" i="13"/>
  <c r="J78" i="13" s="1"/>
  <c r="I177" i="13"/>
  <c r="J177" i="13" s="1"/>
  <c r="I145" i="13"/>
  <c r="J145" i="13" s="1"/>
  <c r="H151" i="34" s="1"/>
  <c r="I45" i="13"/>
  <c r="J45" i="13" s="1"/>
  <c r="H51" i="34" s="1"/>
  <c r="I280" i="13"/>
  <c r="I211" i="13"/>
  <c r="J211" i="13" s="1"/>
  <c r="H217" i="34" s="1"/>
  <c r="I165" i="13"/>
  <c r="J165" i="13" s="1"/>
  <c r="H171" i="34" s="1"/>
  <c r="I49" i="13"/>
  <c r="J49" i="13" s="1"/>
  <c r="I112" i="13"/>
  <c r="J112" i="13" s="1"/>
  <c r="I236" i="13"/>
  <c r="J236" i="13" s="1"/>
  <c r="I114" i="13"/>
  <c r="I259" i="13"/>
  <c r="J259" i="13" s="1"/>
  <c r="H265" i="34" s="1"/>
  <c r="I48" i="13"/>
  <c r="I269" i="13"/>
  <c r="I305" i="13"/>
  <c r="J305" i="13" s="1"/>
  <c r="H311" i="34" s="1"/>
  <c r="I225" i="13"/>
  <c r="J225" i="13" s="1"/>
  <c r="I26" i="13"/>
  <c r="J26" i="13" s="1"/>
  <c r="I155" i="13"/>
  <c r="J155" i="13" s="1"/>
  <c r="H161" i="34" s="1"/>
  <c r="I222" i="13"/>
  <c r="I70" i="13"/>
  <c r="J70" i="13" s="1"/>
  <c r="H76" i="34" s="1"/>
  <c r="I262" i="13"/>
  <c r="I62" i="13"/>
  <c r="I136" i="13"/>
  <c r="J136" i="13" s="1"/>
  <c r="H142" i="34" s="1"/>
  <c r="I7" i="13"/>
  <c r="J7" i="13" s="1"/>
  <c r="I272" i="13"/>
  <c r="I76" i="13"/>
  <c r="I64" i="13"/>
  <c r="I302" i="13"/>
  <c r="J302" i="13" s="1"/>
  <c r="H308" i="34" s="1"/>
  <c r="I191" i="13"/>
  <c r="I122" i="13"/>
  <c r="I63" i="13"/>
  <c r="I200" i="13"/>
  <c r="I229" i="13"/>
  <c r="J229" i="13" s="1"/>
  <c r="I171" i="13"/>
  <c r="I91" i="13"/>
  <c r="I186" i="13"/>
  <c r="J186" i="13" s="1"/>
  <c r="H192" i="34" s="1"/>
  <c r="I187" i="13"/>
  <c r="I182" i="13"/>
  <c r="I163" i="13"/>
  <c r="I183" i="13"/>
  <c r="J183" i="13" s="1"/>
  <c r="H189" i="34" s="1"/>
  <c r="I178" i="13"/>
  <c r="J178" i="13" s="1"/>
  <c r="I297" i="13"/>
  <c r="J297" i="13" s="1"/>
  <c r="H303" i="34" s="1"/>
  <c r="I231" i="13"/>
  <c r="I166" i="13"/>
  <c r="J166" i="13" s="1"/>
  <c r="H172" i="34" s="1"/>
  <c r="I266" i="13"/>
  <c r="I204" i="13"/>
  <c r="I203" i="13"/>
  <c r="J203" i="13" s="1"/>
  <c r="H209" i="34" s="1"/>
  <c r="I195" i="13"/>
  <c r="J195" i="13" s="1"/>
  <c r="I210" i="13"/>
  <c r="J210" i="13" s="1"/>
  <c r="I232" i="13"/>
  <c r="I248" i="13"/>
  <c r="I275" i="13"/>
  <c r="J275" i="13" s="1"/>
  <c r="H281" i="34" s="1"/>
  <c r="I287" i="13"/>
  <c r="I29" i="13"/>
  <c r="I179" i="13"/>
  <c r="J179" i="13" s="1"/>
  <c r="H185" i="34" s="1"/>
  <c r="I56" i="13"/>
  <c r="J56" i="13" s="1"/>
  <c r="H62" i="34" s="1"/>
  <c r="I14" i="13"/>
  <c r="J14" i="13" s="1"/>
  <c r="I141" i="13"/>
  <c r="J141" i="13" s="1"/>
  <c r="H147" i="34" s="1"/>
  <c r="I217" i="13"/>
  <c r="I162" i="13"/>
  <c r="J162" i="13" s="1"/>
  <c r="H168" i="34" s="1"/>
  <c r="I192" i="13"/>
  <c r="I176" i="13"/>
  <c r="I37" i="13"/>
  <c r="I154" i="13"/>
  <c r="J154" i="13" s="1"/>
  <c r="I264" i="13"/>
  <c r="J264" i="13" s="1"/>
  <c r="I9" i="13"/>
  <c r="I132" i="13"/>
  <c r="J132" i="13" s="1"/>
  <c r="H138" i="34" s="1"/>
  <c r="I39" i="13"/>
  <c r="J39" i="13" s="1"/>
  <c r="H45" i="34" s="1"/>
  <c r="I93" i="13"/>
  <c r="I31" i="13"/>
  <c r="J31" i="13" s="1"/>
  <c r="H37" i="34" s="1"/>
  <c r="I170" i="13"/>
  <c r="J170" i="13" s="1"/>
  <c r="H176" i="34" s="1"/>
  <c r="I256" i="13"/>
  <c r="J256" i="13" s="1"/>
  <c r="H262" i="34" s="1"/>
  <c r="I167" i="13"/>
  <c r="J167" i="13" s="1"/>
  <c r="I121" i="13"/>
  <c r="I67" i="13"/>
  <c r="I223" i="13"/>
  <c r="I107" i="13"/>
  <c r="I304" i="13"/>
  <c r="I96" i="13"/>
  <c r="J96" i="13" s="1"/>
  <c r="H102" i="34" s="1"/>
  <c r="I99" i="13"/>
  <c r="J99" i="13" s="1"/>
  <c r="H105" i="34" s="1"/>
  <c r="I71" i="13"/>
  <c r="J71" i="13" s="1"/>
  <c r="I286" i="13"/>
  <c r="I118" i="13"/>
  <c r="I35" i="13"/>
  <c r="J35" i="13" s="1"/>
  <c r="H41" i="34" s="1"/>
  <c r="I196" i="13"/>
  <c r="I65" i="13"/>
  <c r="J65" i="13" s="1"/>
  <c r="H71" i="34" s="1"/>
  <c r="I189" i="13"/>
  <c r="J189" i="13" s="1"/>
  <c r="H195" i="34" s="1"/>
  <c r="I16" i="13"/>
  <c r="J16" i="13" s="1"/>
  <c r="H22" i="34" s="1"/>
  <c r="I198" i="13"/>
  <c r="J198" i="13" s="1"/>
  <c r="I22" i="13"/>
  <c r="J22" i="13" s="1"/>
  <c r="H28" i="34" s="1"/>
  <c r="I245" i="13"/>
  <c r="I84" i="13"/>
  <c r="J84" i="13" s="1"/>
  <c r="H90" i="34" s="1"/>
  <c r="I160" i="13"/>
  <c r="I224" i="13"/>
  <c r="I34" i="13"/>
  <c r="J34" i="13" s="1"/>
  <c r="H40" i="34" s="1"/>
  <c r="I21" i="13"/>
  <c r="J21" i="13" s="1"/>
  <c r="H27" i="34" s="1"/>
  <c r="I234" i="13"/>
  <c r="J234" i="13" s="1"/>
  <c r="I52" i="13"/>
  <c r="J52" i="13" s="1"/>
  <c r="H58" i="34" s="1"/>
  <c r="I244" i="13"/>
  <c r="I104" i="13"/>
  <c r="J104" i="13" s="1"/>
  <c r="H110" i="34" s="1"/>
  <c r="I193" i="13"/>
  <c r="I235" i="13"/>
  <c r="I293" i="13"/>
  <c r="J293" i="13" s="1"/>
  <c r="H299" i="34" s="1"/>
  <c r="I40" i="13"/>
  <c r="J40" i="13" s="1"/>
  <c r="I227" i="13"/>
  <c r="J227" i="13" s="1"/>
  <c r="I184" i="13"/>
  <c r="I28" i="13"/>
  <c r="I61" i="13"/>
  <c r="J61" i="13" s="1"/>
  <c r="H67" i="34" s="1"/>
  <c r="I15" i="13"/>
  <c r="I18" i="13"/>
  <c r="I237" i="13"/>
  <c r="I124" i="13"/>
  <c r="J124" i="13" s="1"/>
  <c r="H130" i="34" s="1"/>
  <c r="I252" i="13"/>
  <c r="J252" i="13" s="1"/>
  <c r="I226" i="13"/>
  <c r="I271" i="13"/>
  <c r="I273" i="13"/>
  <c r="I161" i="13"/>
  <c r="I174" i="13"/>
  <c r="I218" i="13"/>
  <c r="J218" i="13" s="1"/>
  <c r="H224" i="34" s="1"/>
  <c r="I77" i="13"/>
  <c r="J77" i="13" s="1"/>
  <c r="H83" i="34" s="1"/>
  <c r="I294" i="13"/>
  <c r="J294" i="13" s="1"/>
  <c r="I100" i="13"/>
  <c r="I87" i="13"/>
  <c r="I233" i="13"/>
  <c r="I197" i="13"/>
  <c r="I175" i="13"/>
  <c r="I130" i="13"/>
  <c r="J130" i="13" s="1"/>
  <c r="H136" i="34" s="1"/>
  <c r="I258" i="13"/>
  <c r="J258" i="13" s="1"/>
  <c r="H264" i="34" s="1"/>
  <c r="I194" i="13"/>
  <c r="J194" i="13" s="1"/>
  <c r="I131" i="13"/>
  <c r="I20" i="13"/>
  <c r="I208" i="13"/>
  <c r="I207" i="13"/>
  <c r="I298" i="13"/>
  <c r="J298" i="13" s="1"/>
  <c r="H304" i="34" s="1"/>
  <c r="I58" i="13"/>
  <c r="J58" i="13" s="1"/>
  <c r="H64" i="34" s="1"/>
  <c r="I43" i="13"/>
  <c r="I159" i="13"/>
  <c r="J159" i="13" s="1"/>
  <c r="I120" i="13"/>
  <c r="I30" i="13"/>
  <c r="I239" i="13"/>
  <c r="I149" i="13"/>
  <c r="I301" i="13"/>
  <c r="I86" i="13"/>
  <c r="I240" i="13"/>
  <c r="I137" i="13"/>
  <c r="I284" i="13"/>
  <c r="I249" i="13"/>
  <c r="I38" i="13"/>
  <c r="I85" i="13"/>
  <c r="I113" i="13"/>
  <c r="I213" i="13"/>
  <c r="I105" i="13"/>
  <c r="I209" i="13"/>
  <c r="J209" i="13" s="1"/>
  <c r="I202" i="13"/>
  <c r="J202" i="13" s="1"/>
  <c r="H208" i="34" s="1"/>
  <c r="I250" i="13"/>
  <c r="I152" i="13"/>
  <c r="I81" i="13"/>
  <c r="I228" i="13"/>
  <c r="I50" i="13"/>
  <c r="I285" i="13"/>
  <c r="I80" i="13"/>
  <c r="J80" i="13" s="1"/>
  <c r="I102" i="13"/>
  <c r="J102" i="13" s="1"/>
  <c r="H108" i="34" s="1"/>
  <c r="I133" i="13"/>
  <c r="I303" i="13"/>
  <c r="I127" i="13"/>
  <c r="I19" i="13"/>
  <c r="I69" i="13"/>
  <c r="I216" i="13"/>
  <c r="I296" i="13"/>
  <c r="J296" i="13" s="1"/>
  <c r="I241" i="13"/>
  <c r="I143" i="13"/>
  <c r="I295" i="13"/>
  <c r="I164" i="13"/>
  <c r="I117" i="13"/>
  <c r="I123" i="13"/>
  <c r="I90" i="13"/>
  <c r="I51" i="13"/>
  <c r="J51" i="13" s="1"/>
  <c r="I219" i="13"/>
  <c r="I300" i="13"/>
  <c r="I57" i="13"/>
  <c r="I277" i="13"/>
  <c r="I291" i="13"/>
  <c r="I103" i="13"/>
  <c r="I283" i="13"/>
  <c r="H184" i="34"/>
  <c r="H201" i="34"/>
  <c r="H216" i="34"/>
  <c r="H32" i="34"/>
  <c r="H20" i="34"/>
  <c r="H122" i="34"/>
  <c r="H231" i="34"/>
  <c r="H46" i="34"/>
  <c r="H13" i="34"/>
  <c r="H235" i="34"/>
  <c r="H233" i="34"/>
  <c r="H218" i="34"/>
  <c r="H31" i="34"/>
  <c r="H144" i="34"/>
  <c r="H107" i="34"/>
  <c r="H173" i="34"/>
  <c r="H227" i="34"/>
  <c r="H48" i="34"/>
  <c r="H145" i="34"/>
  <c r="H77" i="34"/>
  <c r="H101" i="34"/>
  <c r="H257" i="34"/>
  <c r="H132" i="34"/>
  <c r="H267" i="34"/>
  <c r="H61" i="34"/>
  <c r="H204" i="34"/>
  <c r="H14" i="34"/>
  <c r="H156" i="34"/>
  <c r="H294" i="34"/>
  <c r="H240" i="34"/>
  <c r="H284" i="34"/>
  <c r="H269" i="34"/>
  <c r="H33" i="34"/>
  <c r="H270" i="34"/>
  <c r="H80" i="34"/>
  <c r="H89" i="34"/>
  <c r="H300" i="34"/>
  <c r="H115" i="34"/>
  <c r="H253" i="34"/>
  <c r="H200" i="34"/>
  <c r="H160" i="34"/>
  <c r="H258" i="34"/>
  <c r="H141" i="34"/>
  <c r="H116" i="34"/>
  <c r="H29" i="34"/>
  <c r="H174" i="34"/>
  <c r="H226" i="34"/>
  <c r="H165" i="34"/>
  <c r="H65" i="34"/>
  <c r="H12" i="34"/>
  <c r="H175" i="34"/>
  <c r="H81" i="34"/>
  <c r="H60" i="34"/>
  <c r="H86" i="34"/>
  <c r="H148" i="34"/>
  <c r="H295" i="34"/>
  <c r="H302" i="34"/>
  <c r="H117" i="34"/>
  <c r="H153" i="34"/>
  <c r="H84" i="34"/>
  <c r="H183" i="34"/>
  <c r="H215" i="34"/>
  <c r="H57" i="34"/>
  <c r="H55" i="34"/>
  <c r="H118" i="34"/>
  <c r="H242" i="34"/>
  <c r="I306" i="39"/>
  <c r="J57" i="13" l="1"/>
  <c r="H63" i="34" s="1"/>
  <c r="J295" i="13"/>
  <c r="H301" i="34" s="1"/>
  <c r="J303" i="13"/>
  <c r="H309" i="34" s="1"/>
  <c r="J152" i="13"/>
  <c r="H158" i="34" s="1"/>
  <c r="J38" i="13"/>
  <c r="H44" i="34" s="1"/>
  <c r="J239" i="13"/>
  <c r="H245" i="34" s="1"/>
  <c r="J208" i="13"/>
  <c r="H214" i="34" s="1"/>
  <c r="J233" i="13"/>
  <c r="H239" i="34" s="1"/>
  <c r="J273" i="13"/>
  <c r="H279" i="34" s="1"/>
  <c r="J223" i="13"/>
  <c r="H229" i="34" s="1"/>
  <c r="J106" i="13"/>
  <c r="H112" i="34" s="1"/>
  <c r="J33" i="13"/>
  <c r="H39" i="34" s="1"/>
  <c r="J151" i="13"/>
  <c r="H157" i="34" s="1"/>
  <c r="J300" i="13"/>
  <c r="H306" i="34" s="1"/>
  <c r="J143" i="13"/>
  <c r="H149" i="34" s="1"/>
  <c r="J133" i="13"/>
  <c r="H139" i="34" s="1"/>
  <c r="J250" i="13"/>
  <c r="H256" i="34" s="1"/>
  <c r="J249" i="13"/>
  <c r="H255" i="34" s="1"/>
  <c r="J30" i="13"/>
  <c r="H36" i="34" s="1"/>
  <c r="J20" i="13"/>
  <c r="H26" i="34" s="1"/>
  <c r="J87" i="13"/>
  <c r="H93" i="34" s="1"/>
  <c r="J271" i="13"/>
  <c r="H277" i="34" s="1"/>
  <c r="J28" i="13"/>
  <c r="H34" i="34" s="1"/>
  <c r="J244" i="13"/>
  <c r="H250" i="34" s="1"/>
  <c r="J245" i="13"/>
  <c r="H251" i="34" s="1"/>
  <c r="J118" i="13"/>
  <c r="H124" i="34" s="1"/>
  <c r="J67" i="13"/>
  <c r="H73" i="34" s="1"/>
  <c r="J217" i="13"/>
  <c r="H223" i="34" s="1"/>
  <c r="J248" i="13"/>
  <c r="H254" i="34" s="1"/>
  <c r="J231" i="13"/>
  <c r="H237" i="34" s="1"/>
  <c r="J91" i="13"/>
  <c r="H97" i="34" s="1"/>
  <c r="J64" i="13"/>
  <c r="H70" i="34" s="1"/>
  <c r="J222" i="13"/>
  <c r="H228" i="34" s="1"/>
  <c r="J114" i="13"/>
  <c r="H120" i="34" s="1"/>
  <c r="J299" i="13"/>
  <c r="H305" i="34" s="1"/>
  <c r="J24" i="13"/>
  <c r="H30" i="34" s="1"/>
  <c r="J115" i="13"/>
  <c r="H121" i="34" s="1"/>
  <c r="J146" i="13"/>
  <c r="H152" i="34" s="1"/>
  <c r="J68" i="13"/>
  <c r="H74" i="34" s="1"/>
  <c r="J11" i="13"/>
  <c r="H17" i="34" s="1"/>
  <c r="J44" i="13"/>
  <c r="H50" i="34" s="1"/>
  <c r="J82" i="13"/>
  <c r="H88" i="34" s="1"/>
  <c r="J290" i="13"/>
  <c r="H296" i="34" s="1"/>
  <c r="J125" i="13"/>
  <c r="H131" i="34" s="1"/>
  <c r="J79" i="13"/>
  <c r="H85" i="34" s="1"/>
  <c r="J60" i="13"/>
  <c r="H66" i="34" s="1"/>
  <c r="J219" i="13"/>
  <c r="H225" i="34" s="1"/>
  <c r="J241" i="13"/>
  <c r="H247" i="34" s="1"/>
  <c r="J284" i="13"/>
  <c r="H290" i="34" s="1"/>
  <c r="J120" i="13"/>
  <c r="H126" i="34" s="1"/>
  <c r="J131" i="13"/>
  <c r="H137" i="34" s="1"/>
  <c r="J100" i="13"/>
  <c r="H106" i="34" s="1"/>
  <c r="J226" i="13"/>
  <c r="H232" i="34" s="1"/>
  <c r="J184" i="13"/>
  <c r="H190" i="34" s="1"/>
  <c r="J286" i="13"/>
  <c r="H292" i="34" s="1"/>
  <c r="J121" i="13"/>
  <c r="H127" i="34" s="1"/>
  <c r="J9" i="13"/>
  <c r="H15" i="34" s="1"/>
  <c r="J232" i="13"/>
  <c r="H238" i="34" s="1"/>
  <c r="J171" i="13"/>
  <c r="H177" i="34" s="1"/>
  <c r="J76" i="13"/>
  <c r="H82" i="34" s="1"/>
  <c r="J242" i="13"/>
  <c r="H248" i="34" s="1"/>
  <c r="J206" i="13"/>
  <c r="H212" i="34" s="1"/>
  <c r="J164" i="13"/>
  <c r="H170" i="34" s="1"/>
  <c r="J81" i="13"/>
  <c r="H87" i="34" s="1"/>
  <c r="J85" i="13"/>
  <c r="H91" i="34" s="1"/>
  <c r="J207" i="13"/>
  <c r="H213" i="34" s="1"/>
  <c r="J197" i="13"/>
  <c r="H203" i="34" s="1"/>
  <c r="J161" i="13"/>
  <c r="H167" i="34" s="1"/>
  <c r="J193" i="13"/>
  <c r="H199" i="34" s="1"/>
  <c r="J160" i="13"/>
  <c r="H166" i="34" s="1"/>
  <c r="J196" i="13"/>
  <c r="H202" i="34" s="1"/>
  <c r="J107" i="13"/>
  <c r="H113" i="34" s="1"/>
  <c r="J93" i="13"/>
  <c r="H99" i="34" s="1"/>
  <c r="J192" i="13"/>
  <c r="H198" i="34" s="1"/>
  <c r="J287" i="13"/>
  <c r="H293" i="34" s="1"/>
  <c r="J266" i="13"/>
  <c r="H272" i="34" s="1"/>
  <c r="J187" i="13"/>
  <c r="H193" i="34" s="1"/>
  <c r="J191" i="13"/>
  <c r="H197" i="34" s="1"/>
  <c r="J262" i="13"/>
  <c r="H268" i="34" s="1"/>
  <c r="J48" i="13"/>
  <c r="H54" i="34" s="1"/>
  <c r="J280" i="13"/>
  <c r="H286" i="34" s="1"/>
  <c r="J292" i="13"/>
  <c r="H298" i="34" s="1"/>
  <c r="J185" i="13"/>
  <c r="H191" i="34" s="1"/>
  <c r="J199" i="13"/>
  <c r="H205" i="34" s="1"/>
  <c r="J205" i="13"/>
  <c r="H211" i="34" s="1"/>
  <c r="J265" i="13"/>
  <c r="H271" i="34" s="1"/>
  <c r="J88" i="13"/>
  <c r="H94" i="34" s="1"/>
  <c r="J238" i="13"/>
  <c r="H244" i="34" s="1"/>
  <c r="J153" i="13"/>
  <c r="H159" i="34" s="1"/>
  <c r="J181" i="13"/>
  <c r="H187" i="34" s="1"/>
  <c r="J129" i="13"/>
  <c r="H135" i="34" s="1"/>
  <c r="J97" i="13"/>
  <c r="H103" i="34" s="1"/>
  <c r="J13" i="13"/>
  <c r="H19" i="34" s="1"/>
  <c r="J158" i="13"/>
  <c r="H164" i="34" s="1"/>
  <c r="J137" i="13"/>
  <c r="H143" i="34" s="1"/>
  <c r="J272" i="13"/>
  <c r="H278" i="34" s="1"/>
  <c r="J156" i="13"/>
  <c r="H162" i="34" s="1"/>
  <c r="J281" i="13"/>
  <c r="H287" i="34" s="1"/>
  <c r="J277" i="13"/>
  <c r="H283" i="34" s="1"/>
  <c r="J127" i="13"/>
  <c r="H133" i="34" s="1"/>
  <c r="J149" i="13"/>
  <c r="H155" i="34" s="1"/>
  <c r="J15" i="13"/>
  <c r="H21" i="34" s="1"/>
  <c r="J268" i="13"/>
  <c r="H274" i="34" s="1"/>
  <c r="J283" i="13"/>
  <c r="H289" i="34" s="1"/>
  <c r="J90" i="13"/>
  <c r="H96" i="34" s="1"/>
  <c r="J216" i="13"/>
  <c r="H222" i="34" s="1"/>
  <c r="J285" i="13"/>
  <c r="H291" i="34" s="1"/>
  <c r="J105" i="13"/>
  <c r="H111" i="34" s="1"/>
  <c r="J240" i="13"/>
  <c r="H246" i="34" s="1"/>
  <c r="J43" i="13"/>
  <c r="H49" i="34" s="1"/>
  <c r="J200" i="13"/>
  <c r="H206" i="34" s="1"/>
  <c r="J128" i="13"/>
  <c r="H134" i="34" s="1"/>
  <c r="J103" i="13"/>
  <c r="H109" i="34" s="1"/>
  <c r="J123" i="13"/>
  <c r="H129" i="34" s="1"/>
  <c r="J69" i="13"/>
  <c r="H75" i="34" s="1"/>
  <c r="J50" i="13"/>
  <c r="H56" i="34" s="1"/>
  <c r="J213" i="13"/>
  <c r="H219" i="34" s="1"/>
  <c r="J86" i="13"/>
  <c r="H92" i="34" s="1"/>
  <c r="J237" i="13"/>
  <c r="H243" i="34" s="1"/>
  <c r="J37" i="13"/>
  <c r="H43" i="34" s="1"/>
  <c r="J163" i="13"/>
  <c r="H169" i="34" s="1"/>
  <c r="J63" i="13"/>
  <c r="H69" i="34" s="1"/>
  <c r="J119" i="13"/>
  <c r="H125" i="34" s="1"/>
  <c r="J291" i="13"/>
  <c r="H297" i="34" s="1"/>
  <c r="J117" i="13"/>
  <c r="H123" i="34" s="1"/>
  <c r="J19" i="13"/>
  <c r="H25" i="34" s="1"/>
  <c r="J228" i="13"/>
  <c r="H234" i="34" s="1"/>
  <c r="J113" i="13"/>
  <c r="H119" i="34" s="1"/>
  <c r="J301" i="13"/>
  <c r="H307" i="34" s="1"/>
  <c r="J175" i="13"/>
  <c r="H181" i="34" s="1"/>
  <c r="J174" i="13"/>
  <c r="H180" i="34" s="1"/>
  <c r="J18" i="13"/>
  <c r="H24" i="34" s="1"/>
  <c r="J235" i="13"/>
  <c r="H241" i="34" s="1"/>
  <c r="J224" i="13"/>
  <c r="H230" i="34" s="1"/>
  <c r="J304" i="13"/>
  <c r="H310" i="34" s="1"/>
  <c r="J176" i="13"/>
  <c r="H182" i="34" s="1"/>
  <c r="J29" i="13"/>
  <c r="H35" i="34" s="1"/>
  <c r="J204" i="13"/>
  <c r="H210" i="34" s="1"/>
  <c r="J182" i="13"/>
  <c r="H188" i="34" s="1"/>
  <c r="J122" i="13"/>
  <c r="H128" i="34" s="1"/>
  <c r="J62" i="13"/>
  <c r="H68" i="34" s="1"/>
  <c r="J269" i="13"/>
  <c r="H275" i="34" s="1"/>
  <c r="J41" i="13"/>
  <c r="H47" i="34" s="1"/>
  <c r="J10" i="13"/>
  <c r="J215" i="13"/>
  <c r="H221" i="34" s="1"/>
  <c r="J134" i="13"/>
  <c r="H140" i="34" s="1"/>
  <c r="I270" i="34"/>
  <c r="K270" i="34" s="1"/>
  <c r="F264" i="25" s="1"/>
  <c r="I12" i="34"/>
  <c r="G306" i="13"/>
  <c r="H306" i="13" s="1"/>
  <c r="I174" i="34"/>
  <c r="I185" i="34"/>
  <c r="I80" i="34"/>
  <c r="I78" i="34"/>
  <c r="I31" i="34"/>
  <c r="I138" i="34"/>
  <c r="I208" i="34"/>
  <c r="I215" i="34"/>
  <c r="I122" i="34"/>
  <c r="I38" i="34"/>
  <c r="I175" i="34"/>
  <c r="I235" i="34"/>
  <c r="I285" i="34"/>
  <c r="I299" i="34"/>
  <c r="I100" i="34"/>
  <c r="I204" i="34"/>
  <c r="I45" i="34"/>
  <c r="I260" i="34"/>
  <c r="I29" i="34"/>
  <c r="I308" i="34"/>
  <c r="I37" i="34"/>
  <c r="I115" i="34"/>
  <c r="I51" i="34"/>
  <c r="I28" i="34"/>
  <c r="I179" i="34"/>
  <c r="I116" i="34"/>
  <c r="I183" i="34"/>
  <c r="I218" i="34"/>
  <c r="I40" i="34"/>
  <c r="I71" i="34"/>
  <c r="I72" i="34"/>
  <c r="I280" i="34"/>
  <c r="I98" i="34"/>
  <c r="I249" i="34"/>
  <c r="I281" i="34"/>
  <c r="I194" i="34"/>
  <c r="I105" i="34"/>
  <c r="I95" i="34"/>
  <c r="I48" i="34"/>
  <c r="I154" i="34"/>
  <c r="I226" i="34"/>
  <c r="I294" i="34"/>
  <c r="I62" i="34"/>
  <c r="I233" i="34"/>
  <c r="I90" i="34"/>
  <c r="I86" i="34"/>
  <c r="I311" i="34"/>
  <c r="I186" i="34"/>
  <c r="I161" i="34"/>
  <c r="I184" i="34"/>
  <c r="I46" i="34"/>
  <c r="I282" i="34"/>
  <c r="I23" i="34"/>
  <c r="I242" i="34"/>
  <c r="I259" i="34"/>
  <c r="I13" i="34"/>
  <c r="I252" i="34"/>
  <c r="I141" i="34"/>
  <c r="I61" i="34"/>
  <c r="I132" i="34"/>
  <c r="I173" i="34"/>
  <c r="I189" i="34"/>
  <c r="I267" i="34"/>
  <c r="I76" i="34"/>
  <c r="I284" i="34"/>
  <c r="I52" i="34"/>
  <c r="I236" i="34"/>
  <c r="I60" i="34"/>
  <c r="I269" i="34"/>
  <c r="I231" i="34"/>
  <c r="I266" i="34"/>
  <c r="I18" i="34"/>
  <c r="I240" i="34"/>
  <c r="I295" i="34"/>
  <c r="I168" i="34"/>
  <c r="I302" i="34"/>
  <c r="I32" i="34"/>
  <c r="I201" i="34"/>
  <c r="I150" i="34"/>
  <c r="I273" i="34"/>
  <c r="I192" i="34"/>
  <c r="I160" i="34"/>
  <c r="I151" i="34"/>
  <c r="I104" i="34"/>
  <c r="I114" i="34"/>
  <c r="I257" i="34"/>
  <c r="I178" i="34"/>
  <c r="I146" i="34"/>
  <c r="I57" i="34"/>
  <c r="I265" i="34"/>
  <c r="I102" i="34"/>
  <c r="I55" i="34"/>
  <c r="I176" i="34"/>
  <c r="I14" i="34"/>
  <c r="I41" i="34"/>
  <c r="I145" i="34"/>
  <c r="I81" i="34"/>
  <c r="I117" i="34"/>
  <c r="I163" i="34"/>
  <c r="I147" i="34"/>
  <c r="I83" i="34"/>
  <c r="I220" i="34"/>
  <c r="I195" i="34"/>
  <c r="I27" i="34"/>
  <c r="I67" i="34"/>
  <c r="I276" i="34"/>
  <c r="I227" i="34"/>
  <c r="I107" i="34"/>
  <c r="I148" i="34"/>
  <c r="I253" i="34"/>
  <c r="I77" i="34"/>
  <c r="I196" i="34"/>
  <c r="I53" i="34"/>
  <c r="I224" i="34"/>
  <c r="I79" i="34"/>
  <c r="I144" i="34"/>
  <c r="I217" i="34"/>
  <c r="I200" i="34"/>
  <c r="I209" i="34"/>
  <c r="I89" i="34"/>
  <c r="I136" i="34"/>
  <c r="I42" i="34"/>
  <c r="I303" i="34"/>
  <c r="I288" i="34"/>
  <c r="I33" i="34"/>
  <c r="I110" i="34"/>
  <c r="I118" i="34"/>
  <c r="I263" i="34"/>
  <c r="I64" i="34"/>
  <c r="I142" i="34"/>
  <c r="I130" i="34"/>
  <c r="I304" i="34"/>
  <c r="I262" i="34"/>
  <c r="I65" i="34"/>
  <c r="I156" i="34"/>
  <c r="I108" i="34"/>
  <c r="I300" i="34"/>
  <c r="I59" i="34"/>
  <c r="I165" i="34"/>
  <c r="I172" i="34"/>
  <c r="I84" i="34"/>
  <c r="I171" i="34"/>
  <c r="I261" i="34"/>
  <c r="I101" i="34"/>
  <c r="I20" i="34"/>
  <c r="I207" i="34"/>
  <c r="I258" i="34"/>
  <c r="I153" i="34"/>
  <c r="I264" i="34"/>
  <c r="I22" i="34"/>
  <c r="I58" i="34"/>
  <c r="I216" i="34"/>
  <c r="K216" i="34" l="1"/>
  <c r="F210" i="25" s="1"/>
  <c r="F210" i="54" s="1"/>
  <c r="K101" i="34"/>
  <c r="F95" i="25" s="1"/>
  <c r="F95" i="54" s="1"/>
  <c r="K108" i="34"/>
  <c r="F102" i="25" s="1"/>
  <c r="F102" i="54" s="1"/>
  <c r="K263" i="34"/>
  <c r="F257" i="25" s="1"/>
  <c r="F257" i="54" s="1"/>
  <c r="K89" i="34"/>
  <c r="F83" i="25" s="1"/>
  <c r="F83" i="54" s="1"/>
  <c r="K196" i="34"/>
  <c r="F190" i="25" s="1"/>
  <c r="F190" i="54" s="1"/>
  <c r="K27" i="34"/>
  <c r="F21" i="25" s="1"/>
  <c r="F21" i="54" s="1"/>
  <c r="K145" i="34"/>
  <c r="F139" i="25" s="1"/>
  <c r="F139" i="54" s="1"/>
  <c r="K146" i="34"/>
  <c r="F140" i="25" s="1"/>
  <c r="F140" i="54" s="1"/>
  <c r="K273" i="34"/>
  <c r="F267" i="25" s="1"/>
  <c r="F267" i="54" s="1"/>
  <c r="K18" i="34"/>
  <c r="F12" i="25" s="1"/>
  <c r="F12" i="54" s="1"/>
  <c r="K76" i="34"/>
  <c r="F70" i="25" s="1"/>
  <c r="F70" i="54" s="1"/>
  <c r="K13" i="34"/>
  <c r="F7" i="25" s="1"/>
  <c r="F7" i="54" s="1"/>
  <c r="K186" i="34"/>
  <c r="F180" i="25" s="1"/>
  <c r="F180" i="54" s="1"/>
  <c r="K281" i="34"/>
  <c r="F275" i="25" s="1"/>
  <c r="F275" i="54" s="1"/>
  <c r="I45" i="25"/>
  <c r="K51" i="34"/>
  <c r="F45" i="25" s="1"/>
  <c r="K100" i="34"/>
  <c r="F94" i="25" s="1"/>
  <c r="F94" i="54" s="1"/>
  <c r="K215" i="34"/>
  <c r="F209" i="25" s="1"/>
  <c r="I209" i="25" s="1"/>
  <c r="K185" i="34"/>
  <c r="F179" i="25" s="1"/>
  <c r="I179" i="25" s="1"/>
  <c r="K156" i="34"/>
  <c r="F150" i="25" s="1"/>
  <c r="F150" i="54" s="1"/>
  <c r="K209" i="34"/>
  <c r="F203" i="25" s="1"/>
  <c r="I203" i="25" s="1"/>
  <c r="K77" i="34"/>
  <c r="F71" i="25" s="1"/>
  <c r="I71" i="25" s="1"/>
  <c r="K195" i="34"/>
  <c r="F189" i="25" s="1"/>
  <c r="I189" i="25" s="1"/>
  <c r="K41" i="34"/>
  <c r="F35" i="25" s="1"/>
  <c r="I35" i="25" s="1"/>
  <c r="K178" i="34"/>
  <c r="F172" i="25" s="1"/>
  <c r="F172" i="54" s="1"/>
  <c r="K150" i="34"/>
  <c r="F144" i="25" s="1"/>
  <c r="I144" i="25" s="1"/>
  <c r="K266" i="34"/>
  <c r="F260" i="25" s="1"/>
  <c r="F260" i="54" s="1"/>
  <c r="K267" i="34"/>
  <c r="F261" i="25" s="1"/>
  <c r="I261" i="25" s="1"/>
  <c r="K259" i="34"/>
  <c r="F253" i="25" s="1"/>
  <c r="F253" i="54" s="1"/>
  <c r="K311" i="34"/>
  <c r="F305" i="25" s="1"/>
  <c r="I305" i="25" s="1"/>
  <c r="K226" i="34"/>
  <c r="F220" i="25" s="1"/>
  <c r="I220" i="25" s="1"/>
  <c r="K249" i="34"/>
  <c r="F243" i="25" s="1"/>
  <c r="I243" i="25" s="1"/>
  <c r="K218" i="34"/>
  <c r="F212" i="25" s="1"/>
  <c r="I212" i="25" s="1"/>
  <c r="K115" i="34"/>
  <c r="F109" i="25" s="1"/>
  <c r="F109" i="54" s="1"/>
  <c r="K299" i="34"/>
  <c r="F293" i="25" s="1"/>
  <c r="I293" i="25" s="1"/>
  <c r="K208" i="34"/>
  <c r="F202" i="25" s="1"/>
  <c r="I202" i="25" s="1"/>
  <c r="K261" i="34"/>
  <c r="F255" i="25" s="1"/>
  <c r="I255" i="25" s="1"/>
  <c r="K171" i="34"/>
  <c r="F165" i="25" s="1"/>
  <c r="I165" i="25" s="1"/>
  <c r="K110" i="34"/>
  <c r="F104" i="25" s="1"/>
  <c r="I104" i="25" s="1"/>
  <c r="K200" i="34"/>
  <c r="F194" i="25" s="1"/>
  <c r="I194" i="25" s="1"/>
  <c r="K253" i="34"/>
  <c r="F247" i="25" s="1"/>
  <c r="I247" i="25" s="1"/>
  <c r="K220" i="34"/>
  <c r="F214" i="25" s="1"/>
  <c r="F214" i="54" s="1"/>
  <c r="K14" i="34"/>
  <c r="F8" i="25" s="1"/>
  <c r="I8" i="25" s="1"/>
  <c r="K257" i="34"/>
  <c r="F251" i="25" s="1"/>
  <c r="I251" i="25" s="1"/>
  <c r="K201" i="34"/>
  <c r="F195" i="25" s="1"/>
  <c r="I195" i="25" s="1"/>
  <c r="K231" i="34"/>
  <c r="F225" i="25" s="1"/>
  <c r="I225" i="25" s="1"/>
  <c r="K189" i="34"/>
  <c r="F183" i="25" s="1"/>
  <c r="F183" i="54" s="1"/>
  <c r="K242" i="34"/>
  <c r="F236" i="25" s="1"/>
  <c r="I236" i="25" s="1"/>
  <c r="K86" i="34"/>
  <c r="F80" i="25" s="1"/>
  <c r="I80" i="25" s="1"/>
  <c r="K154" i="34"/>
  <c r="F148" i="25" s="1"/>
  <c r="F148" i="54" s="1"/>
  <c r="K183" i="34"/>
  <c r="F177" i="25" s="1"/>
  <c r="I177" i="25" s="1"/>
  <c r="K37" i="34"/>
  <c r="F31" i="25" s="1"/>
  <c r="F31" i="54" s="1"/>
  <c r="K285" i="34"/>
  <c r="F279" i="25" s="1"/>
  <c r="F279" i="54" s="1"/>
  <c r="K138" i="34"/>
  <c r="F132" i="25" s="1"/>
  <c r="F132" i="54" s="1"/>
  <c r="K174" i="34"/>
  <c r="F168" i="25" s="1"/>
  <c r="I168" i="25" s="1"/>
  <c r="K118" i="34"/>
  <c r="F112" i="25" s="1"/>
  <c r="I112" i="25" s="1"/>
  <c r="K22" i="34"/>
  <c r="F16" i="25" s="1"/>
  <c r="I16" i="25" s="1"/>
  <c r="K65" i="34"/>
  <c r="F59" i="25" s="1"/>
  <c r="I59" i="25" s="1"/>
  <c r="K264" i="34"/>
  <c r="F258" i="25" s="1"/>
  <c r="F258" i="54" s="1"/>
  <c r="K84" i="34"/>
  <c r="F78" i="25" s="1"/>
  <c r="F78" i="54" s="1"/>
  <c r="K262" i="34"/>
  <c r="F256" i="25" s="1"/>
  <c r="F256" i="54" s="1"/>
  <c r="K33" i="34"/>
  <c r="F27" i="25" s="1"/>
  <c r="F27" i="54" s="1"/>
  <c r="K217" i="34"/>
  <c r="F211" i="25" s="1"/>
  <c r="F211" i="54" s="1"/>
  <c r="K148" i="34"/>
  <c r="F142" i="25" s="1"/>
  <c r="F142" i="54" s="1"/>
  <c r="K83" i="34"/>
  <c r="F77" i="25" s="1"/>
  <c r="F77" i="54" s="1"/>
  <c r="K176" i="34"/>
  <c r="F170" i="25" s="1"/>
  <c r="F170" i="54" s="1"/>
  <c r="K114" i="34"/>
  <c r="F108" i="25" s="1"/>
  <c r="F108" i="54" s="1"/>
  <c r="K32" i="34"/>
  <c r="F26" i="25" s="1"/>
  <c r="F26" i="54" s="1"/>
  <c r="K269" i="34"/>
  <c r="F263" i="25" s="1"/>
  <c r="F263" i="54" s="1"/>
  <c r="K173" i="34"/>
  <c r="F167" i="25" s="1"/>
  <c r="F167" i="54" s="1"/>
  <c r="K23" i="34"/>
  <c r="F17" i="25" s="1"/>
  <c r="F17" i="54" s="1"/>
  <c r="K90" i="34"/>
  <c r="F84" i="25" s="1"/>
  <c r="F84" i="54" s="1"/>
  <c r="K48" i="34"/>
  <c r="F42" i="25" s="1"/>
  <c r="F42" i="54" s="1"/>
  <c r="K98" i="34"/>
  <c r="F92" i="25" s="1"/>
  <c r="I92" i="25" s="1"/>
  <c r="K116" i="34"/>
  <c r="F110" i="25" s="1"/>
  <c r="I110" i="25" s="1"/>
  <c r="K308" i="34"/>
  <c r="F302" i="25" s="1"/>
  <c r="F302" i="54" s="1"/>
  <c r="K235" i="34"/>
  <c r="F229" i="25" s="1"/>
  <c r="F229" i="54" s="1"/>
  <c r="K31" i="34"/>
  <c r="F25" i="25" s="1"/>
  <c r="F25" i="54" s="1"/>
  <c r="K172" i="34"/>
  <c r="F166" i="25" s="1"/>
  <c r="F166" i="54" s="1"/>
  <c r="K304" i="34"/>
  <c r="F298" i="25" s="1"/>
  <c r="F298" i="54" s="1"/>
  <c r="K288" i="34"/>
  <c r="F282" i="25" s="1"/>
  <c r="F282" i="54" s="1"/>
  <c r="K144" i="34"/>
  <c r="F138" i="25" s="1"/>
  <c r="F138" i="54" s="1"/>
  <c r="K107" i="34"/>
  <c r="F101" i="25" s="1"/>
  <c r="I101" i="25" s="1"/>
  <c r="K147" i="34"/>
  <c r="F141" i="25" s="1"/>
  <c r="F141" i="54" s="1"/>
  <c r="K55" i="34"/>
  <c r="F49" i="25" s="1"/>
  <c r="F49" i="54" s="1"/>
  <c r="K104" i="34"/>
  <c r="F98" i="25" s="1"/>
  <c r="F98" i="54" s="1"/>
  <c r="K302" i="34"/>
  <c r="F296" i="25" s="1"/>
  <c r="F296" i="54" s="1"/>
  <c r="K60" i="34"/>
  <c r="F54" i="25" s="1"/>
  <c r="F54" i="54" s="1"/>
  <c r="K132" i="34"/>
  <c r="F126" i="25" s="1"/>
  <c r="F126" i="54" s="1"/>
  <c r="K282" i="34"/>
  <c r="F276" i="25" s="1"/>
  <c r="F276" i="54" s="1"/>
  <c r="K95" i="34"/>
  <c r="F89" i="25" s="1"/>
  <c r="F89" i="54" s="1"/>
  <c r="K280" i="34"/>
  <c r="F274" i="25" s="1"/>
  <c r="F274" i="54" s="1"/>
  <c r="K29" i="34"/>
  <c r="F23" i="25" s="1"/>
  <c r="F23" i="54" s="1"/>
  <c r="K175" i="34"/>
  <c r="F169" i="25" s="1"/>
  <c r="I169" i="25" s="1"/>
  <c r="K12" i="34"/>
  <c r="F6" i="25" s="1"/>
  <c r="F6" i="54" s="1"/>
  <c r="K58" i="34"/>
  <c r="F52" i="25" s="1"/>
  <c r="I52" i="25" s="1"/>
  <c r="K165" i="34"/>
  <c r="F159" i="25" s="1"/>
  <c r="F159" i="54" s="1"/>
  <c r="K130" i="34"/>
  <c r="F124" i="25" s="1"/>
  <c r="F124" i="54" s="1"/>
  <c r="K303" i="34"/>
  <c r="F297" i="25" s="1"/>
  <c r="F297" i="54" s="1"/>
  <c r="K79" i="34"/>
  <c r="F73" i="25" s="1"/>
  <c r="I73" i="25" s="1"/>
  <c r="K227" i="34"/>
  <c r="F221" i="25" s="1"/>
  <c r="I221" i="25" s="1"/>
  <c r="K163" i="34"/>
  <c r="F157" i="25" s="1"/>
  <c r="I157" i="25" s="1"/>
  <c r="K102" i="34"/>
  <c r="F96" i="25" s="1"/>
  <c r="I96" i="25" s="1"/>
  <c r="K151" i="34"/>
  <c r="F145" i="25" s="1"/>
  <c r="F145" i="54" s="1"/>
  <c r="K168" i="34"/>
  <c r="F162" i="25" s="1"/>
  <c r="F162" i="54" s="1"/>
  <c r="K236" i="34"/>
  <c r="F230" i="25" s="1"/>
  <c r="F230" i="54" s="1"/>
  <c r="K61" i="34"/>
  <c r="F55" i="25" s="1"/>
  <c r="I55" i="25" s="1"/>
  <c r="K46" i="34"/>
  <c r="F40" i="25" s="1"/>
  <c r="F40" i="54" s="1"/>
  <c r="K233" i="34"/>
  <c r="F227" i="25" s="1"/>
  <c r="I227" i="25" s="1"/>
  <c r="K105" i="34"/>
  <c r="F99" i="25" s="1"/>
  <c r="I99" i="25" s="1"/>
  <c r="K72" i="34"/>
  <c r="F66" i="25" s="1"/>
  <c r="I66" i="25" s="1"/>
  <c r="K179" i="34"/>
  <c r="F173" i="25" s="1"/>
  <c r="I173" i="25" s="1"/>
  <c r="K260" i="34"/>
  <c r="F254" i="25" s="1"/>
  <c r="I254" i="25" s="1"/>
  <c r="K38" i="34"/>
  <c r="F32" i="25" s="1"/>
  <c r="I32" i="25" s="1"/>
  <c r="K78" i="34"/>
  <c r="F72" i="25" s="1"/>
  <c r="I72" i="25" s="1"/>
  <c r="K207" i="34"/>
  <c r="F201" i="25" s="1"/>
  <c r="F201" i="54" s="1"/>
  <c r="K142" i="34"/>
  <c r="F136" i="25" s="1"/>
  <c r="I136" i="25" s="1"/>
  <c r="K42" i="34"/>
  <c r="F36" i="25" s="1"/>
  <c r="I36" i="25" s="1"/>
  <c r="K224" i="34"/>
  <c r="F218" i="25" s="1"/>
  <c r="F218" i="54" s="1"/>
  <c r="K276" i="34"/>
  <c r="F270" i="25" s="1"/>
  <c r="F270" i="54" s="1"/>
  <c r="K117" i="34"/>
  <c r="F111" i="25" s="1"/>
  <c r="I111" i="25" s="1"/>
  <c r="K265" i="34"/>
  <c r="F259" i="25" s="1"/>
  <c r="I259" i="25" s="1"/>
  <c r="K160" i="34"/>
  <c r="F154" i="25" s="1"/>
  <c r="I154" i="25" s="1"/>
  <c r="K295" i="34"/>
  <c r="F289" i="25" s="1"/>
  <c r="F289" i="54" s="1"/>
  <c r="K52" i="34"/>
  <c r="F46" i="25" s="1"/>
  <c r="I46" i="25" s="1"/>
  <c r="K141" i="34"/>
  <c r="F135" i="25" s="1"/>
  <c r="I135" i="25" s="1"/>
  <c r="K184" i="34"/>
  <c r="F178" i="25" s="1"/>
  <c r="F178" i="54" s="1"/>
  <c r="K62" i="34"/>
  <c r="F56" i="25" s="1"/>
  <c r="I56" i="25" s="1"/>
  <c r="K71" i="34"/>
  <c r="F65" i="25" s="1"/>
  <c r="I65" i="25" s="1"/>
  <c r="K45" i="34"/>
  <c r="F39" i="25" s="1"/>
  <c r="F39" i="54" s="1"/>
  <c r="K122" i="34"/>
  <c r="F116" i="25" s="1"/>
  <c r="F116" i="54" s="1"/>
  <c r="K153" i="34"/>
  <c r="F147" i="25" s="1"/>
  <c r="F147" i="54" s="1"/>
  <c r="K258" i="34"/>
  <c r="F252" i="25" s="1"/>
  <c r="F252" i="54" s="1"/>
  <c r="K59" i="34"/>
  <c r="F53" i="25" s="1"/>
  <c r="F53" i="54" s="1"/>
  <c r="K20" i="34"/>
  <c r="F14" i="25" s="1"/>
  <c r="F14" i="54" s="1"/>
  <c r="K300" i="34"/>
  <c r="F294" i="25" s="1"/>
  <c r="F294" i="54" s="1"/>
  <c r="K64" i="34"/>
  <c r="F58" i="25" s="1"/>
  <c r="F58" i="54" s="1"/>
  <c r="K136" i="34"/>
  <c r="F130" i="25" s="1"/>
  <c r="F130" i="54" s="1"/>
  <c r="K53" i="34"/>
  <c r="F47" i="25" s="1"/>
  <c r="I47" i="25" s="1"/>
  <c r="K67" i="34"/>
  <c r="F61" i="25" s="1"/>
  <c r="F61" i="54" s="1"/>
  <c r="K81" i="34"/>
  <c r="F75" i="25" s="1"/>
  <c r="F75" i="54" s="1"/>
  <c r="K57" i="34"/>
  <c r="F51" i="25" s="1"/>
  <c r="F51" i="54" s="1"/>
  <c r="K192" i="34"/>
  <c r="F186" i="25" s="1"/>
  <c r="F186" i="54" s="1"/>
  <c r="K240" i="34"/>
  <c r="F234" i="25" s="1"/>
  <c r="F234" i="54" s="1"/>
  <c r="K284" i="34"/>
  <c r="F278" i="25" s="1"/>
  <c r="F278" i="54" s="1"/>
  <c r="K252" i="34"/>
  <c r="F246" i="25" s="1"/>
  <c r="F246" i="54" s="1"/>
  <c r="K161" i="34"/>
  <c r="F155" i="25" s="1"/>
  <c r="F155" i="54" s="1"/>
  <c r="K294" i="34"/>
  <c r="F288" i="25" s="1"/>
  <c r="I288" i="25" s="1"/>
  <c r="K194" i="34"/>
  <c r="F188" i="25" s="1"/>
  <c r="I188" i="25" s="1"/>
  <c r="K40" i="34"/>
  <c r="F34" i="25" s="1"/>
  <c r="F34" i="54" s="1"/>
  <c r="K28" i="34"/>
  <c r="F22" i="25" s="1"/>
  <c r="I22" i="25" s="1"/>
  <c r="K204" i="34"/>
  <c r="F198" i="25" s="1"/>
  <c r="I198" i="25" s="1"/>
  <c r="K80" i="34"/>
  <c r="F74" i="25" s="1"/>
  <c r="I74" i="25" s="1"/>
  <c r="I258" i="25"/>
  <c r="I95" i="25"/>
  <c r="I257" i="25"/>
  <c r="I77" i="25"/>
  <c r="I108" i="25"/>
  <c r="I267" i="25"/>
  <c r="I70" i="25"/>
  <c r="I274" i="25"/>
  <c r="I31" i="25"/>
  <c r="I116" i="25"/>
  <c r="F202" i="54"/>
  <c r="I294" i="25"/>
  <c r="I298" i="25"/>
  <c r="I141" i="25"/>
  <c r="I54" i="25"/>
  <c r="F56" i="54"/>
  <c r="F45" i="54"/>
  <c r="I210" i="25"/>
  <c r="I78" i="25"/>
  <c r="I102" i="25"/>
  <c r="I83" i="25"/>
  <c r="I142" i="25"/>
  <c r="I140" i="25"/>
  <c r="I26" i="25"/>
  <c r="I12" i="25"/>
  <c r="I167" i="25"/>
  <c r="I7" i="25"/>
  <c r="I84" i="25"/>
  <c r="F101" i="54"/>
  <c r="F236" i="54"/>
  <c r="F198" i="54"/>
  <c r="I58" i="25"/>
  <c r="I282" i="25"/>
  <c r="I278" i="25"/>
  <c r="I126" i="25"/>
  <c r="I155" i="25"/>
  <c r="F111" i="54"/>
  <c r="F243" i="54"/>
  <c r="F305" i="54"/>
  <c r="F169" i="54"/>
  <c r="F52" i="54"/>
  <c r="F261" i="54"/>
  <c r="F35" i="54"/>
  <c r="F251" i="54"/>
  <c r="I302" i="25"/>
  <c r="F8" i="54"/>
  <c r="F177" i="54"/>
  <c r="F65" i="54"/>
  <c r="F73" i="54"/>
  <c r="F254" i="54"/>
  <c r="F110" i="54"/>
  <c r="F154" i="54"/>
  <c r="F16" i="54"/>
  <c r="F55" i="54"/>
  <c r="F144" i="54"/>
  <c r="F112" i="54"/>
  <c r="I159" i="25"/>
  <c r="I150" i="25"/>
  <c r="I297" i="25"/>
  <c r="I172" i="25"/>
  <c r="I145" i="25"/>
  <c r="I162" i="25"/>
  <c r="I260" i="25"/>
  <c r="I40" i="25"/>
  <c r="I42" i="25"/>
  <c r="I94" i="25"/>
  <c r="F179" i="54"/>
  <c r="F247" i="54"/>
  <c r="F135" i="54"/>
  <c r="F194" i="54"/>
  <c r="F80" i="54"/>
  <c r="I201" i="25"/>
  <c r="I270" i="25"/>
  <c r="I289" i="25"/>
  <c r="I89" i="25"/>
  <c r="I109" i="25"/>
  <c r="I264" i="25"/>
  <c r="F264" i="54"/>
  <c r="I170" i="34"/>
  <c r="K170" i="34" s="1"/>
  <c r="F164" i="25" s="1"/>
  <c r="I277" i="34"/>
  <c r="K277" i="34" s="1"/>
  <c r="F271" i="25" s="1"/>
  <c r="I246" i="34"/>
  <c r="K246" i="34" s="1"/>
  <c r="F240" i="25" s="1"/>
  <c r="I291" i="34"/>
  <c r="K291" i="34" s="1"/>
  <c r="F285" i="25" s="1"/>
  <c r="I169" i="34"/>
  <c r="K169" i="34" s="1"/>
  <c r="F163" i="25" s="1"/>
  <c r="I159" i="34"/>
  <c r="K159" i="34" s="1"/>
  <c r="F153" i="25" s="1"/>
  <c r="I120" i="34"/>
  <c r="K120" i="34" s="1"/>
  <c r="F114" i="25" s="1"/>
  <c r="I149" i="34"/>
  <c r="K149" i="34" s="1"/>
  <c r="F143" i="25" s="1"/>
  <c r="I112" i="34"/>
  <c r="K112" i="34" s="1"/>
  <c r="F106" i="25" s="1"/>
  <c r="I190" i="34"/>
  <c r="K190" i="34" s="1"/>
  <c r="F184" i="25" s="1"/>
  <c r="I15" i="34"/>
  <c r="K15" i="34" s="1"/>
  <c r="F9" i="25" s="1"/>
  <c r="I143" i="34"/>
  <c r="K143" i="34" s="1"/>
  <c r="F137" i="25" s="1"/>
  <c r="I129" i="34"/>
  <c r="K129" i="34" s="1"/>
  <c r="F123" i="25" s="1"/>
  <c r="I271" i="34"/>
  <c r="K271" i="34" s="1"/>
  <c r="F265" i="25" s="1"/>
  <c r="I245" i="34"/>
  <c r="K245" i="34" s="1"/>
  <c r="F239" i="25" s="1"/>
  <c r="I193" i="34"/>
  <c r="K193" i="34" s="1"/>
  <c r="F187" i="25" s="1"/>
  <c r="I251" i="34"/>
  <c r="K251" i="34" s="1"/>
  <c r="F245" i="25" s="1"/>
  <c r="I92" i="34"/>
  <c r="K92" i="34" s="1"/>
  <c r="F86" i="25" s="1"/>
  <c r="I293" i="34"/>
  <c r="K293" i="34" s="1"/>
  <c r="F287" i="25" s="1"/>
  <c r="I85" i="34"/>
  <c r="K85" i="34" s="1"/>
  <c r="F79" i="25" s="1"/>
  <c r="I97" i="34"/>
  <c r="K97" i="34" s="1"/>
  <c r="F91" i="25" s="1"/>
  <c r="I309" i="34"/>
  <c r="K309" i="34" s="1"/>
  <c r="F303" i="25" s="1"/>
  <c r="I181" i="34"/>
  <c r="K181" i="34" s="1"/>
  <c r="F175" i="25" s="1"/>
  <c r="I213" i="34"/>
  <c r="K213" i="34" s="1"/>
  <c r="F207" i="25" s="1"/>
  <c r="I35" i="34"/>
  <c r="K35" i="34" s="1"/>
  <c r="F29" i="25" s="1"/>
  <c r="I296" i="34"/>
  <c r="K296" i="34" s="1"/>
  <c r="F290" i="25" s="1"/>
  <c r="I254" i="34"/>
  <c r="K254" i="34" s="1"/>
  <c r="F248" i="25" s="1"/>
  <c r="I152" i="34"/>
  <c r="I125" i="34"/>
  <c r="I287" i="34"/>
  <c r="I157" i="34"/>
  <c r="I96" i="34"/>
  <c r="I307" i="34"/>
  <c r="K307" i="34" s="1"/>
  <c r="F301" i="25" s="1"/>
  <c r="I219" i="34"/>
  <c r="K219" i="34" s="1"/>
  <c r="F213" i="25" s="1"/>
  <c r="I49" i="34"/>
  <c r="K49" i="34" s="1"/>
  <c r="F43" i="25" s="1"/>
  <c r="I135" i="34"/>
  <c r="K135" i="34" s="1"/>
  <c r="F129" i="25" s="1"/>
  <c r="I211" i="34"/>
  <c r="K211" i="34" s="1"/>
  <c r="F205" i="25" s="1"/>
  <c r="I202" i="34"/>
  <c r="K202" i="34" s="1"/>
  <c r="F196" i="25" s="1"/>
  <c r="I137" i="34"/>
  <c r="K137" i="34" s="1"/>
  <c r="F131" i="25" s="1"/>
  <c r="I36" i="34"/>
  <c r="K36" i="34" s="1"/>
  <c r="F30" i="25" s="1"/>
  <c r="I69" i="34"/>
  <c r="K69" i="34" s="1"/>
  <c r="F63" i="25" s="1"/>
  <c r="I162" i="34"/>
  <c r="K162" i="34" s="1"/>
  <c r="F156" i="25" s="1"/>
  <c r="I187" i="34"/>
  <c r="K187" i="34" s="1"/>
  <c r="F181" i="25" s="1"/>
  <c r="I166" i="34"/>
  <c r="K166" i="34" s="1"/>
  <c r="F160" i="25" s="1"/>
  <c r="I126" i="34"/>
  <c r="K126" i="34" s="1"/>
  <c r="F120" i="25" s="1"/>
  <c r="I121" i="34"/>
  <c r="K121" i="34" s="1"/>
  <c r="F115" i="25" s="1"/>
  <c r="I255" i="34"/>
  <c r="K255" i="34" s="1"/>
  <c r="F249" i="25" s="1"/>
  <c r="I75" i="34"/>
  <c r="K75" i="34" s="1"/>
  <c r="F69" i="25" s="1"/>
  <c r="I274" i="34"/>
  <c r="K274" i="34" s="1"/>
  <c r="F268" i="25" s="1"/>
  <c r="I191" i="34"/>
  <c r="K191" i="34" s="1"/>
  <c r="F185" i="25" s="1"/>
  <c r="I199" i="34"/>
  <c r="K199" i="34" s="1"/>
  <c r="F193" i="25" s="1"/>
  <c r="I290" i="34"/>
  <c r="K290" i="34" s="1"/>
  <c r="F284" i="25" s="1"/>
  <c r="I237" i="34"/>
  <c r="K237" i="34" s="1"/>
  <c r="F231" i="25" s="1"/>
  <c r="I256" i="34"/>
  <c r="K256" i="34" s="1"/>
  <c r="F250" i="25" s="1"/>
  <c r="I241" i="34"/>
  <c r="K241" i="34" s="1"/>
  <c r="F235" i="25" s="1"/>
  <c r="I21" i="34"/>
  <c r="K21" i="34" s="1"/>
  <c r="F15" i="25" s="1"/>
  <c r="I298" i="34"/>
  <c r="K298" i="34" s="1"/>
  <c r="F292" i="25" s="1"/>
  <c r="I212" i="34"/>
  <c r="K212" i="34" s="1"/>
  <c r="F206" i="25" s="1"/>
  <c r="I292" i="34"/>
  <c r="K292" i="34" s="1"/>
  <c r="F286" i="25" s="1"/>
  <c r="I88" i="34"/>
  <c r="K88" i="34" s="1"/>
  <c r="F82" i="25" s="1"/>
  <c r="I305" i="34"/>
  <c r="K305" i="34" s="1"/>
  <c r="F299" i="25" s="1"/>
  <c r="I34" i="34"/>
  <c r="K34" i="34" s="1"/>
  <c r="F28" i="25" s="1"/>
  <c r="I221" i="34"/>
  <c r="K221" i="34" s="1"/>
  <c r="F215" i="25" s="1"/>
  <c r="I25" i="34"/>
  <c r="K25" i="34" s="1"/>
  <c r="F19" i="25" s="1"/>
  <c r="I155" i="34"/>
  <c r="K155" i="34" s="1"/>
  <c r="F149" i="25" s="1"/>
  <c r="I286" i="34"/>
  <c r="K286" i="34" s="1"/>
  <c r="F280" i="25" s="1"/>
  <c r="I203" i="34"/>
  <c r="K203" i="34" s="1"/>
  <c r="F197" i="25" s="1"/>
  <c r="I248" i="34"/>
  <c r="K248" i="34" s="1"/>
  <c r="F242" i="25" s="1"/>
  <c r="I225" i="34"/>
  <c r="K225" i="34" s="1"/>
  <c r="F219" i="25" s="1"/>
  <c r="I50" i="34"/>
  <c r="K50" i="34" s="1"/>
  <c r="F44" i="25" s="1"/>
  <c r="I229" i="34"/>
  <c r="K229" i="34" s="1"/>
  <c r="F223" i="25" s="1"/>
  <c r="I210" i="34"/>
  <c r="K210" i="34" s="1"/>
  <c r="F204" i="25" s="1"/>
  <c r="I180" i="34"/>
  <c r="K180" i="34" s="1"/>
  <c r="F174" i="25" s="1"/>
  <c r="I123" i="34"/>
  <c r="K123" i="34" s="1"/>
  <c r="F117" i="25" s="1"/>
  <c r="I243" i="34"/>
  <c r="K243" i="34" s="1"/>
  <c r="F237" i="25" s="1"/>
  <c r="I109" i="34"/>
  <c r="K109" i="34" s="1"/>
  <c r="F103" i="25" s="1"/>
  <c r="I164" i="34"/>
  <c r="K164" i="34" s="1"/>
  <c r="F158" i="25" s="1"/>
  <c r="I94" i="34"/>
  <c r="K94" i="34" s="1"/>
  <c r="F88" i="25" s="1"/>
  <c r="I198" i="34"/>
  <c r="K198" i="34" s="1"/>
  <c r="F192" i="25" s="1"/>
  <c r="I66" i="34"/>
  <c r="K66" i="34" s="1"/>
  <c r="F60" i="25" s="1"/>
  <c r="I279" i="34"/>
  <c r="K279" i="34" s="1"/>
  <c r="F273" i="25" s="1"/>
  <c r="I222" i="34"/>
  <c r="K222" i="34" s="1"/>
  <c r="F216" i="25" s="1"/>
  <c r="I283" i="34"/>
  <c r="K283" i="34" s="1"/>
  <c r="F277" i="25" s="1"/>
  <c r="I19" i="34"/>
  <c r="K19" i="34" s="1"/>
  <c r="F13" i="25" s="1"/>
  <c r="I268" i="34"/>
  <c r="K268" i="34" s="1"/>
  <c r="F262" i="25" s="1"/>
  <c r="I99" i="34"/>
  <c r="K99" i="34" s="1"/>
  <c r="F93" i="25" s="1"/>
  <c r="I177" i="34"/>
  <c r="K177" i="34" s="1"/>
  <c r="F171" i="25" s="1"/>
  <c r="I232" i="34"/>
  <c r="K232" i="34" s="1"/>
  <c r="F226" i="25" s="1"/>
  <c r="I74" i="34"/>
  <c r="K74" i="34" s="1"/>
  <c r="F68" i="25" s="1"/>
  <c r="I228" i="34"/>
  <c r="K228" i="34" s="1"/>
  <c r="F222" i="25" s="1"/>
  <c r="I73" i="34"/>
  <c r="K73" i="34" s="1"/>
  <c r="F67" i="25" s="1"/>
  <c r="I93" i="34"/>
  <c r="K93" i="34" s="1"/>
  <c r="F87" i="25" s="1"/>
  <c r="I306" i="34"/>
  <c r="K306" i="34" s="1"/>
  <c r="F300" i="25" s="1"/>
  <c r="I275" i="34"/>
  <c r="K275" i="34" s="1"/>
  <c r="F269" i="25" s="1"/>
  <c r="I206" i="34"/>
  <c r="K206" i="34" s="1"/>
  <c r="F200" i="25" s="1"/>
  <c r="I197" i="34"/>
  <c r="K197" i="34" s="1"/>
  <c r="F191" i="25" s="1"/>
  <c r="I91" i="34"/>
  <c r="K91" i="34" s="1"/>
  <c r="F85" i="25" s="1"/>
  <c r="I238" i="34"/>
  <c r="K238" i="34" s="1"/>
  <c r="F232" i="25" s="1"/>
  <c r="I124" i="34"/>
  <c r="K124" i="34" s="1"/>
  <c r="F118" i="25" s="1"/>
  <c r="I214" i="34"/>
  <c r="K214" i="34" s="1"/>
  <c r="F208" i="25" s="1"/>
  <c r="I234" i="34"/>
  <c r="J306" i="13"/>
  <c r="I205" i="34"/>
  <c r="K205" i="34" s="1"/>
  <c r="F199" i="25" s="1"/>
  <c r="I106" i="34"/>
  <c r="K106" i="34" s="1"/>
  <c r="F100" i="25" s="1"/>
  <c r="I43" i="34"/>
  <c r="K43" i="34" s="1"/>
  <c r="F37" i="25" s="1"/>
  <c r="I244" i="34"/>
  <c r="K244" i="34" s="1"/>
  <c r="F238" i="25" s="1"/>
  <c r="I127" i="34"/>
  <c r="K127" i="34" s="1"/>
  <c r="F121" i="25" s="1"/>
  <c r="I250" i="34"/>
  <c r="K250" i="34" s="1"/>
  <c r="F244" i="25" s="1"/>
  <c r="I297" i="34"/>
  <c r="K297" i="34" s="1"/>
  <c r="F291" i="25" s="1"/>
  <c r="I103" i="34"/>
  <c r="K103" i="34" s="1"/>
  <c r="F97" i="25" s="1"/>
  <c r="I82" i="34"/>
  <c r="K82" i="34" s="1"/>
  <c r="F76" i="25" s="1"/>
  <c r="I223" i="34"/>
  <c r="K223" i="34" s="1"/>
  <c r="F217" i="25" s="1"/>
  <c r="I44" i="34"/>
  <c r="K44" i="34" s="1"/>
  <c r="F38" i="25" s="1"/>
  <c r="I119" i="34"/>
  <c r="K119" i="34" s="1"/>
  <c r="F113" i="25" s="1"/>
  <c r="I278" i="34"/>
  <c r="K278" i="34" s="1"/>
  <c r="F272" i="25" s="1"/>
  <c r="I87" i="34"/>
  <c r="K87" i="34" s="1"/>
  <c r="F81" i="25" s="1"/>
  <c r="I70" i="34"/>
  <c r="K70" i="34" s="1"/>
  <c r="F64" i="25" s="1"/>
  <c r="I158" i="34"/>
  <c r="K158" i="34" s="1"/>
  <c r="F152" i="25" s="1"/>
  <c r="I56" i="34"/>
  <c r="K56" i="34" s="1"/>
  <c r="F50" i="25" s="1"/>
  <c r="I24" i="34"/>
  <c r="K24" i="34" s="1"/>
  <c r="F18" i="25" s="1"/>
  <c r="I133" i="34"/>
  <c r="K133" i="34" s="1"/>
  <c r="F127" i="25" s="1"/>
  <c r="I167" i="34"/>
  <c r="K167" i="34" s="1"/>
  <c r="F161" i="25" s="1"/>
  <c r="I30" i="34"/>
  <c r="K30" i="34" s="1"/>
  <c r="F24" i="25" s="1"/>
  <c r="I26" i="34"/>
  <c r="K26" i="34" s="1"/>
  <c r="F20" i="25" s="1"/>
  <c r="I182" i="34"/>
  <c r="K182" i="34" s="1"/>
  <c r="F176" i="25" s="1"/>
  <c r="I289" i="34"/>
  <c r="K289" i="34" s="1"/>
  <c r="F283" i="25" s="1"/>
  <c r="I113" i="34"/>
  <c r="K113" i="34" s="1"/>
  <c r="F107" i="25" s="1"/>
  <c r="I17" i="34"/>
  <c r="K17" i="34" s="1"/>
  <c r="F11" i="25" s="1"/>
  <c r="I239" i="34"/>
  <c r="K239" i="34" s="1"/>
  <c r="F233" i="25" s="1"/>
  <c r="I128" i="34"/>
  <c r="K128" i="34" s="1"/>
  <c r="F122" i="25" s="1"/>
  <c r="I111" i="34"/>
  <c r="K111" i="34" s="1"/>
  <c r="F105" i="25" s="1"/>
  <c r="I272" i="34"/>
  <c r="K272" i="34" s="1"/>
  <c r="F266" i="25" s="1"/>
  <c r="I131" i="34"/>
  <c r="K131" i="34" s="1"/>
  <c r="F125" i="25" s="1"/>
  <c r="I39" i="34"/>
  <c r="K39" i="34" s="1"/>
  <c r="F33" i="25" s="1"/>
  <c r="I301" i="34"/>
  <c r="K301" i="34" s="1"/>
  <c r="F295" i="25" s="1"/>
  <c r="I134" i="34"/>
  <c r="K134" i="34" s="1"/>
  <c r="F128" i="25" s="1"/>
  <c r="I54" i="34"/>
  <c r="K54" i="34" s="1"/>
  <c r="F48" i="25" s="1"/>
  <c r="I247" i="34"/>
  <c r="K247" i="34" s="1"/>
  <c r="F241" i="25" s="1"/>
  <c r="I139" i="34"/>
  <c r="K139" i="34" s="1"/>
  <c r="F133" i="25" s="1"/>
  <c r="I63" i="34"/>
  <c r="K63" i="34" s="1"/>
  <c r="F57" i="25" s="1"/>
  <c r="I47" i="34"/>
  <c r="I140" i="34"/>
  <c r="I188" i="34"/>
  <c r="I68" i="34"/>
  <c r="H16" i="34"/>
  <c r="I230" i="34"/>
  <c r="I310" i="34"/>
  <c r="F36" i="54" l="1"/>
  <c r="F165" i="54"/>
  <c r="I275" i="25"/>
  <c r="I25" i="25"/>
  <c r="I21" i="25"/>
  <c r="F71" i="54"/>
  <c r="I98" i="25"/>
  <c r="I132" i="25"/>
  <c r="F225" i="54"/>
  <c r="F157" i="54"/>
  <c r="I27" i="25"/>
  <c r="F221" i="54"/>
  <c r="F288" i="54"/>
  <c r="I61" i="25"/>
  <c r="I166" i="25"/>
  <c r="F189" i="54"/>
  <c r="F46" i="54"/>
  <c r="I75" i="25"/>
  <c r="I190" i="25"/>
  <c r="I253" i="25"/>
  <c r="I252" i="25"/>
  <c r="F195" i="54"/>
  <c r="F255" i="54"/>
  <c r="I180" i="25"/>
  <c r="I256" i="25"/>
  <c r="F136" i="54"/>
  <c r="I263" i="25"/>
  <c r="F203" i="54"/>
  <c r="I229" i="25"/>
  <c r="I23" i="25"/>
  <c r="I49" i="25"/>
  <c r="I279" i="25"/>
  <c r="I211" i="25"/>
  <c r="I296" i="25"/>
  <c r="I17" i="25"/>
  <c r="I178" i="25"/>
  <c r="F96" i="54"/>
  <c r="I186" i="25"/>
  <c r="I183" i="25"/>
  <c r="F66" i="54"/>
  <c r="I6" i="25"/>
  <c r="I218" i="25"/>
  <c r="F104" i="54"/>
  <c r="I51" i="25"/>
  <c r="I214" i="25"/>
  <c r="I124" i="25"/>
  <c r="F293" i="54"/>
  <c r="I139" i="25"/>
  <c r="I276" i="25"/>
  <c r="I138" i="25"/>
  <c r="I230" i="25"/>
  <c r="I246" i="25"/>
  <c r="I130" i="25"/>
  <c r="I234" i="25"/>
  <c r="F59" i="54"/>
  <c r="F259" i="54"/>
  <c r="I170" i="25"/>
  <c r="F32" i="54"/>
  <c r="I148" i="25"/>
  <c r="K157" i="34"/>
  <c r="F151" i="25" s="1"/>
  <c r="I151" i="25" s="1"/>
  <c r="K287" i="34"/>
  <c r="F281" i="25" s="1"/>
  <c r="I281" i="25" s="1"/>
  <c r="I34" i="25"/>
  <c r="I147" i="25"/>
  <c r="F173" i="54"/>
  <c r="K188" i="34"/>
  <c r="F182" i="25" s="1"/>
  <c r="F182" i="54" s="1"/>
  <c r="K140" i="34"/>
  <c r="F134" i="25" s="1"/>
  <c r="I134" i="25" s="1"/>
  <c r="K234" i="34"/>
  <c r="F228" i="25" s="1"/>
  <c r="I228" i="25" s="1"/>
  <c r="K125" i="34"/>
  <c r="F119" i="25" s="1"/>
  <c r="F119" i="54" s="1"/>
  <c r="K47" i="34"/>
  <c r="F41" i="25" s="1"/>
  <c r="I41" i="25" s="1"/>
  <c r="K152" i="34"/>
  <c r="F146" i="25" s="1"/>
  <c r="I146" i="25" s="1"/>
  <c r="I14" i="25"/>
  <c r="F22" i="54"/>
  <c r="F47" i="54"/>
  <c r="F72" i="54"/>
  <c r="F168" i="54"/>
  <c r="F220" i="54"/>
  <c r="K310" i="34"/>
  <c r="F304" i="25" s="1"/>
  <c r="I304" i="25" s="1"/>
  <c r="K230" i="34"/>
  <c r="F224" i="25" s="1"/>
  <c r="I224" i="25" s="1"/>
  <c r="I53" i="25"/>
  <c r="I39" i="25"/>
  <c r="F99" i="54"/>
  <c r="F92" i="54"/>
  <c r="F209" i="54"/>
  <c r="K68" i="34"/>
  <c r="F62" i="25" s="1"/>
  <c r="I62" i="25" s="1"/>
  <c r="K96" i="34"/>
  <c r="F90" i="25" s="1"/>
  <c r="I90" i="25" s="1"/>
  <c r="F74" i="54"/>
  <c r="F188" i="54"/>
  <c r="F227" i="54"/>
  <c r="F212" i="54"/>
  <c r="I133" i="25"/>
  <c r="F133" i="54"/>
  <c r="I295" i="25"/>
  <c r="F295" i="54"/>
  <c r="I105" i="25"/>
  <c r="F105" i="54"/>
  <c r="I107" i="25"/>
  <c r="F107" i="54"/>
  <c r="I24" i="25"/>
  <c r="F24" i="54"/>
  <c r="I50" i="25"/>
  <c r="F50" i="54"/>
  <c r="I272" i="25"/>
  <c r="F272" i="54"/>
  <c r="I76" i="25"/>
  <c r="F76" i="54"/>
  <c r="I121" i="25"/>
  <c r="F121" i="54"/>
  <c r="I199" i="25"/>
  <c r="F199" i="54"/>
  <c r="I232" i="25"/>
  <c r="F232" i="54"/>
  <c r="I269" i="25"/>
  <c r="F269" i="54"/>
  <c r="I222" i="25"/>
  <c r="F222" i="54"/>
  <c r="I93" i="25"/>
  <c r="F93" i="54"/>
  <c r="I216" i="25"/>
  <c r="F216" i="54"/>
  <c r="I88" i="25"/>
  <c r="F88" i="54"/>
  <c r="I117" i="25"/>
  <c r="F117" i="54"/>
  <c r="I44" i="25"/>
  <c r="F44" i="54"/>
  <c r="I280" i="25"/>
  <c r="F280" i="54"/>
  <c r="I28" i="25"/>
  <c r="F28" i="54"/>
  <c r="I206" i="25"/>
  <c r="F206" i="54"/>
  <c r="I250" i="25"/>
  <c r="F250" i="54"/>
  <c r="I185" i="25"/>
  <c r="F185" i="54"/>
  <c r="I115" i="25"/>
  <c r="F115" i="54"/>
  <c r="I156" i="25"/>
  <c r="F156" i="54"/>
  <c r="I196" i="25"/>
  <c r="F196" i="54"/>
  <c r="I213" i="25"/>
  <c r="F213" i="54"/>
  <c r="I248" i="25"/>
  <c r="F248" i="54"/>
  <c r="I175" i="25"/>
  <c r="F175" i="54"/>
  <c r="I287" i="25"/>
  <c r="F287" i="54"/>
  <c r="I239" i="25"/>
  <c r="F239" i="54"/>
  <c r="I9" i="25"/>
  <c r="F9" i="54"/>
  <c r="I114" i="25"/>
  <c r="F114" i="54"/>
  <c r="I240" i="25"/>
  <c r="F240" i="54"/>
  <c r="I241" i="25"/>
  <c r="F241" i="54"/>
  <c r="I33" i="25"/>
  <c r="F33" i="54"/>
  <c r="I122" i="25"/>
  <c r="F122" i="54"/>
  <c r="I283" i="25"/>
  <c r="F283" i="54"/>
  <c r="I161" i="25"/>
  <c r="F161" i="54"/>
  <c r="I152" i="25"/>
  <c r="F152" i="54"/>
  <c r="I113" i="25"/>
  <c r="F113" i="54"/>
  <c r="I97" i="25"/>
  <c r="F97" i="54"/>
  <c r="I238" i="25"/>
  <c r="F238" i="54"/>
  <c r="I85" i="25"/>
  <c r="F85" i="54"/>
  <c r="I300" i="25"/>
  <c r="F300" i="54"/>
  <c r="I68" i="25"/>
  <c r="F68" i="54"/>
  <c r="I262" i="25"/>
  <c r="F262" i="54"/>
  <c r="I273" i="25"/>
  <c r="F273" i="54"/>
  <c r="I158" i="25"/>
  <c r="F158" i="54"/>
  <c r="I174" i="25"/>
  <c r="F174" i="54"/>
  <c r="I219" i="25"/>
  <c r="F219" i="54"/>
  <c r="I149" i="25"/>
  <c r="F149" i="54"/>
  <c r="I299" i="25"/>
  <c r="F299" i="54"/>
  <c r="I292" i="25"/>
  <c r="F292" i="54"/>
  <c r="I231" i="25"/>
  <c r="F231" i="54"/>
  <c r="I268" i="25"/>
  <c r="F268" i="54"/>
  <c r="I120" i="25"/>
  <c r="F120" i="54"/>
  <c r="I63" i="25"/>
  <c r="F63" i="54"/>
  <c r="I205" i="25"/>
  <c r="F205" i="54"/>
  <c r="I301" i="25"/>
  <c r="F301" i="54"/>
  <c r="I290" i="25"/>
  <c r="F290" i="54"/>
  <c r="I303" i="25"/>
  <c r="F303" i="54"/>
  <c r="I86" i="25"/>
  <c r="F86" i="54"/>
  <c r="I265" i="25"/>
  <c r="F265" i="54"/>
  <c r="I184" i="25"/>
  <c r="F184" i="54"/>
  <c r="I153" i="25"/>
  <c r="F153" i="54"/>
  <c r="I271" i="25"/>
  <c r="F271" i="54"/>
  <c r="I48" i="25"/>
  <c r="F48" i="54"/>
  <c r="I125" i="25"/>
  <c r="F125" i="54"/>
  <c r="I233" i="25"/>
  <c r="F233" i="54"/>
  <c r="I176" i="25"/>
  <c r="F176" i="54"/>
  <c r="I127" i="25"/>
  <c r="F127" i="54"/>
  <c r="I64" i="25"/>
  <c r="F64" i="54"/>
  <c r="I38" i="25"/>
  <c r="F38" i="54"/>
  <c r="I291" i="25"/>
  <c r="F291" i="54"/>
  <c r="I37" i="25"/>
  <c r="F37" i="54"/>
  <c r="I208" i="25"/>
  <c r="F208" i="54"/>
  <c r="I191" i="25"/>
  <c r="F191" i="54"/>
  <c r="I87" i="25"/>
  <c r="F87" i="54"/>
  <c r="I226" i="25"/>
  <c r="F226" i="54"/>
  <c r="I13" i="25"/>
  <c r="F13" i="54"/>
  <c r="I60" i="25"/>
  <c r="F60" i="54"/>
  <c r="I103" i="25"/>
  <c r="F103" i="54"/>
  <c r="I204" i="25"/>
  <c r="F204" i="54"/>
  <c r="I242" i="25"/>
  <c r="F242" i="54"/>
  <c r="I19" i="25"/>
  <c r="F19" i="54"/>
  <c r="I82" i="25"/>
  <c r="F82" i="54"/>
  <c r="I15" i="25"/>
  <c r="F15" i="54"/>
  <c r="I284" i="25"/>
  <c r="F284" i="54"/>
  <c r="I69" i="25"/>
  <c r="F69" i="54"/>
  <c r="I160" i="25"/>
  <c r="F160" i="54"/>
  <c r="I30" i="25"/>
  <c r="F30" i="54"/>
  <c r="I129" i="25"/>
  <c r="F129" i="54"/>
  <c r="I200" i="25"/>
  <c r="F200" i="54"/>
  <c r="I29" i="25"/>
  <c r="F29" i="54"/>
  <c r="I91" i="25"/>
  <c r="F91" i="54"/>
  <c r="I245" i="25"/>
  <c r="F245" i="54"/>
  <c r="I123" i="25"/>
  <c r="F123" i="54"/>
  <c r="I106" i="25"/>
  <c r="F106" i="54"/>
  <c r="I163" i="25"/>
  <c r="F163" i="54"/>
  <c r="I164" i="25"/>
  <c r="F164" i="54"/>
  <c r="I57" i="25"/>
  <c r="F57" i="54"/>
  <c r="I128" i="25"/>
  <c r="F128" i="54"/>
  <c r="I266" i="25"/>
  <c r="F266" i="54"/>
  <c r="I11" i="25"/>
  <c r="F11" i="54"/>
  <c r="I20" i="25"/>
  <c r="F20" i="54"/>
  <c r="I18" i="25"/>
  <c r="F18" i="54"/>
  <c r="I81" i="25"/>
  <c r="F81" i="54"/>
  <c r="I217" i="25"/>
  <c r="F217" i="54"/>
  <c r="I244" i="25"/>
  <c r="F244" i="54"/>
  <c r="I100" i="25"/>
  <c r="F100" i="54"/>
  <c r="I118" i="25"/>
  <c r="F118" i="54"/>
  <c r="I67" i="25"/>
  <c r="F67" i="54"/>
  <c r="I171" i="25"/>
  <c r="F171" i="54"/>
  <c r="I277" i="25"/>
  <c r="F277" i="54"/>
  <c r="I192" i="25"/>
  <c r="F192" i="54"/>
  <c r="I237" i="25"/>
  <c r="F237" i="54"/>
  <c r="I223" i="25"/>
  <c r="F223" i="54"/>
  <c r="I197" i="25"/>
  <c r="F197" i="54"/>
  <c r="I215" i="25"/>
  <c r="F215" i="54"/>
  <c r="I286" i="25"/>
  <c r="F286" i="54"/>
  <c r="I235" i="25"/>
  <c r="F235" i="54"/>
  <c r="I193" i="25"/>
  <c r="F193" i="54"/>
  <c r="I249" i="25"/>
  <c r="F249" i="54"/>
  <c r="I181" i="25"/>
  <c r="F181" i="54"/>
  <c r="I131" i="25"/>
  <c r="F131" i="54"/>
  <c r="I43" i="25"/>
  <c r="F43" i="54"/>
  <c r="I207" i="25"/>
  <c r="F207" i="54"/>
  <c r="I79" i="25"/>
  <c r="F79" i="54"/>
  <c r="I187" i="25"/>
  <c r="F187" i="54"/>
  <c r="I137" i="25"/>
  <c r="F137" i="54"/>
  <c r="I143" i="25"/>
  <c r="F143" i="54"/>
  <c r="I285" i="25"/>
  <c r="F285" i="54"/>
  <c r="F60" i="48"/>
  <c r="C60" i="48" s="1"/>
  <c r="I16" i="34"/>
  <c r="K16" i="34" s="1"/>
  <c r="F10" i="25" s="1"/>
  <c r="H312" i="34"/>
  <c r="F281" i="54" l="1"/>
  <c r="F224" i="54"/>
  <c r="F146" i="54"/>
  <c r="F41" i="54"/>
  <c r="F304" i="54"/>
  <c r="F134" i="54"/>
  <c r="I182" i="25"/>
  <c r="F151" i="54"/>
  <c r="F228" i="54"/>
  <c r="F90" i="54"/>
  <c r="I119" i="25"/>
  <c r="F62" i="54"/>
  <c r="D49" i="40"/>
  <c r="C49" i="40" s="1"/>
  <c r="H11" i="34"/>
  <c r="I312" i="34"/>
  <c r="F10" i="54"/>
  <c r="F306" i="54" s="1"/>
  <c r="I11" i="34" l="1"/>
  <c r="K312" i="34"/>
  <c r="I10" i="25"/>
  <c r="F306" i="25"/>
  <c r="I306"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sz val="9"/>
            <color indexed="81"/>
            <rFont val="Tahoma"/>
            <family val="2"/>
          </rPr>
          <t>Veuillez indiquer le nom de la commune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H4" authorId="0" shapeId="0" xr:uid="{667F0BDB-6735-4DE4-A442-93ABA8391CEA}">
      <text>
        <r>
          <rPr>
            <sz val="9"/>
            <color indexed="81"/>
            <rFont val="Tahoma"/>
            <family val="2"/>
          </rPr>
          <t xml:space="preserve">Si l'aide péréquatif en faveur d'une commune (total des montants reçus et donnés, sauf montants reçus des dépénses thématiques et les plafonds) dépasse la valeur de 8 de ses points impôt, le </t>
        </r>
        <r>
          <rPr>
            <b/>
            <sz val="9"/>
            <color indexed="81"/>
            <rFont val="Tahoma"/>
            <family val="2"/>
          </rPr>
          <t>plafond de l'aide</t>
        </r>
        <r>
          <rPr>
            <sz val="9"/>
            <color indexed="81"/>
            <rFont val="Tahoma"/>
            <family val="2"/>
          </rPr>
          <t xml:space="preserve"> lui retient un montant égal au dépassement constaté. Les montants ainsi retenus sont utilisé pour réduire les montants nécessaires à l'alimentation du système (voir onglet "vue d'ensemble"). </t>
        </r>
        <r>
          <rPr>
            <u/>
            <sz val="9"/>
            <color indexed="81"/>
            <rFont val="Tahoma"/>
            <family val="2"/>
          </rPr>
          <t>Nota bene</t>
        </r>
        <r>
          <rPr>
            <sz val="9"/>
            <color indexed="81"/>
            <rFont val="Tahoma"/>
            <family val="2"/>
          </rPr>
          <t>: à différence du plafonde l'effort, le plafond de l'aide tient compte des montants payés par les communes au titre du prélèvement sur les impôts conjoncturels en faveur du financement de la PCS.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91AA6013-E2E1-4EFC-BDF8-97B63E2221EB}">
      <text>
        <r>
          <rPr>
            <sz val="9"/>
            <color indexed="81"/>
            <rFont val="Tahoma"/>
            <family val="2"/>
          </rPr>
          <t xml:space="preserve">L'effort péréquatif net de l'année précédente (hors montants reçus des dépenses thématiques et avec les plafonds de l'effort et de l'aide) est déduit du taux d'imposition de la commune. Ensuite, le nouveau effort péréquatif net, cette fois tenant compte des dépenses thématiques, est ajouté au taux après déduction. Si le taux ainsi obtenu (taux projeté) dépasse le taux maximal indiqué, </t>
        </r>
        <r>
          <rPr>
            <b/>
            <sz val="9"/>
            <color indexed="81"/>
            <rFont val="Tahoma"/>
            <family val="2"/>
          </rPr>
          <t>le plafond du taux</t>
        </r>
        <r>
          <rPr>
            <sz val="9"/>
            <color indexed="81"/>
            <rFont val="Tahoma"/>
            <family val="2"/>
          </rPr>
          <t xml:space="preserve"> restitue à la commune un montant égal à l'écart constaté. Les montants restitués sont financés par l'ensemble des communes, via l'alimentation du système (voir onglet "Péréquation directe").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742AA191-2F26-422D-A99A-8CDC59E21F1D}">
      <text>
        <r>
          <rPr>
            <sz val="9"/>
            <color indexed="81"/>
            <rFont val="Tahoma"/>
            <family val="2"/>
          </rPr>
          <t xml:space="preserve">Dans le cadre de la </t>
        </r>
        <r>
          <rPr>
            <b/>
            <sz val="9"/>
            <color indexed="81"/>
            <rFont val="Tahoma"/>
            <family val="2"/>
          </rPr>
          <t>réforme de l'organisation policière de 2012</t>
        </r>
        <r>
          <rPr>
            <sz val="9"/>
            <color indexed="81"/>
            <rFont val="Tahoma"/>
            <family val="2"/>
          </rPr>
          <t>, le canton a basculé 2 points d'impôt aux communes. La valeur de ces points d'impôt communaux est différente de celle des points d'impôt péréquatifs, car elle est calculée uniquement sur la base des impôt suivant le taux communal (par exemple, l'impôt foncier est exclu).</t>
        </r>
      </text>
    </comment>
    <comment ref="I4" authorId="0" shapeId="0" xr:uid="{49A94A71-7E1D-4006-ACF6-1BE60A3C5587}">
      <text>
        <r>
          <rPr>
            <sz val="9"/>
            <color indexed="81"/>
            <rFont val="Tahoma"/>
            <family val="2"/>
          </rPr>
          <t xml:space="preserve">Dans une </t>
        </r>
        <r>
          <rPr>
            <b/>
            <sz val="9"/>
            <color indexed="81"/>
            <rFont val="Tahoma"/>
            <family val="2"/>
          </rPr>
          <t>première étape</t>
        </r>
        <r>
          <rPr>
            <sz val="9"/>
            <color indexed="81"/>
            <rFont val="Tahoma"/>
            <family val="2"/>
          </rPr>
          <t xml:space="preserve">, la facture policière est répartie entre les communes par tête d'habitant. Les montants ainsi obtenus sont facturés exclusivement aux communes délégatrices (c'est-à-dire aux communes qui ne sont pas affiliées à un corps de police intercommunal). Chaque commune délégatrice ne peut néanmoins se voir facturer plus que l'équivalent de 2 de ses points d'impôt </t>
        </r>
        <r>
          <rPr>
            <u/>
            <sz val="9"/>
            <color indexed="81"/>
            <rFont val="Tahoma"/>
            <family val="2"/>
          </rPr>
          <t>communaux</t>
        </r>
        <r>
          <rPr>
            <sz val="9"/>
            <color indexed="81"/>
            <rFont val="Tahoma"/>
            <family val="2"/>
          </rPr>
          <t xml:space="preserve">. 
</t>
        </r>
      </text>
    </comment>
    <comment ref="K4" authorId="0" shapeId="0" xr:uid="{EDE8ACAD-0276-4407-B1D5-8178A6F66632}">
      <text>
        <r>
          <rPr>
            <sz val="9"/>
            <color indexed="81"/>
            <rFont val="Tahoma"/>
            <family val="2"/>
          </rPr>
          <t xml:space="preserve">Dans une </t>
        </r>
        <r>
          <rPr>
            <b/>
            <sz val="9"/>
            <color indexed="81"/>
            <rFont val="Tahoma"/>
            <family val="2"/>
          </rPr>
          <t>deuxième étape</t>
        </r>
        <r>
          <rPr>
            <sz val="9"/>
            <color indexed="81"/>
            <rFont val="Tahoma"/>
            <family val="2"/>
          </rPr>
          <t>, chaque commune verse un nombre de points d'impôt égal au solde restant de la facture policière divisé par la valeur du point d'impôt</t>
        </r>
        <r>
          <rPr>
            <u/>
            <sz val="9"/>
            <color indexed="81"/>
            <rFont val="Tahoma"/>
            <family val="2"/>
          </rPr>
          <t xml:space="preserve"> péréquatif</t>
        </r>
        <r>
          <rPr>
            <sz val="9"/>
            <color indexed="81"/>
            <rFont val="Tahoma"/>
            <family val="2"/>
          </rPr>
          <t xml:space="preserve"> de l'ensemble des communes.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BD2FC531-A035-40DA-BDB5-BA1485ACE662}">
      <text>
        <r>
          <rPr>
            <sz val="9"/>
            <color indexed="81"/>
            <rFont val="Tahoma"/>
            <family val="2"/>
          </rPr>
          <t>Les chiffres en négatif expriment un montant net à recevoir tandis que les chiffres en positif expriment un montant net à verser.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R4" authorId="0" shapeId="0" xr:uid="{FDA799F9-7651-4CD7-97E0-E6DE2160AC48}">
      <text>
        <r>
          <rPr>
            <sz val="9"/>
            <color indexed="81"/>
            <rFont val="Tahoma"/>
            <family val="2"/>
          </rPr>
          <t xml:space="preserve">La </t>
        </r>
        <r>
          <rPr>
            <b/>
            <sz val="9"/>
            <color indexed="81"/>
            <rFont val="Tahoma"/>
            <family val="2"/>
          </rPr>
          <t>valeur du point d'impôt péréquatif</t>
        </r>
        <r>
          <rPr>
            <sz val="9"/>
            <color indexed="81"/>
            <rFont val="Tahoma"/>
            <family val="2"/>
          </rPr>
          <t xml:space="preserve"> est définie par les art. 2 et 5 LPIC. Pour une commune donnée, elle est obtenue en divisant par le taux communal les éléments suivants: la somme des rendements de ses impôts qui dépendent du taux communal, le rendement de son impôt personnel fixe, le rendement de son impôt sur les immeubles des sociétés et le rendement de son impôt foncier (ce dernier normalisé au taux de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F10" authorId="0" shapeId="0" xr:uid="{270426BD-07C5-44A7-8A53-ABF443EE0A45}">
      <text>
        <r>
          <rPr>
            <sz val="9"/>
            <color indexed="81"/>
            <rFont val="Tahoma"/>
            <family val="2"/>
          </rPr>
          <t>La PCS est financée en</t>
        </r>
        <r>
          <rPr>
            <b/>
            <sz val="9"/>
            <color indexed="81"/>
            <rFont val="Tahoma"/>
            <family val="2"/>
          </rPr>
          <t xml:space="preserve"> trois étapes</t>
        </r>
        <r>
          <rPr>
            <sz val="9"/>
            <color indexed="81"/>
            <rFont val="Tahoma"/>
            <family val="2"/>
          </rPr>
          <t>. La</t>
        </r>
        <r>
          <rPr>
            <b/>
            <sz val="9"/>
            <color indexed="81"/>
            <rFont val="Tahoma"/>
            <family val="2"/>
          </rPr>
          <t xml:space="preserve"> première étape </t>
        </r>
        <r>
          <rPr>
            <sz val="9"/>
            <color indexed="81"/>
            <rFont val="Tahoma"/>
            <family val="2"/>
          </rPr>
          <t>prévoit le versement par toutes les communes de 50% des leurs recettes conjoncturelles et de 30% de l'impôt des frontaliers.</t>
        </r>
      </text>
    </comment>
    <comment ref="G10" authorId="0" shapeId="0" xr:uid="{8288FAF0-46A4-49D5-9BC8-6E8DEB0263E9}">
      <text>
        <r>
          <rPr>
            <sz val="9"/>
            <color indexed="81"/>
            <rFont val="Tahoma"/>
            <family val="2"/>
          </rPr>
          <t xml:space="preserve">La </t>
        </r>
        <r>
          <rPr>
            <b/>
            <sz val="9"/>
            <color indexed="81"/>
            <rFont val="Tahoma"/>
            <family val="2"/>
          </rPr>
          <t>deuxième étape de financement</t>
        </r>
        <r>
          <rPr>
            <sz val="9"/>
            <color indexed="81"/>
            <rFont val="Tahoma"/>
            <family val="2"/>
          </rPr>
          <t xml:space="preserve"> prévoit une contribution de la part des communes avec une valeur du point d'impôt péréquatif par habitant (VPIH) supérieur à la moyenne. Le détail du calcul de cette deuxième contribution est dans l'onglet "Ecrêtage".</t>
        </r>
      </text>
    </comment>
    <comment ref="H10" authorId="0" shapeId="0" xr:uid="{8CB4ED49-AE30-4C5E-AA9F-866EDF37CA6B}">
      <text>
        <r>
          <rPr>
            <sz val="9"/>
            <color indexed="81"/>
            <rFont val="Tahoma"/>
            <family val="2"/>
          </rPr>
          <t xml:space="preserve">Dans la </t>
        </r>
        <r>
          <rPr>
            <b/>
            <sz val="9"/>
            <color indexed="81"/>
            <rFont val="Tahoma"/>
            <family val="2"/>
          </rPr>
          <t>dernière étape de financement</t>
        </r>
        <r>
          <rPr>
            <sz val="9"/>
            <color indexed="81"/>
            <rFont val="Tahoma"/>
            <family val="2"/>
          </rPr>
          <t>, le montant de la PCS qui reste à financer (</t>
        </r>
        <r>
          <rPr>
            <b/>
            <sz val="9"/>
            <color indexed="81"/>
            <rFont val="Tahoma"/>
            <family val="2"/>
          </rPr>
          <t>solde</t>
        </r>
        <r>
          <rPr>
            <sz val="9"/>
            <color indexed="81"/>
            <rFont val="Tahoma"/>
            <family val="2"/>
          </rPr>
          <t>) est divisé par la valeur du point d'impôt péréquatif total des communes. Chaque commune verse au système le nombre de points ainsi détérminé.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M4" authorId="0" shapeId="0" xr:uid="{ED0F811D-0F7C-44EA-B462-F5E01D3443D1}">
      <text>
        <r>
          <rPr>
            <sz val="9"/>
            <color indexed="81"/>
            <rFont val="Tahoma"/>
            <family val="2"/>
          </rPr>
          <t>Pour détérminer le montant de l'écrêtage, la VPIH de la commune est</t>
        </r>
        <r>
          <rPr>
            <b/>
            <sz val="9"/>
            <color indexed="81"/>
            <rFont val="Tahoma"/>
            <family val="2"/>
          </rPr>
          <t xml:space="preserve"> initialement</t>
        </r>
        <r>
          <rPr>
            <sz val="9"/>
            <color indexed="81"/>
            <rFont val="Tahoma"/>
            <family val="2"/>
          </rPr>
          <t xml:space="preserve"> comparée avec cinq seuils exprimés en pourcent de la VPIH moyenne des communes. </t>
        </r>
        <r>
          <rPr>
            <b/>
            <sz val="9"/>
            <color indexed="81"/>
            <rFont val="Tahoma"/>
            <family val="2"/>
          </rPr>
          <t>Ensuite</t>
        </r>
        <r>
          <rPr>
            <sz val="9"/>
            <color indexed="81"/>
            <rFont val="Tahoma"/>
            <family val="2"/>
          </rPr>
          <t xml:space="preserve">, les éventuels  écarts constatés sont multipliés par les pourcentages de prélèvement spécifiques à chaque seuil et additionnés. </t>
        </r>
        <r>
          <rPr>
            <b/>
            <sz val="9"/>
            <color indexed="81"/>
            <rFont val="Tahoma"/>
            <family val="2"/>
          </rPr>
          <t>Enfin</t>
        </r>
        <r>
          <rPr>
            <sz val="9"/>
            <color indexed="81"/>
            <rFont val="Tahoma"/>
            <family val="2"/>
          </rPr>
          <t>, cette somme d'écarts pondérés est multipliée par le taux d'imposition de la commune et sa population pour obtenir son montant à verser.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C24E69B-AE57-49AE-9420-1A4BAD449CBC}">
      <text>
        <r>
          <rPr>
            <sz val="9"/>
            <color indexed="81"/>
            <rFont val="Tahoma"/>
            <family val="2"/>
          </rPr>
          <t>Le fonds de péréquation intercommunal (</t>
        </r>
        <r>
          <rPr>
            <b/>
            <sz val="9"/>
            <color indexed="81"/>
            <rFont val="Tahoma"/>
            <family val="2"/>
          </rPr>
          <t>péréquation directe</t>
        </r>
        <r>
          <rPr>
            <sz val="9"/>
            <color indexed="81"/>
            <rFont val="Tahoma"/>
            <family val="2"/>
          </rPr>
          <t xml:space="preserve">) comprend </t>
        </r>
        <r>
          <rPr>
            <b/>
            <sz val="9"/>
            <color indexed="81"/>
            <rFont val="Tahoma"/>
            <family val="2"/>
          </rPr>
          <t>trois couches de subventionnement</t>
        </r>
        <r>
          <rPr>
            <sz val="9"/>
            <color indexed="81"/>
            <rFont val="Tahoma"/>
            <family val="2"/>
          </rPr>
          <t xml:space="preserve"> (population, solidarité et dépenses thématiques) et </t>
        </r>
        <r>
          <rPr>
            <b/>
            <sz val="9"/>
            <color indexed="81"/>
            <rFont val="Tahoma"/>
            <family val="2"/>
          </rPr>
          <t>trois plafonds</t>
        </r>
        <r>
          <rPr>
            <sz val="9"/>
            <color indexed="81"/>
            <rFont val="Tahoma"/>
            <family val="2"/>
          </rPr>
          <t xml:space="preserve"> (effort, aide et taux). Le détail du calcul des montants versés par chaque couche et par chaque plafond est proposé dans les prochains onglets. Le tableau à gauche résume le total des montants versés par les trois couches et par les trois plafonds, ainsi que le </t>
        </r>
        <r>
          <rPr>
            <b/>
            <sz val="9"/>
            <color indexed="81"/>
            <rFont val="Tahoma"/>
            <family val="2"/>
          </rPr>
          <t>forfait pour la gestion du système</t>
        </r>
        <r>
          <rPr>
            <sz val="9"/>
            <color indexed="81"/>
            <rFont val="Tahoma"/>
            <family val="2"/>
          </rPr>
          <t xml:space="preserve"> (CHF 450'000.-). 
</t>
        </r>
        <r>
          <rPr>
            <b/>
            <sz val="9"/>
            <color indexed="81"/>
            <rFont val="Tahoma"/>
            <family val="2"/>
          </rPr>
          <t>Pour financer la péréquation directe</t>
        </r>
        <r>
          <rPr>
            <sz val="9"/>
            <color indexed="81"/>
            <rFont val="Tahoma"/>
            <family val="2"/>
          </rPr>
          <t>, chaque commune verse un nombre de points d'impôt égal au total à financer divisé par la valeur du point d'impôt de l'ensemble des communes.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K7" authorId="0" shapeId="0" xr:uid="{A248159E-0366-49ED-ABDF-E41AA811D6AA}">
      <text>
        <r>
          <rPr>
            <sz val="9"/>
            <color indexed="81"/>
            <rFont val="Tahoma"/>
            <family val="2"/>
          </rPr>
          <t>La</t>
        </r>
        <r>
          <rPr>
            <b/>
            <sz val="9"/>
            <color indexed="81"/>
            <rFont val="Tahoma"/>
            <family val="2"/>
          </rPr>
          <t xml:space="preserve"> couche population</t>
        </r>
        <r>
          <rPr>
            <sz val="9"/>
            <color indexed="81"/>
            <rFont val="Tahoma"/>
            <family val="2"/>
          </rPr>
          <t xml:space="preserve"> verse à chaque commune 125 francs (indexés) par habitant pour ses premiers 1'000 habitants, 350 francs (indexés) par habitant pour les 2'000 habitants suivants et ainsi de suite jusqu'à 1'050 francs (indexés) pour tous les habitants au-délà des premiers 15'000.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54CAD977-3398-46E4-9C38-2E741D99B23F}">
      <text>
        <r>
          <rPr>
            <sz val="9"/>
            <color indexed="81"/>
            <rFont val="Tahoma"/>
            <family val="2"/>
          </rPr>
          <t xml:space="preserve">La </t>
        </r>
        <r>
          <rPr>
            <b/>
            <sz val="9"/>
            <color indexed="81"/>
            <rFont val="Tahoma"/>
            <family val="2"/>
          </rPr>
          <t>couche solidarité</t>
        </r>
        <r>
          <rPr>
            <sz val="9"/>
            <color indexed="81"/>
            <rFont val="Tahoma"/>
            <family val="2"/>
          </rPr>
          <t xml:space="preserve"> attribue aux communes avec une valeur du point d'impôt par habitant (VPIH) inférieur à la moyenne une compensation de base égale à 27% de l'écart entre leur VPIH et cette même moyenne multiplié par sa population et son taux. </t>
        </r>
      </text>
    </comment>
    <comment ref="I4" authorId="0" shapeId="0" xr:uid="{EECF3395-3B44-42A6-96C5-8AAFF7ADEA22}">
      <text>
        <r>
          <rPr>
            <sz val="9"/>
            <color indexed="81"/>
            <rFont val="Tahoma"/>
            <family val="2"/>
          </rPr>
          <t xml:space="preserve">La compensation de base est ensuite </t>
        </r>
        <r>
          <rPr>
            <b/>
            <sz val="9"/>
            <color indexed="81"/>
            <rFont val="Tahoma"/>
            <family val="2"/>
          </rPr>
          <t>pondérée</t>
        </r>
        <r>
          <rPr>
            <sz val="9"/>
            <color indexed="81"/>
            <rFont val="Tahoma"/>
            <family val="2"/>
          </rPr>
          <t xml:space="preserve"> par le rapport entre le taux de la commune et le taux moyen.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E4" authorId="0" shapeId="0" xr:uid="{BAE74BEC-7C7D-40D4-B664-191255A68EA3}">
      <text>
        <r>
          <rPr>
            <sz val="9"/>
            <color indexed="81"/>
            <rFont val="Tahoma"/>
            <family val="2"/>
          </rPr>
          <t xml:space="preserve">Les </t>
        </r>
        <r>
          <rPr>
            <b/>
            <sz val="9"/>
            <color indexed="81"/>
            <rFont val="Tahoma"/>
            <family val="2"/>
          </rPr>
          <t>dépenses effectives en transports</t>
        </r>
        <r>
          <rPr>
            <sz val="9"/>
            <color indexed="81"/>
            <rFont val="Tahoma"/>
            <family val="2"/>
          </rPr>
          <t xml:space="preserve"> déclarées par la commune sont comparées avec l'équivalent de 8 de ses points d'impôt.</t>
        </r>
      </text>
    </comment>
    <comment ref="H4" authorId="0" shapeId="0" xr:uid="{BF62F18C-F207-473C-871E-EBF7229851AD}">
      <text>
        <r>
          <rPr>
            <sz val="9"/>
            <color indexed="81"/>
            <rFont val="Tahoma"/>
            <family val="2"/>
          </rPr>
          <t xml:space="preserve">Les </t>
        </r>
        <r>
          <rPr>
            <b/>
            <sz val="9"/>
            <color indexed="81"/>
            <rFont val="Tahoma"/>
            <family val="2"/>
          </rPr>
          <t>éventuels dépassements sont compensés</t>
        </r>
        <r>
          <rPr>
            <sz val="9"/>
            <color indexed="81"/>
            <rFont val="Tahoma"/>
            <family val="2"/>
          </rPr>
          <t xml:space="preserve"> à hauteur de 75%. Ce taux peut être revu à la baisse si le total des prises en charges (transports + forêts) excède 4,5 points d'impôt de l'ensemble des communes.
</t>
        </r>
      </text>
    </comment>
    <comment ref="L4" authorId="0" shapeId="0" xr:uid="{F683021F-A324-4C56-9374-0E7F671FBDA9}">
      <text>
        <r>
          <rPr>
            <sz val="9"/>
            <color indexed="81"/>
            <rFont val="Tahoma"/>
            <family val="2"/>
          </rPr>
          <t xml:space="preserve">Pour les </t>
        </r>
        <r>
          <rPr>
            <b/>
            <sz val="9"/>
            <color indexed="81"/>
            <rFont val="Tahoma"/>
            <family val="2"/>
          </rPr>
          <t>dépenses effectives en</t>
        </r>
        <r>
          <rPr>
            <b/>
            <sz val="9"/>
            <color indexed="81"/>
            <rFont val="Tahoma"/>
            <family val="2"/>
          </rPr>
          <t xml:space="preserve"> forêts</t>
        </r>
        <r>
          <rPr>
            <sz val="9"/>
            <color indexed="81"/>
            <rFont val="Tahoma"/>
            <family val="2"/>
          </rPr>
          <t xml:space="preserve"> la logique est identique, mais avec un plafond égal à l'équivalent de 1 point d'impôt de la commune.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656BD7C7-68AF-4D04-8DF9-470D7B173C07}">
      <text>
        <r>
          <rPr>
            <sz val="9"/>
            <color indexed="81"/>
            <rFont val="Tahoma"/>
            <family val="2"/>
          </rPr>
          <t>Si l'</t>
        </r>
        <r>
          <rPr>
            <b/>
            <sz val="9"/>
            <color indexed="81"/>
            <rFont val="Tahoma"/>
            <family val="2"/>
          </rPr>
          <t>effort péréquatif net</t>
        </r>
        <r>
          <rPr>
            <sz val="9"/>
            <color indexed="81"/>
            <rFont val="Tahoma"/>
            <family val="2"/>
          </rPr>
          <t xml:space="preserve"> d'une commune (total des montants reçus et versés, sauf prélèvements conjoncturels et plafonds) dépasse la valeur de 48 de ses points d'impôt, le </t>
        </r>
        <r>
          <rPr>
            <b/>
            <sz val="9"/>
            <color indexed="81"/>
            <rFont val="Tahoma"/>
            <family val="2"/>
          </rPr>
          <t xml:space="preserve">plafond de l'effort </t>
        </r>
        <r>
          <rPr>
            <sz val="9"/>
            <color indexed="81"/>
            <rFont val="Tahoma"/>
            <family val="2"/>
          </rPr>
          <t>lui réstitue un montant égal au dépassement constaté. Les montants restitués sont ensuite financés par l'ensemble des communes, via l'alimentation du système (voir onglet "vue d'ensemble").</t>
        </r>
      </text>
    </comment>
  </commentList>
</comments>
</file>

<file path=xl/sharedStrings.xml><?xml version="1.0" encoding="utf-8"?>
<sst xmlns="http://schemas.openxmlformats.org/spreadsheetml/2006/main" count="2831" uniqueCount="570">
  <si>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</si>
  <si>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</si>
  <si>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</si>
  <si>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</si>
  <si>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</si>
  <si>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</si>
  <si>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</si>
  <si>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</si>
  <si>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</si>
  <si>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</si>
  <si>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</si>
  <si>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</si>
  <si>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</si>
  <si>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</si>
  <si>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</si>
  <si>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</si>
  <si>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</si>
  <si>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</si>
  <si>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</si>
  <si>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</si>
  <si>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</si>
  <si>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</si>
  <si>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</si>
  <si>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</si>
  <si>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</si>
  <si>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</si>
  <si>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</si>
  <si>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</si>
  <si>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</si>
  <si>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</si>
  <si>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</si>
  <si>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</si>
  <si>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</si>
  <si>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</si>
  <si>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</si>
  <si>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</si>
  <si>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</si>
  <si>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</si>
  <si>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</si>
  <si>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</si>
  <si>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</si>
  <si>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</si>
  <si>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</si>
  <si>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</si>
  <si>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No OFS</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</si>
  <si>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</si>
  <si>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</si>
  <si>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</si>
  <si>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</si>
  <si>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</si>
  <si>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</si>
  <si>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</si>
  <si>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</si>
  <si>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</si>
  <si>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</si>
  <si>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</si>
  <si>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</si>
  <si>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</si>
  <si>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</si>
  <si>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</si>
  <si>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</si>
  <si>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</si>
  <si>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</si>
  <si>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Nyon</t>
  </si>
  <si>
    <t>Prangins</t>
  </si>
  <si>
    <t>Bougy-Villars</t>
  </si>
  <si>
    <t>Yvorne</t>
  </si>
  <si>
    <t>Aubonne</t>
  </si>
  <si>
    <t>Ballens</t>
  </si>
  <si>
    <t>Berolle</t>
  </si>
  <si>
    <t>Bière</t>
  </si>
  <si>
    <t>Taux communal</t>
  </si>
  <si>
    <t>ISP</t>
  </si>
  <si>
    <t>IPE</t>
  </si>
  <si>
    <t>IET</t>
  </si>
  <si>
    <t>ISO</t>
  </si>
  <si>
    <t>IMM</t>
  </si>
  <si>
    <t>IFO</t>
  </si>
  <si>
    <t>STO</t>
  </si>
  <si>
    <t>IFR</t>
  </si>
  <si>
    <t>ISD</t>
  </si>
  <si>
    <t>DMU</t>
  </si>
  <si>
    <t>IGI</t>
  </si>
  <si>
    <t>TOT</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</si>
  <si>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</si>
  <si>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</si>
  <si>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</si>
  <si>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</si>
  <si>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</si>
  <si>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</si>
  <si>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</si>
  <si>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</si>
  <si>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</si>
  <si>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</si>
  <si>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</si>
  <si>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</si>
  <si>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</si>
  <si>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</si>
  <si>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</si>
  <si>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</si>
  <si>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</si>
  <si>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</si>
  <si>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</si>
  <si>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</si>
  <si>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</si>
  <si>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</si>
  <si>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</si>
  <si>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</si>
  <si>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</si>
  <si>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</si>
  <si>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</si>
  <si>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</si>
  <si>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</si>
  <si>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Plafonnement du taux</t>
  </si>
  <si>
    <t>Rivaz</t>
  </si>
  <si>
    <t>St-Saphorin (Lavaux)</t>
  </si>
  <si>
    <t>Ormont-Dessous</t>
  </si>
  <si>
    <t>Ormont-Dessus</t>
  </si>
  <si>
    <t>Rennaz</t>
  </si>
  <si>
    <t>Roche</t>
  </si>
  <si>
    <t>Villeneuve</t>
  </si>
  <si>
    <t>Romainmôtier-Envy</t>
  </si>
  <si>
    <t>Sergey</t>
  </si>
  <si>
    <t>Valeyres-sous-Rances</t>
  </si>
  <si>
    <t>Total</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</si>
  <si>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</si>
  <si>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</si>
  <si>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</si>
  <si>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</si>
  <si>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</si>
  <si>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</si>
  <si>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</si>
  <si>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</si>
  <si>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</si>
  <si>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</si>
  <si>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</si>
  <si>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</si>
  <si>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</si>
  <si>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</si>
  <si>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</si>
  <si>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</si>
  <si>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</si>
  <si>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</si>
  <si>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</si>
  <si>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</si>
  <si>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</si>
  <si>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</si>
  <si>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</si>
  <si>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</si>
  <si>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</si>
  <si>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Penthalaz</t>
  </si>
  <si>
    <t>Penthaz</t>
  </si>
  <si>
    <t>Pompaples</t>
  </si>
  <si>
    <t>La Sarraz</t>
  </si>
  <si>
    <t>Senarclens</t>
  </si>
  <si>
    <t>Sullens</t>
  </si>
  <si>
    <t>Vufflens-la-Ville</t>
  </si>
  <si>
    <t>Assens</t>
  </si>
  <si>
    <t>Bercher</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</si>
  <si>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</si>
  <si>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</si>
  <si>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</si>
  <si>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</si>
  <si>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</si>
  <si>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</si>
  <si>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</si>
  <si>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</si>
  <si>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</si>
  <si>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</si>
  <si>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</si>
  <si>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</si>
  <si>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</si>
  <si>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</si>
  <si>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</si>
  <si>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</si>
  <si>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</si>
  <si>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</si>
  <si>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</si>
  <si>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</si>
  <si>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</si>
  <si>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</si>
  <si>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</si>
  <si>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</si>
  <si>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</si>
  <si>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</si>
  <si>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</si>
  <si>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Chardonne</t>
  </si>
  <si>
    <t>Corseaux</t>
  </si>
  <si>
    <t>Boussens</t>
  </si>
  <si>
    <t>La Chaux (Cossonay)</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</si>
  <si>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</si>
  <si>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</si>
  <si>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</si>
  <si>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</si>
  <si>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</si>
  <si>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</si>
  <si>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</si>
  <si>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</si>
  <si>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</si>
  <si>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</si>
  <si>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</si>
  <si>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</si>
  <si>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</si>
  <si>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</si>
  <si>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</si>
  <si>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</si>
  <si>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</si>
  <si>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</si>
  <si>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</si>
  <si>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</si>
  <si>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</si>
  <si>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</si>
  <si>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</si>
  <si>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</si>
  <si>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</si>
  <si>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Cuarnens</t>
  </si>
  <si>
    <t>Daillens</t>
  </si>
  <si>
    <t>Dizy</t>
  </si>
  <si>
    <t>Eclépens</t>
  </si>
  <si>
    <t>Pertes débiteurs</t>
  </si>
  <si>
    <t>Imputation forfaitaire</t>
  </si>
  <si>
    <t>Chavannes-près-Renens</t>
  </si>
  <si>
    <t>Chigny</t>
  </si>
  <si>
    <t>Impôt spécial affecté</t>
  </si>
  <si>
    <t>Impôt personnel</t>
  </si>
  <si>
    <t>Aigle</t>
  </si>
  <si>
    <t>Bex</t>
  </si>
  <si>
    <t>Arnex-sur-Orbe</t>
  </si>
  <si>
    <t>Ballaigues</t>
  </si>
  <si>
    <t>Baulmes</t>
  </si>
  <si>
    <t>Bavois</t>
  </si>
  <si>
    <t>Bofflens</t>
  </si>
  <si>
    <t>Bretonnières</t>
  </si>
  <si>
    <t>Chavornay</t>
  </si>
  <si>
    <t>Les Clées</t>
  </si>
  <si>
    <t>Montagny-près-Yverdon</t>
  </si>
  <si>
    <t>Oppens</t>
  </si>
  <si>
    <t>Orges</t>
  </si>
  <si>
    <t>Ursins</t>
  </si>
  <si>
    <t>Vugelles-La Mothe</t>
  </si>
  <si>
    <t>Corcelles-le-Jorat</t>
  </si>
  <si>
    <t>Maracon</t>
  </si>
  <si>
    <t>Montpreveyres</t>
  </si>
  <si>
    <t>Ropraz</t>
  </si>
  <si>
    <t>Servion</t>
  </si>
  <si>
    <t>Mutrux</t>
  </si>
  <si>
    <t>Novalles</t>
  </si>
  <si>
    <t>Onnens</t>
  </si>
  <si>
    <t>Provence</t>
  </si>
  <si>
    <t>en % de la moyenne</t>
  </si>
  <si>
    <t>Seuil 1</t>
  </si>
  <si>
    <t>Seuil 2</t>
  </si>
  <si>
    <t>Total écrêtage</t>
  </si>
  <si>
    <t>Savigny</t>
  </si>
  <si>
    <t>Chexbres</t>
  </si>
  <si>
    <t>Villars-Epeney</t>
  </si>
  <si>
    <t>Puidoux</t>
  </si>
  <si>
    <t>Dépassement transports</t>
  </si>
  <si>
    <t>Population</t>
  </si>
  <si>
    <t>Bas</t>
  </si>
  <si>
    <t>Seuils de population</t>
  </si>
  <si>
    <t>Haut</t>
  </si>
  <si>
    <t>Montants</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</si>
  <si>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</si>
  <si>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</si>
  <si>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</si>
  <si>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</si>
  <si>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</si>
  <si>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</si>
  <si>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</si>
  <si>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</si>
  <si>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</si>
  <si>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</si>
  <si>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</si>
  <si>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</si>
  <si>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</si>
  <si>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</si>
  <si>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</si>
  <si>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</si>
  <si>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</si>
  <si>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</si>
  <si>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</si>
  <si>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</si>
  <si>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</si>
  <si>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</si>
  <si>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</si>
  <si>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</si>
  <si>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</si>
  <si>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</si>
  <si>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</si>
  <si>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</si>
  <si>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</si>
  <si>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</si>
  <si>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</si>
  <si>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</si>
  <si>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</si>
  <si>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</si>
  <si>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</si>
  <si>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</si>
  <si>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</si>
  <si>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Différence à compenser</t>
  </si>
  <si>
    <t xml:space="preserve">Taux actuel </t>
  </si>
  <si>
    <t xml:space="preserve">Taux </t>
  </si>
  <si>
    <t>Longirod</t>
  </si>
  <si>
    <t>Marchissy</t>
  </si>
  <si>
    <t>Mollens</t>
  </si>
  <si>
    <t>Saint-George</t>
  </si>
  <si>
    <t>Chavannes-le-Veyron</t>
  </si>
  <si>
    <t>Chevilly</t>
  </si>
  <si>
    <t>Cossonay</t>
  </si>
  <si>
    <t>./. Conjoncturelles</t>
  </si>
  <si>
    <t>./. Ecrêtage</t>
  </si>
  <si>
    <t>Seuil max (pts)</t>
  </si>
  <si>
    <t>Impôt à la source</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</si>
  <si>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</si>
  <si>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</si>
  <si>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</si>
  <si>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</si>
  <si>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</si>
  <si>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</si>
  <si>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</si>
  <si>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</si>
  <si>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</si>
  <si>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</si>
  <si>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</si>
  <si>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</si>
  <si>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</si>
  <si>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</si>
  <si>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</si>
  <si>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</si>
  <si>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</si>
  <si>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</si>
  <si>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</si>
  <si>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</si>
  <si>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</si>
  <si>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</si>
  <si>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Points</t>
  </si>
  <si>
    <t>Seuil 3</t>
  </si>
  <si>
    <t>Impôt récupéré après défalcation</t>
  </si>
  <si>
    <t>PPR</t>
  </si>
  <si>
    <t>PPF</t>
  </si>
  <si>
    <t>PMB</t>
  </si>
  <si>
    <t>PMC</t>
  </si>
  <si>
    <t>Bourg-en-Lavaux</t>
  </si>
  <si>
    <t>Tévenon</t>
  </si>
  <si>
    <t>Vully-les-Lacs</t>
  </si>
  <si>
    <t>Goumoëns</t>
  </si>
  <si>
    <t>Montilliez</t>
  </si>
  <si>
    <t>Jorat-Menthue</t>
  </si>
  <si>
    <t>Valbroye</t>
  </si>
  <si>
    <t>Oron</t>
  </si>
  <si>
    <t>Prélèvements conjoncturels</t>
  </si>
  <si>
    <t>Bussigny</t>
  </si>
  <si>
    <t>Arzier-Le Muids</t>
  </si>
  <si>
    <t>Montanaire</t>
  </si>
  <si>
    <t>Indice IPC au 1er janvier 2010</t>
  </si>
  <si>
    <t>Montant à affecter ajusté à l'IPC</t>
  </si>
  <si>
    <t>Population selon FAO</t>
  </si>
  <si>
    <t>Péréquation directe - Couche Population</t>
  </si>
  <si>
    <t>Péréquation directe - Couche Solidarité</t>
  </si>
  <si>
    <t>CHF</t>
  </si>
  <si>
    <t>Pts</t>
  </si>
  <si>
    <t>pour une capacité dépassant</t>
  </si>
  <si>
    <t>Montant à affecter par habitant</t>
  </si>
  <si>
    <t>Prise en charge maximale</t>
  </si>
  <si>
    <t>Impôts théoriques</t>
  </si>
  <si>
    <t>Ecrêtage</t>
  </si>
  <si>
    <t xml:space="preserve">J) Liste des communes A--&gt;Z </t>
  </si>
  <si>
    <t>Aide</t>
  </si>
  <si>
    <t>Taux</t>
  </si>
  <si>
    <t>Montant à charge de la commune</t>
  </si>
  <si>
    <t>Total à charge des communes</t>
  </si>
  <si>
    <t>Taux IFO</t>
  </si>
  <si>
    <t>P é r é q u a t i o n   d i r e c t e</t>
  </si>
  <si>
    <t>Treytorrens (Payerne)</t>
  </si>
  <si>
    <t>Jorat-Mézières</t>
  </si>
  <si>
    <t>Effort</t>
  </si>
  <si>
    <t>Total net</t>
  </si>
  <si>
    <t>S y n t h è s e   e n   C H F</t>
  </si>
  <si>
    <t>Taux maximum plafonné. Art. 6 DLPIC</t>
  </si>
  <si>
    <t>Seuil 4</t>
  </si>
  <si>
    <t>Seuil 5</t>
  </si>
  <si>
    <t>Point impôt</t>
  </si>
  <si>
    <t xml:space="preserve"> </t>
  </si>
  <si>
    <t>Total de la participation à la cohésion sociale</t>
  </si>
  <si>
    <t xml:space="preserve">Charges de fonctionnement </t>
  </si>
  <si>
    <t xml:space="preserve">Investissements </t>
  </si>
  <si>
    <t>Investissements</t>
  </si>
  <si>
    <t>Transports</t>
  </si>
  <si>
    <t>Forêts</t>
  </si>
  <si>
    <t>Totaux</t>
  </si>
  <si>
    <t>Acomptes*</t>
  </si>
  <si>
    <t>(+ à payer / - à recevoir)</t>
  </si>
  <si>
    <t>Communes</t>
  </si>
  <si>
    <t>Péréquation horizontale</t>
  </si>
  <si>
    <t>Acomptes</t>
  </si>
  <si>
    <t>Décompte</t>
  </si>
  <si>
    <t>Participation à la cohésion sociale</t>
  </si>
  <si>
    <t>Communes 
LDecTer</t>
  </si>
  <si>
    <t>Hautemorges</t>
  </si>
  <si>
    <t>Blonay-Saint-Légier</t>
  </si>
  <si>
    <t>Table des matières</t>
  </si>
  <si>
    <t>Cette couche alloue des montants à toutes les communes en fonction de leur population. Son but est de tenir compte du fait que certaines charges d’une commune tendent à augmenter avec l’augmentation de sa taille.</t>
  </si>
  <si>
    <t>Les dépenses thématique allouent des montants aux communes qui doivent faire face à des dépenses jugées excessives dans les domaines des transports (routes, transports publics et transports scolaires) et des forêts.</t>
  </si>
  <si>
    <t>Données saisies</t>
  </si>
  <si>
    <t>Plafond de l'effort</t>
  </si>
  <si>
    <t>Plafond de l'aide</t>
  </si>
  <si>
    <t>Plafond du taux</t>
  </si>
  <si>
    <t>Décompte vs acomptes</t>
  </si>
  <si>
    <t>← Précédent</t>
  </si>
  <si>
    <t>Suivant →</t>
  </si>
  <si>
    <t>Paramétrage du système</t>
  </si>
  <si>
    <t>Péréquation Directe - Dépenses Thématiques</t>
  </si>
  <si>
    <t>Période de calcul</t>
  </si>
  <si>
    <t>Facture policière</t>
  </si>
  <si>
    <t>Valeur du point d'impôt péréquatif (VPI)</t>
  </si>
  <si>
    <t>Paramètrage de la feuille de calcul et références aux bases légales.</t>
  </si>
  <si>
    <t>Valeur du point d'impôt péréquatif</t>
  </si>
  <si>
    <t>Participation à charge des communes</t>
  </si>
  <si>
    <t>P a r t i c i p a t i o n   à   l a    c o h é s i o n    s o c i a l e</t>
  </si>
  <si>
    <t>T o t a l   p é r é q u a t i o n    e t    f a c t u r e s    c a n t o n a l e s</t>
  </si>
  <si>
    <t>Impôt à la
 source</t>
  </si>
  <si>
    <t>Compensation RFFA</t>
  </si>
  <si>
    <t>Impôt spécial
 affecté</t>
  </si>
  <si>
    <t>Impôt foncier
normalisé</t>
  </si>
  <si>
    <t>Impôt des frontaliers</t>
  </si>
  <si>
    <t>Montant de la PCS à répartir</t>
  </si>
  <si>
    <t>À répartir en points d'impôt</t>
  </si>
  <si>
    <t>Calcul de la capacité fiscale relative</t>
  </si>
  <si>
    <t>% du taux moyen</t>
  </si>
  <si>
    <t>Participation à la cohésion sociale (PCS)</t>
  </si>
  <si>
    <t>Prélèvement sur les impôts conjoncturels</t>
  </si>
  <si>
    <t>Synthèse</t>
  </si>
  <si>
    <t>Plafond
forêts</t>
  </si>
  <si>
    <t>Total
forêts</t>
  </si>
  <si>
    <t>Total
transports</t>
  </si>
  <si>
    <t>Plafonds</t>
  </si>
  <si>
    <t>Plafond en points</t>
  </si>
  <si>
    <t>Alimentation péréquation directe</t>
  </si>
  <si>
    <t>Effort péréquatif net</t>
  </si>
  <si>
    <t>Acomptes 2022</t>
  </si>
  <si>
    <t>Taux après déduction de l'ancien effort</t>
  </si>
  <si>
    <t>Restitution en CHF</t>
  </si>
  <si>
    <t>Retenue
en CHF</t>
  </si>
  <si>
    <t>Total routes et infrastructures</t>
  </si>
  <si>
    <t>Avec police communale</t>
  </si>
  <si>
    <t>Communes avec police</t>
  </si>
  <si>
    <t>Cette couche alloue des montants aux communes avec une valeur du point d’impôt péréquatif par habitant inférieure à la moyenne. Elle cible de manière directe les disparités de capacité financière entre les communes.</t>
  </si>
  <si>
    <t xml:space="preserve"> Extraction synthétique des montants à recevoir ou à payer pour une commune au choix.</t>
  </si>
  <si>
    <t>Calcul de la valeur du point d'impôt péréquatif selon les dispositions légales en vigueur.</t>
  </si>
  <si>
    <t>Acomptes/décompte et année</t>
  </si>
  <si>
    <t>Impôt sur le revenu</t>
  </si>
  <si>
    <t>Impôt sur la fortune</t>
  </si>
  <si>
    <t>Impôt sur le bénéfice</t>
  </si>
  <si>
    <t>Impôt sur le capital</t>
  </si>
  <si>
    <t>Impôt sur les immeubles des sociétés</t>
  </si>
  <si>
    <t>Prélèvement sur les impôts conjoncturels (art. 3 LPIC)</t>
  </si>
  <si>
    <t>Droits de mutation, gains immobiliers, successions et donations</t>
  </si>
  <si>
    <t>Pourcentage prélevé</t>
  </si>
  <si>
    <t>Ecrêtage (art. 4 LPIC)</t>
  </si>
  <si>
    <t>Couche population (art. 8 LPIC et art. 2 DLPIC)</t>
  </si>
  <si>
    <t>Seuil de population (habitants)</t>
  </si>
  <si>
    <t>Couche solidarité (art. 8 LPIC et art. 3 DLPIC)</t>
  </si>
  <si>
    <t>Taux de compensation pour les communes à faible capacité financière</t>
  </si>
  <si>
    <t>Gestion du fond (art. 8 DLPIC)</t>
  </si>
  <si>
    <t>Montants affectés aux plafonnements et gestion du fond</t>
  </si>
  <si>
    <t>Dépenses thématiques (art. 8 LPIC et art. 4 DLPIC)</t>
  </si>
  <si>
    <t>Entretien des forêts</t>
  </si>
  <si>
    <t>Transports publics, transports routiers et transports scolaires</t>
  </si>
  <si>
    <t>Total des dépassements</t>
  </si>
  <si>
    <t>Compensation théorique</t>
  </si>
  <si>
    <t>Plafond global (art. 4 al. 2)</t>
  </si>
  <si>
    <t>Aide péréquatif maximal en points d'impôt (art. 5 DLPIC)</t>
  </si>
  <si>
    <t>Effort péréquatif maximal en points d'impôt (art. 9d DLPIC)</t>
  </si>
  <si>
    <t>Nouveau article prévu par l'EMPD Budget de l'Etat de 2022 (maintien de la pratique 2020-2021).</t>
  </si>
  <si>
    <t>Paramètres des plafonds</t>
  </si>
  <si>
    <t>Total plafonds</t>
  </si>
  <si>
    <t>Financement</t>
  </si>
  <si>
    <t>Indexation du taux maximum</t>
  </si>
  <si>
    <t>Taux plafonné de l'année précédente</t>
  </si>
  <si>
    <t>Valeur du point (année précédente)</t>
  </si>
  <si>
    <t>PCS (année précédente)</t>
  </si>
  <si>
    <t>Montant de la facture 2013</t>
  </si>
  <si>
    <t>Augmentation forfaitaire annuelle</t>
  </si>
  <si>
    <t>Année de la facture policière</t>
  </si>
  <si>
    <t>Budget/comptes et année pour la PCS</t>
  </si>
  <si>
    <t>Date de la population</t>
  </si>
  <si>
    <t>Année des données de référence (rendements, taux, DT, etc.)</t>
  </si>
  <si>
    <t>budget 2022</t>
  </si>
  <si>
    <t>Acomptes T-1</t>
  </si>
  <si>
    <t>Montant
perçu</t>
  </si>
  <si>
    <t>Table des
matières</t>
  </si>
  <si>
    <t>Solde en points d'impôt</t>
  </si>
  <si>
    <t>Valeur du point par habitant</t>
  </si>
  <si>
    <t>Compensation de base</t>
  </si>
  <si>
    <t>Total à financer (alimentation)</t>
  </si>
  <si>
    <t>Différence = 0</t>
  </si>
  <si>
    <t>Données concernant toutes les communes saisies pour être utilisées dans les calculs du système de péréquation.</t>
  </si>
  <si>
    <t>Régimes de la PCS repris dès 2022 selon art. 17b al. 2 let. a LOF</t>
  </si>
  <si>
    <t>Charges reprises des agences d'assurances sociales selon art. 17b al. 2 let. b LOF</t>
  </si>
  <si>
    <t>Déduction complémentaire au montant de la PCS selon art. 17b al. 3 LOF</t>
  </si>
  <si>
    <t>à ajouter</t>
  </si>
  <si>
    <t>à déduire</t>
  </si>
  <si>
    <t>Effort  péréquatif net avec plafonds</t>
  </si>
  <si>
    <t>Effort péréquatif net sans dép. thém. et avec plafonds</t>
  </si>
  <si>
    <t>Répartition par habitant de la facture policière</t>
  </si>
  <si>
    <t>Valeur du
point d'impôt péréquatif</t>
  </si>
  <si>
    <t>Valeur du point d'impôt péréquatif par habitant</t>
  </si>
  <si>
    <t>Financement du solde en points</t>
  </si>
  <si>
    <t>Alimentation de la péréquation directe</t>
  </si>
  <si>
    <t>Données -&gt; Analyse de scenario -&gt; Valeur cible. Définir C49, cibler 0, modifier B49.</t>
  </si>
  <si>
    <t>Compensation</t>
  </si>
  <si>
    <t>Compensation pondérée</t>
  </si>
  <si>
    <t>Compensation population</t>
  </si>
  <si>
    <t>Compensation solidarité</t>
  </si>
  <si>
    <t>Compensation dépenses thématiques</t>
  </si>
  <si>
    <t>Montants à financer</t>
  </si>
  <si>
    <t>Couches péréquatives</t>
  </si>
  <si>
    <t>Compensation plafonds</t>
  </si>
  <si>
    <t>Effet net de la péréquation directe</t>
  </si>
  <si>
    <t>Compensation transports</t>
  </si>
  <si>
    <t>Compensation forêts</t>
  </si>
  <si>
    <t>Total des compensations</t>
  </si>
  <si>
    <t>Total du financement</t>
  </si>
  <si>
    <t>Forfait pour la gestion du système</t>
  </si>
  <si>
    <t>Taux projeté</t>
  </si>
  <si>
    <t>Total effets accord</t>
  </si>
  <si>
    <t>Montant de la PCS avec le nouveau droit</t>
  </si>
  <si>
    <t>Impôts sur le revenu et la fortune</t>
  </si>
  <si>
    <t>Impôts sur le bénéfice et le capital, y compris compensation RFFA</t>
  </si>
  <si>
    <t>Recerche par commune</t>
  </si>
  <si>
    <t>Prise en charge</t>
  </si>
  <si>
    <t>Répartition solde après prélèvements conjoncturels et écrêtage</t>
  </si>
  <si>
    <t>Facturation aux communes délégatrices</t>
  </si>
  <si>
    <t>F a c t u r e   p o l i c i è r e</t>
  </si>
  <si>
    <t>Répartition du solde de la facture</t>
  </si>
  <si>
    <t>Total de la facture policière</t>
  </si>
  <si>
    <t>Recherche par commune</t>
  </si>
  <si>
    <t>Total net de la péréquation directe</t>
  </si>
  <si>
    <t>D-A</t>
  </si>
  <si>
    <t>À venir</t>
  </si>
  <si>
    <t>Facture
policière</t>
  </si>
  <si>
    <t>Solde</t>
  </si>
  <si>
    <t>Droits de mutation, gains immobiliers et successions</t>
  </si>
  <si>
    <t>Modifications de taxations antérieures</t>
  </si>
  <si>
    <t>Impôt sur la dépense</t>
  </si>
  <si>
    <t>PPR + PPF</t>
  </si>
  <si>
    <t>PMB + PMC</t>
  </si>
  <si>
    <t>PCS sans prélèvements conjoncturels</t>
  </si>
  <si>
    <t>Effort net sans dépenses thématiques et avec prélévements conjoncturels</t>
  </si>
  <si>
    <r>
      <t xml:space="preserve">Financement reçu pour les nouvelles tâches
</t>
    </r>
    <r>
      <rPr>
        <i/>
        <sz val="9"/>
        <color theme="0"/>
        <rFont val="Calibri"/>
        <family val="2"/>
        <scheme val="minor"/>
      </rPr>
      <t>(équivalent de 2 points d'impôt communaux)</t>
    </r>
  </si>
  <si>
    <r>
      <t xml:space="preserve">Facturation aux communes délégatrices 
</t>
    </r>
    <r>
      <rPr>
        <i/>
        <sz val="9"/>
        <color theme="0"/>
        <rFont val="Calibri"/>
        <family val="2"/>
        <scheme val="minor"/>
      </rPr>
      <t>(au maximum l'équivalent de 2 points d'impôt communaux)</t>
    </r>
  </si>
  <si>
    <t>Routes et infrastructures</t>
  </si>
  <si>
    <r>
      <t xml:space="preserve">
</t>
    </r>
    <r>
      <rPr>
        <sz val="8"/>
        <rFont val="Calibri"/>
        <family val="2"/>
        <scheme val="minor"/>
      </rPr>
      <t>*montants selon le fichier des acomptes initiaux adoptés par la COPAR. Ne tient pas compte des arrangements survenus en cours d'année. Les factures, respectivement les remboursements, seront gérés par les services concernés, à savoir :
- pour la péréquation indirecte, par le Département de la santé et de l'action sociale (DSAS) ;
- pour la péréquation directe, par la Direction générale des affaires institutionnelles et des communes (DGAIC);
- pour la facture policière, par la police cantonale (PolCant).</t>
    </r>
  </si>
  <si>
    <r>
      <rPr>
        <b/>
        <sz val="8"/>
        <rFont val="Calibri"/>
        <family val="2"/>
        <scheme val="minor"/>
      </rPr>
      <t xml:space="preserve">Suivi des modifications législatives depuis 2017
</t>
    </r>
    <r>
      <rPr>
        <sz val="8"/>
        <rFont val="Calibri"/>
        <family val="2"/>
        <scheme val="minor"/>
      </rPr>
      <t xml:space="preserve">
</t>
    </r>
    <r>
      <rPr>
        <b/>
        <sz val="8"/>
        <rFont val="Calibri"/>
        <family val="2"/>
        <scheme val="minor"/>
      </rPr>
      <t>2017</t>
    </r>
    <r>
      <rPr>
        <sz val="8"/>
        <rFont val="Calibri"/>
        <family val="2"/>
        <scheme val="minor"/>
      </rPr>
      <t xml:space="preserve">: point d'impôt écrêté à 65% et plafond de l'aide augmenté de 5 à 6,5 points.
</t>
    </r>
    <r>
      <rPr>
        <b/>
        <sz val="8"/>
        <rFont val="Calibri"/>
        <family val="2"/>
        <scheme val="minor"/>
      </rPr>
      <t>2018</t>
    </r>
    <r>
      <rPr>
        <sz val="8"/>
        <rFont val="Calibri"/>
        <family val="2"/>
        <scheme val="minor"/>
      </rPr>
      <t xml:space="preserve">: point d'impôt écrêté à 50% et plafond de l'effort provvisoirement fixé à 45 points (2018-2019)
</t>
    </r>
    <r>
      <rPr>
        <b/>
        <sz val="8"/>
        <rFont val="Calibri"/>
        <family val="2"/>
        <scheme val="minor"/>
      </rPr>
      <t>Dès 2019</t>
    </r>
    <r>
      <rPr>
        <sz val="8"/>
        <rFont val="Calibri"/>
        <family val="2"/>
        <scheme val="minor"/>
      </rPr>
      <t xml:space="preserve">: plafond de l'aide augmenté à 8 points, abandon du point d'impôt écrêté, nouveau palier d'écrêtage entre 100% et 120%, diminution de 6 points pour les autres paliers d'écrêtage, augmentation à CHF 125.- de la première tranche de la couche population, augmentation de 4 à 4,5 points du plafond global pour les dépenses thématiques.
</t>
    </r>
    <r>
      <rPr>
        <b/>
        <sz val="8"/>
        <rFont val="Calibri"/>
        <family val="2"/>
        <scheme val="minor"/>
      </rPr>
      <t>Dès 2020</t>
    </r>
    <r>
      <rPr>
        <sz val="8"/>
        <rFont val="Calibri"/>
        <family val="2"/>
        <scheme val="minor"/>
      </rPr>
      <t xml:space="preserve">: Compensation RFFA répartie en fonction du rendements des impôts PM. Exclusion du montant du prélèvement sur les impôts conjoncturels du calcul de l'effort péréquatif. Plafond de l'effort provvisoirement fixé à 48 points (2020-2021).
</t>
    </r>
    <r>
      <rPr>
        <b/>
        <sz val="8"/>
        <rFont val="Calibri"/>
        <family val="2"/>
        <scheme val="minor"/>
      </rPr>
      <t>2021</t>
    </r>
    <r>
      <rPr>
        <sz val="8"/>
        <rFont val="Calibri"/>
        <family val="2"/>
        <scheme val="minor"/>
      </rPr>
      <t xml:space="preserve">: déduction forfaitaire de CHF 25 millions au montant de la PCS (art. 19a LOF)
</t>
    </r>
    <r>
      <rPr>
        <b/>
        <sz val="8"/>
        <rFont val="Calibri"/>
        <family val="2"/>
        <scheme val="minor"/>
      </rPr>
      <t>Dès 2022</t>
    </r>
    <r>
      <rPr>
        <sz val="8"/>
        <rFont val="Calibri"/>
        <family val="2"/>
        <scheme val="minor"/>
      </rPr>
      <t>: reconduction du plafond de l'effort provvisoire à 48 points (2022-2023), reprise par l'Etat de certaines dépenses sociales incluses jusqu'ici dans la PCS et application de la déduction forfaitaire complémentaire à la PCS prévue par l'art. 19a LOF.</t>
    </r>
  </si>
  <si>
    <t>PCS - Détail écrêtage</t>
  </si>
  <si>
    <t>Détail écrêtage</t>
  </si>
  <si>
    <t>La participation à la cohésion sociale (PCS) est une facture cantonale faisant participer les communes au financement des dépenses engagées par le canton en faveur des couches les plus fragiles de la population. Elle est financée en trois étapes (prélèvements conjoncturels, écrêtage et répartition du solde en fonction de la valeur du point d'impôt).</t>
  </si>
  <si>
    <t>La méthode de calcul de l'écrêtage étant particulièrement élaborée, elle fait l'objet d'un onglet de calcul à part.</t>
  </si>
  <si>
    <t>Le fonds de péréquation intercommunal comprend trois couches de subventionnement et trois plafonds. Les montants versés sont financés par les communes proportionnellement à la valeur des leurs points d'impôt péréquatifs.</t>
  </si>
  <si>
    <t>Dépenses thématiques (DT)</t>
  </si>
  <si>
    <t>Solidarité</t>
  </si>
  <si>
    <t>Répartition entre les communes du coût des missions générales de police (MGP) accomplies par la police cantonale.</t>
  </si>
  <si>
    <t>Synthèse des transferts générés par chaque composante du système de péréquation.</t>
  </si>
  <si>
    <t>Compensation 
dépenses thématiques</t>
  </si>
  <si>
    <t>Fonds de péréquation intercommunal
(ou péréquation directe)</t>
  </si>
  <si>
    <t>Paramètres</t>
  </si>
  <si>
    <t>Différences entre le décompte et les acomptes déjà versés (pertinent uniquement dans le fichier avec le décompte).</t>
  </si>
  <si>
    <t>Plafonds (effort, aide et taux)</t>
  </si>
  <si>
    <t>Montant nécessaire pour financer le total des plafonnements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</si>
</sst>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_ ;\-#,##0\ "/>
    <numFmt numFmtId="181" formatCode="#,##0.00_ ;\-#,##0.00\ "/>
    <numFmt numFmtId="182" formatCode="_-* #,##0.000_-;\-* #,##0.000_-;_-* &quot;-&quot;??_-;_-@_-"/>
    <numFmt numFmtId="183" formatCode="0.0"/>
  </numFmts>
  <fonts count="80"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u/>
      <sz val="10"/>
      <color theme="10"/>
      <name val="Verdana"/>
      <family val="2"/>
    </font>
    <font>
      <b/>
      <sz val="10"/>
      <name val="Verdana"/>
      <family val="2"/>
    </font>
    <font>
      <b/>
      <sz val="16"/>
      <name val="Verdana"/>
      <family val="2"/>
    </font>
    <font>
      <b/>
      <sz val="20"/>
      <name val="Calibri"/>
      <family val="2"/>
      <scheme val="minor"/>
    </font>
    <font>
      <sz val="11"/>
      <color rgb="FF0070C0"/>
      <name val="Calibri"/>
      <family val="2"/>
      <scheme val="minor"/>
    </font>
    <font>
      <sz val="12"/>
      <name val="Calibri"/>
      <family val="2"/>
      <scheme val="minor"/>
    </font>
    <font>
      <sz val="9"/>
      <color indexed="81"/>
      <name val="Tahoma"/>
      <family val="2"/>
    </font>
    <font>
      <i/>
      <sz val="9"/>
      <name val="Calibri"/>
      <family val="2"/>
      <scheme val="minor"/>
    </font>
    <font>
      <u/>
      <sz val="9"/>
      <color indexed="81"/>
      <name val="Tahoma"/>
      <family val="2"/>
    </font>
    <font>
      <i/>
      <sz val="9"/>
      <color theme="0"/>
      <name val="Calibri"/>
      <family val="2"/>
      <scheme val="minor"/>
    </font>
    <font>
      <b/>
      <sz val="8"/>
      <name val="Calibri"/>
      <family val="2"/>
      <scheme val="minor"/>
    </font>
    <font>
      <u/>
      <sz val="8"/>
      <color theme="10"/>
      <name val="Verdana"/>
      <family val="2"/>
    </font>
  </fonts>
  <fills count="4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rgb="FFC0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79998168889431442"/>
        <bgColor indexed="64"/>
      </patternFill>
    </fill>
  </fills>
  <borders count="34">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rgb="FFC00000"/>
      </left>
      <right style="thin">
        <color rgb="FFC00000"/>
      </right>
      <top style="thin">
        <color rgb="FFC00000"/>
      </top>
      <bottom/>
      <diagonal/>
    </border>
  </borders>
  <cellStyleXfs count="669">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6" fillId="0" borderId="0" applyFont="0" applyFill="0" applyBorder="0" applyAlignment="0" applyProtection="0"/>
    <xf numFmtId="0" fontId="36" fillId="0" borderId="0"/>
    <xf numFmtId="165" fontId="16" fillId="0" borderId="0" applyFont="0" applyFill="0" applyBorder="0" applyAlignment="0" applyProtection="0"/>
    <xf numFmtId="0" fontId="16" fillId="0" borderId="0"/>
    <xf numFmtId="0" fontId="18"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0" fillId="0" borderId="0" applyFont="0" applyFill="0" applyBorder="0" applyAlignment="0" applyProtection="0"/>
    <xf numFmtId="0" fontId="15" fillId="0" borderId="0"/>
    <xf numFmtId="0" fontId="15" fillId="0" borderId="0"/>
    <xf numFmtId="0" fontId="15" fillId="0" borderId="0"/>
    <xf numFmtId="0" fontId="15" fillId="0" borderId="0"/>
    <xf numFmtId="0" fontId="20"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20" fillId="0" borderId="0"/>
    <xf numFmtId="0" fontId="20"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0" fillId="0" borderId="0"/>
    <xf numFmtId="165" fontId="10"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20"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3" fillId="0" borderId="5" applyBorder="0">
      <alignment horizontal="center" textRotation="90"/>
    </xf>
    <xf numFmtId="0" fontId="44" fillId="0" borderId="0"/>
    <xf numFmtId="0" fontId="4"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4" fillId="0" borderId="0" applyFont="0" applyFill="0" applyBorder="0" applyAlignment="0" applyProtection="0"/>
    <xf numFmtId="0" fontId="4" fillId="0" borderId="0"/>
    <xf numFmtId="9" fontId="18"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20" fillId="0" borderId="0"/>
    <xf numFmtId="0" fontId="45" fillId="0" borderId="0">
      <alignment vertical="top"/>
    </xf>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0" borderId="0" applyNumberFormat="0" applyFill="0" applyBorder="0" applyAlignment="0" applyProtection="0"/>
    <xf numFmtId="0" fontId="49" fillId="27" borderId="18" applyNumberFormat="0" applyAlignment="0" applyProtection="0"/>
    <xf numFmtId="0" fontId="50" fillId="0" borderId="19" applyNumberFormat="0" applyFill="0" applyAlignment="0" applyProtection="0"/>
    <xf numFmtId="0" fontId="51" fillId="14" borderId="18" applyNumberFormat="0" applyAlignment="0" applyProtection="0"/>
    <xf numFmtId="0" fontId="52" fillId="10" borderId="0" applyNumberFormat="0" applyBorder="0" applyAlignment="0" applyProtection="0"/>
    <xf numFmtId="165" fontId="22" fillId="0" borderId="0" applyFont="0" applyFill="0" applyBorder="0" applyAlignment="0" applyProtection="0">
      <alignment vertical="top"/>
    </xf>
    <xf numFmtId="0" fontId="53" fillId="28" borderId="0" applyNumberFormat="0" applyBorder="0" applyAlignment="0" applyProtection="0"/>
    <xf numFmtId="0" fontId="25" fillId="0" borderId="0"/>
    <xf numFmtId="0" fontId="54" fillId="11" borderId="0" applyNumberFormat="0" applyBorder="0" applyAlignment="0" applyProtection="0"/>
    <xf numFmtId="0" fontId="55" fillId="27"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1" applyNumberFormat="0" applyFill="0" applyAlignment="0" applyProtection="0"/>
    <xf numFmtId="0" fontId="59" fillId="0" borderId="22" applyNumberFormat="0" applyFill="0" applyAlignment="0" applyProtection="0"/>
    <xf numFmtId="0" fontId="60" fillId="0" borderId="23" applyNumberFormat="0" applyFill="0" applyAlignment="0" applyProtection="0"/>
    <xf numFmtId="0" fontId="60" fillId="0" borderId="0" applyNumberFormat="0" applyFill="0" applyBorder="0" applyAlignment="0" applyProtection="0"/>
    <xf numFmtId="0" fontId="61" fillId="0" borderId="24" applyNumberFormat="0" applyFill="0" applyAlignment="0" applyProtection="0"/>
    <xf numFmtId="0" fontId="62" fillId="29" borderId="25" applyNumberFormat="0" applyAlignment="0" applyProtection="0"/>
    <xf numFmtId="0" fontId="4" fillId="0" borderId="0"/>
    <xf numFmtId="165" fontId="4" fillId="0" borderId="0" applyFont="0" applyFill="0" applyBorder="0" applyAlignment="0" applyProtection="0"/>
    <xf numFmtId="0" fontId="23" fillId="0" borderId="26"/>
    <xf numFmtId="0" fontId="23" fillId="0" borderId="27">
      <alignment vertical="top"/>
    </xf>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68" fillId="0" borderId="0" applyNumberFormat="0" applyFill="0" applyBorder="0" applyAlignment="0" applyProtection="0"/>
  </cellStyleXfs>
  <cellXfs count="674">
    <xf numFmtId="0" fontId="0" fillId="0" borderId="0" xfId="0"/>
    <xf numFmtId="175" fontId="28" fillId="0" borderId="0" xfId="4" applyNumberFormat="1" applyFont="1" applyFill="1" applyBorder="1"/>
    <xf numFmtId="0" fontId="28" fillId="3" borderId="0" xfId="0" applyNumberFormat="1" applyFont="1" applyFill="1" applyAlignment="1">
      <alignment horizontal="left"/>
    </xf>
    <xf numFmtId="0" fontId="28" fillId="3" borderId="0" xfId="0" applyNumberFormat="1" applyFont="1" applyFill="1" applyAlignment="1">
      <alignment horizontal="center"/>
    </xf>
    <xf numFmtId="175" fontId="28" fillId="3" borderId="0" xfId="4" applyNumberFormat="1" applyFont="1" applyFill="1" applyAlignment="1">
      <alignment horizontal="center"/>
    </xf>
    <xf numFmtId="175" fontId="28" fillId="3" borderId="0" xfId="4" applyNumberFormat="1" applyFont="1" applyFill="1"/>
    <xf numFmtId="0" fontId="28" fillId="3" borderId="14" xfId="0" applyNumberFormat="1" applyFont="1" applyFill="1" applyBorder="1" applyAlignment="1">
      <alignment horizontal="center"/>
    </xf>
    <xf numFmtId="0" fontId="28" fillId="3" borderId="5" xfId="0" applyNumberFormat="1" applyFont="1" applyFill="1" applyBorder="1" applyAlignment="1">
      <alignment horizontal="center"/>
    </xf>
    <xf numFmtId="175" fontId="28" fillId="3" borderId="5" xfId="4" applyNumberFormat="1" applyFont="1" applyFill="1" applyBorder="1"/>
    <xf numFmtId="175" fontId="28" fillId="3" borderId="14" xfId="4" applyNumberFormat="1" applyFont="1" applyFill="1" applyBorder="1"/>
    <xf numFmtId="3" fontId="28" fillId="3" borderId="0" xfId="0" applyNumberFormat="1" applyFont="1" applyFill="1"/>
    <xf numFmtId="0" fontId="28" fillId="3" borderId="0" xfId="0" applyFont="1" applyFill="1"/>
    <xf numFmtId="175" fontId="28" fillId="3" borderId="0" xfId="4" applyNumberFormat="1" applyFont="1" applyFill="1" applyBorder="1"/>
    <xf numFmtId="43" fontId="28" fillId="3" borderId="0" xfId="4" applyFont="1" applyFill="1"/>
    <xf numFmtId="0" fontId="28" fillId="3" borderId="0" xfId="0" applyFont="1" applyFill="1" applyAlignment="1">
      <alignment vertical="top" wrapText="1"/>
    </xf>
    <xf numFmtId="43" fontId="28" fillId="3" borderId="0" xfId="0" applyNumberFormat="1" applyFont="1" applyFill="1"/>
    <xf numFmtId="175" fontId="28" fillId="3" borderId="3" xfId="4" applyNumberFormat="1" applyFont="1" applyFill="1" applyBorder="1"/>
    <xf numFmtId="43" fontId="28" fillId="3" borderId="14" xfId="4" applyFont="1" applyFill="1" applyBorder="1"/>
    <xf numFmtId="0" fontId="28" fillId="3" borderId="0" xfId="0" applyFont="1" applyFill="1" applyAlignment="1">
      <alignment horizontal="center"/>
    </xf>
    <xf numFmtId="166" fontId="28" fillId="3" borderId="17" xfId="0" applyNumberFormat="1" applyFont="1" applyFill="1" applyBorder="1" applyAlignment="1">
      <alignment horizontal="center"/>
    </xf>
    <xf numFmtId="0" fontId="30" fillId="3" borderId="0" xfId="0" applyNumberFormat="1" applyFont="1" applyFill="1" applyAlignment="1">
      <alignment horizontal="left"/>
    </xf>
    <xf numFmtId="0" fontId="30" fillId="3" borderId="0" xfId="0" applyNumberFormat="1" applyFont="1" applyFill="1" applyAlignment="1">
      <alignment horizontal="center"/>
    </xf>
    <xf numFmtId="0" fontId="29" fillId="3" borderId="0" xfId="0" applyFont="1" applyFill="1"/>
    <xf numFmtId="4" fontId="28" fillId="3" borderId="0" xfId="0" applyNumberFormat="1" applyFont="1" applyFill="1"/>
    <xf numFmtId="166" fontId="28" fillId="3" borderId="0" xfId="0" applyNumberFormat="1" applyFont="1" applyFill="1" applyAlignment="1">
      <alignment horizontal="left"/>
    </xf>
    <xf numFmtId="0" fontId="28" fillId="3" borderId="14" xfId="0" applyFont="1" applyFill="1" applyBorder="1"/>
    <xf numFmtId="175" fontId="28" fillId="3" borderId="11" xfId="4" applyNumberFormat="1" applyFont="1" applyFill="1" applyBorder="1"/>
    <xf numFmtId="3" fontId="28" fillId="3" borderId="5" xfId="0" applyNumberFormat="1" applyFont="1" applyFill="1" applyBorder="1"/>
    <xf numFmtId="43" fontId="28" fillId="3" borderId="5" xfId="4" applyFont="1" applyFill="1" applyBorder="1"/>
    <xf numFmtId="175" fontId="28" fillId="3" borderId="0" xfId="0" applyNumberFormat="1" applyFont="1" applyFill="1"/>
    <xf numFmtId="175" fontId="28" fillId="4" borderId="14" xfId="4" applyNumberFormat="1" applyFont="1" applyFill="1" applyBorder="1"/>
    <xf numFmtId="175" fontId="28" fillId="3" borderId="9" xfId="4" applyNumberFormat="1" applyFont="1" applyFill="1" applyBorder="1"/>
    <xf numFmtId="3" fontId="28" fillId="3" borderId="0" xfId="11" applyNumberFormat="1" applyFont="1" applyFill="1" applyAlignment="1">
      <alignment vertical="center"/>
    </xf>
    <xf numFmtId="0" fontId="28" fillId="3" borderId="0" xfId="11" applyFont="1" applyFill="1" applyAlignment="1">
      <alignment vertical="center"/>
    </xf>
    <xf numFmtId="175" fontId="28" fillId="3" borderId="0" xfId="4" applyNumberFormat="1" applyFont="1" applyFill="1" applyAlignment="1">
      <alignment vertical="center"/>
    </xf>
    <xf numFmtId="0" fontId="28" fillId="3" borderId="0" xfId="0" applyFont="1" applyFill="1" applyBorder="1"/>
    <xf numFmtId="0" fontId="28" fillId="3" borderId="4" xfId="0" applyFont="1" applyFill="1" applyBorder="1" applyAlignment="1">
      <alignment horizontal="center"/>
    </xf>
    <xf numFmtId="0" fontId="28" fillId="3" borderId="0" xfId="0" quotePrefix="1" applyFont="1" applyFill="1"/>
    <xf numFmtId="0" fontId="28" fillId="3" borderId="5" xfId="0" applyFont="1" applyFill="1" applyBorder="1" applyAlignment="1">
      <alignment horizontal="center"/>
    </xf>
    <xf numFmtId="0" fontId="28" fillId="3" borderId="3" xfId="0" applyFont="1" applyFill="1" applyBorder="1" applyAlignment="1">
      <alignment horizontal="center"/>
    </xf>
    <xf numFmtId="0" fontId="29" fillId="3" borderId="0" xfId="11" applyFont="1" applyFill="1"/>
    <xf numFmtId="175" fontId="28" fillId="3" borderId="4" xfId="4" applyNumberFormat="1" applyFont="1" applyFill="1" applyBorder="1"/>
    <xf numFmtId="175" fontId="28" fillId="4" borderId="5" xfId="4" applyNumberFormat="1" applyFont="1" applyFill="1" applyBorder="1"/>
    <xf numFmtId="0" fontId="28" fillId="3" borderId="0" xfId="11" applyFont="1" applyFill="1" applyBorder="1" applyAlignment="1">
      <alignment vertical="center"/>
    </xf>
    <xf numFmtId="10" fontId="28" fillId="3" borderId="0" xfId="12" applyNumberFormat="1" applyFont="1" applyFill="1" applyAlignment="1">
      <alignment vertical="center"/>
    </xf>
    <xf numFmtId="10" fontId="28" fillId="3" borderId="0" xfId="12" applyNumberFormat="1" applyFont="1" applyFill="1"/>
    <xf numFmtId="4" fontId="28" fillId="3" borderId="14" xfId="0" applyNumberFormat="1" applyFont="1" applyFill="1" applyBorder="1"/>
    <xf numFmtId="10" fontId="28" fillId="3" borderId="14" xfId="12" applyNumberFormat="1" applyFont="1" applyFill="1" applyBorder="1"/>
    <xf numFmtId="0" fontId="27" fillId="5" borderId="14" xfId="0" applyFont="1" applyFill="1" applyBorder="1" applyAlignment="1">
      <alignment horizontal="center" vertical="center" wrapText="1"/>
    </xf>
    <xf numFmtId="169" fontId="28" fillId="3" borderId="0" xfId="11" applyNumberFormat="1" applyFont="1" applyFill="1" applyAlignment="1">
      <alignment vertical="center"/>
    </xf>
    <xf numFmtId="175" fontId="28" fillId="3" borderId="15" xfId="4" applyNumberFormat="1" applyFont="1" applyFill="1" applyBorder="1"/>
    <xf numFmtId="175" fontId="28" fillId="3" borderId="16" xfId="4" applyNumberFormat="1" applyFont="1" applyFill="1" applyBorder="1"/>
    <xf numFmtId="170" fontId="28" fillId="3" borderId="0" xfId="0" applyNumberFormat="1" applyFont="1" applyFill="1"/>
    <xf numFmtId="0" fontId="28" fillId="3" borderId="0" xfId="0" applyFont="1" applyFill="1" applyAlignment="1">
      <alignment vertical="top"/>
    </xf>
    <xf numFmtId="3" fontId="28" fillId="3" borderId="0" xfId="0" applyNumberFormat="1" applyFont="1" applyFill="1" applyAlignment="1">
      <alignment vertical="top"/>
    </xf>
    <xf numFmtId="3" fontId="28" fillId="3" borderId="0" xfId="0" applyNumberFormat="1" applyFont="1" applyFill="1" applyBorder="1" applyAlignment="1">
      <alignment vertical="top" wrapText="1"/>
    </xf>
    <xf numFmtId="0" fontId="28" fillId="3" borderId="14" xfId="0" applyFont="1" applyFill="1" applyBorder="1" applyAlignment="1">
      <alignment horizontal="center"/>
    </xf>
    <xf numFmtId="173" fontId="28" fillId="3" borderId="0" xfId="0" applyNumberFormat="1" applyFont="1" applyFill="1" applyAlignment="1">
      <alignment vertical="top"/>
    </xf>
    <xf numFmtId="175" fontId="28" fillId="3" borderId="12" xfId="4" applyNumberFormat="1" applyFont="1" applyFill="1" applyBorder="1"/>
    <xf numFmtId="43" fontId="28" fillId="3" borderId="4" xfId="4" applyFont="1" applyFill="1" applyBorder="1"/>
    <xf numFmtId="169" fontId="28" fillId="3" borderId="0" xfId="0" applyNumberFormat="1" applyFont="1" applyFill="1"/>
    <xf numFmtId="3" fontId="28" fillId="3" borderId="14" xfId="12" applyNumberFormat="1" applyFont="1" applyFill="1" applyBorder="1"/>
    <xf numFmtId="43" fontId="28" fillId="3" borderId="14" xfId="4" applyNumberFormat="1" applyFont="1" applyFill="1" applyBorder="1"/>
    <xf numFmtId="175" fontId="28" fillId="7" borderId="14" xfId="4" applyNumberFormat="1" applyFont="1" applyFill="1" applyBorder="1"/>
    <xf numFmtId="175" fontId="28" fillId="4" borderId="4" xfId="4" applyNumberFormat="1" applyFont="1" applyFill="1" applyBorder="1"/>
    <xf numFmtId="175" fontId="28" fillId="4" borderId="3" xfId="4" applyNumberFormat="1" applyFont="1" applyFill="1" applyBorder="1"/>
    <xf numFmtId="3" fontId="27" fillId="5" borderId="4" xfId="0" applyNumberFormat="1" applyFont="1" applyFill="1" applyBorder="1"/>
    <xf numFmtId="0" fontId="27" fillId="5" borderId="0" xfId="0" applyFont="1" applyFill="1"/>
    <xf numFmtId="0" fontId="28" fillId="3" borderId="8" xfId="0" applyFont="1" applyFill="1" applyBorder="1" applyAlignment="1">
      <alignment horizontal="center"/>
    </xf>
    <xf numFmtId="0" fontId="27" fillId="5" borderId="3" xfId="0" applyFont="1" applyFill="1" applyBorder="1" applyAlignment="1">
      <alignment horizontal="center"/>
    </xf>
    <xf numFmtId="175" fontId="28" fillId="3" borderId="13" xfId="4" applyNumberFormat="1" applyFont="1" applyFill="1" applyBorder="1"/>
    <xf numFmtId="2" fontId="28" fillId="3" borderId="0" xfId="0" applyNumberFormat="1" applyFont="1" applyFill="1"/>
    <xf numFmtId="175" fontId="28" fillId="4" borderId="11" xfId="4" applyNumberFormat="1" applyFont="1" applyFill="1" applyBorder="1"/>
    <xf numFmtId="171" fontId="28" fillId="3" borderId="0" xfId="0" applyNumberFormat="1" applyFont="1" applyFill="1"/>
    <xf numFmtId="166" fontId="28" fillId="3" borderId="14" xfId="0" applyNumberFormat="1" applyFont="1" applyFill="1" applyBorder="1" applyAlignment="1">
      <alignment horizontal="center"/>
    </xf>
    <xf numFmtId="175" fontId="28" fillId="3" borderId="7" xfId="4" applyNumberFormat="1" applyFont="1" applyFill="1" applyBorder="1"/>
    <xf numFmtId="0" fontId="27" fillId="5" borderId="17" xfId="0" applyFont="1" applyFill="1" applyBorder="1"/>
    <xf numFmtId="0" fontId="27" fillId="5" borderId="6" xfId="0" applyFont="1" applyFill="1" applyBorder="1"/>
    <xf numFmtId="0" fontId="27" fillId="5" borderId="14" xfId="0" applyFont="1" applyFill="1" applyBorder="1" applyAlignment="1">
      <alignment horizontal="center"/>
    </xf>
    <xf numFmtId="43" fontId="28" fillId="3" borderId="0" xfId="4" applyFont="1" applyFill="1" applyBorder="1" applyAlignment="1">
      <alignment vertical="center"/>
    </xf>
    <xf numFmtId="43" fontId="28" fillId="3" borderId="0" xfId="4" applyFont="1" applyFill="1" applyAlignment="1">
      <alignment vertical="center"/>
    </xf>
    <xf numFmtId="172" fontId="28" fillId="3" borderId="0" xfId="0" applyNumberFormat="1" applyFont="1" applyFill="1"/>
    <xf numFmtId="167" fontId="28" fillId="3" borderId="12" xfId="0" applyNumberFormat="1" applyFont="1" applyFill="1" applyBorder="1"/>
    <xf numFmtId="167" fontId="28" fillId="3" borderId="11" xfId="0" applyNumberFormat="1" applyFont="1" applyFill="1" applyBorder="1"/>
    <xf numFmtId="167" fontId="28" fillId="3" borderId="13" xfId="0" applyNumberFormat="1" applyFont="1" applyFill="1" applyBorder="1"/>
    <xf numFmtId="0" fontId="32" fillId="3" borderId="0" xfId="0" applyFont="1" applyFill="1"/>
    <xf numFmtId="0" fontId="33" fillId="3" borderId="5" xfId="0" applyFont="1" applyFill="1" applyBorder="1" applyAlignment="1">
      <alignment horizontal="center"/>
    </xf>
    <xf numFmtId="0" fontId="33" fillId="3" borderId="0" xfId="0" applyFont="1" applyFill="1"/>
    <xf numFmtId="0" fontId="28" fillId="7" borderId="0" xfId="0" applyFont="1" applyFill="1"/>
    <xf numFmtId="0" fontId="28" fillId="7" borderId="0" xfId="0" applyFont="1" applyFill="1" applyBorder="1"/>
    <xf numFmtId="0" fontId="29" fillId="7" borderId="0" xfId="0" applyFont="1" applyFill="1"/>
    <xf numFmtId="174" fontId="28" fillId="7" borderId="0" xfId="0" applyNumberFormat="1" applyFont="1" applyFill="1" applyBorder="1"/>
    <xf numFmtId="3" fontId="28" fillId="7" borderId="0" xfId="0" applyNumberFormat="1" applyFont="1" applyFill="1"/>
    <xf numFmtId="2" fontId="28" fillId="7" borderId="0" xfId="0" applyNumberFormat="1" applyFont="1" applyFill="1"/>
    <xf numFmtId="9" fontId="28" fillId="7" borderId="0" xfId="0" applyNumberFormat="1" applyFont="1" applyFill="1" applyBorder="1" applyAlignment="1">
      <alignment horizontal="center" vertical="top" wrapText="1"/>
    </xf>
    <xf numFmtId="2" fontId="28" fillId="7" borderId="0" xfId="0" applyNumberFormat="1" applyFont="1" applyFill="1" applyBorder="1" applyAlignment="1">
      <alignment horizontal="center"/>
    </xf>
    <xf numFmtId="10" fontId="28" fillId="7" borderId="14" xfId="0" applyNumberFormat="1" applyFont="1" applyFill="1" applyBorder="1" applyAlignment="1">
      <alignment horizontal="center" vertical="top" wrapText="1"/>
    </xf>
    <xf numFmtId="170" fontId="28" fillId="7" borderId="0" xfId="0" applyNumberFormat="1" applyFont="1" applyFill="1" applyBorder="1"/>
    <xf numFmtId="3" fontId="28" fillId="7" borderId="0" xfId="0" applyNumberFormat="1" applyFont="1" applyFill="1" applyBorder="1"/>
    <xf numFmtId="43" fontId="28" fillId="7" borderId="0" xfId="4" applyFont="1" applyFill="1" applyBorder="1"/>
    <xf numFmtId="0" fontId="28" fillId="7" borderId="14" xfId="0" applyFont="1" applyFill="1" applyBorder="1"/>
    <xf numFmtId="43" fontId="28" fillId="7" borderId="14" xfId="4" applyFont="1" applyFill="1" applyBorder="1"/>
    <xf numFmtId="0" fontId="28" fillId="7" borderId="0" xfId="0" applyFont="1" applyFill="1" applyAlignment="1">
      <alignment vertical="top"/>
    </xf>
    <xf numFmtId="0" fontId="30" fillId="7" borderId="0" xfId="0" applyFont="1" applyFill="1"/>
    <xf numFmtId="14" fontId="28" fillId="6" borderId="14" xfId="0" applyNumberFormat="1" applyFont="1" applyFill="1" applyBorder="1" applyAlignment="1">
      <alignment horizontal="center"/>
    </xf>
    <xf numFmtId="9" fontId="28" fillId="6" borderId="14" xfId="0" applyNumberFormat="1" applyFont="1" applyFill="1" applyBorder="1" applyAlignment="1">
      <alignment horizontal="center" vertical="top" wrapText="1"/>
    </xf>
    <xf numFmtId="10" fontId="28" fillId="6" borderId="14" xfId="0" applyNumberFormat="1" applyFont="1" applyFill="1" applyBorder="1" applyAlignment="1">
      <alignment horizontal="center"/>
    </xf>
    <xf numFmtId="0" fontId="28" fillId="7" borderId="0" xfId="0" applyFont="1" applyFill="1" applyBorder="1" applyAlignment="1"/>
    <xf numFmtId="0" fontId="28" fillId="7" borderId="0" xfId="0" applyFont="1" applyFill="1" applyBorder="1" applyAlignment="1">
      <alignment horizontal="left" vertical="top"/>
    </xf>
    <xf numFmtId="0" fontId="28" fillId="7" borderId="0" xfId="0" applyFont="1" applyFill="1" applyBorder="1" applyAlignment="1">
      <alignment horizontal="left"/>
    </xf>
    <xf numFmtId="3" fontId="28" fillId="6" borderId="14" xfId="0" applyNumberFormat="1" applyFont="1" applyFill="1" applyBorder="1"/>
    <xf numFmtId="3" fontId="28" fillId="7" borderId="14" xfId="0" applyNumberFormat="1" applyFont="1" applyFill="1" applyBorder="1"/>
    <xf numFmtId="3" fontId="28" fillId="7" borderId="14" xfId="0" applyNumberFormat="1" applyFont="1" applyFill="1" applyBorder="1" applyAlignment="1">
      <alignment horizontal="center"/>
    </xf>
    <xf numFmtId="9" fontId="28" fillId="6" borderId="14" xfId="0" applyNumberFormat="1" applyFont="1" applyFill="1" applyBorder="1" applyAlignment="1">
      <alignment horizontal="center"/>
    </xf>
    <xf numFmtId="0" fontId="28" fillId="6" borderId="14" xfId="0" applyFont="1" applyFill="1" applyBorder="1" applyAlignment="1">
      <alignment horizontal="center" vertical="top" wrapText="1"/>
    </xf>
    <xf numFmtId="0" fontId="28" fillId="7" borderId="4" xfId="0" applyFont="1" applyFill="1" applyBorder="1" applyAlignment="1">
      <alignment horizontal="center" vertical="center" wrapText="1"/>
    </xf>
    <xf numFmtId="176" fontId="28" fillId="7" borderId="14" xfId="4" applyNumberFormat="1" applyFont="1" applyFill="1" applyBorder="1"/>
    <xf numFmtId="0" fontId="30" fillId="7" borderId="0" xfId="0" applyFont="1" applyFill="1" applyBorder="1"/>
    <xf numFmtId="4" fontId="28" fillId="3" borderId="0" xfId="0" applyNumberFormat="1" applyFont="1" applyFill="1" applyBorder="1"/>
    <xf numFmtId="175" fontId="28" fillId="7" borderId="0" xfId="4" applyNumberFormat="1" applyFont="1" applyFill="1"/>
    <xf numFmtId="0" fontId="34" fillId="7" borderId="0" xfId="0" applyFont="1" applyFill="1"/>
    <xf numFmtId="175" fontId="34" fillId="7" borderId="0" xfId="4" applyNumberFormat="1" applyFont="1" applyFill="1"/>
    <xf numFmtId="175" fontId="27" fillId="5" borderId="0" xfId="4" applyNumberFormat="1" applyFont="1" applyFill="1"/>
    <xf numFmtId="0" fontId="34" fillId="7" borderId="0" xfId="0" applyFont="1" applyFill="1" applyAlignment="1">
      <alignment horizontal="right"/>
    </xf>
    <xf numFmtId="169" fontId="31" fillId="3" borderId="0" xfId="11" applyNumberFormat="1" applyFont="1" applyFill="1" applyBorder="1" applyAlignment="1">
      <alignment vertical="center"/>
    </xf>
    <xf numFmtId="176" fontId="28" fillId="3" borderId="0" xfId="14" applyNumberFormat="1" applyFont="1" applyFill="1" applyBorder="1" applyAlignment="1">
      <alignment vertical="center"/>
    </xf>
    <xf numFmtId="0" fontId="29" fillId="3" borderId="0" xfId="11" applyFont="1" applyFill="1" applyBorder="1"/>
    <xf numFmtId="176" fontId="29" fillId="3" borderId="0" xfId="14" applyNumberFormat="1" applyFont="1" applyFill="1" applyBorder="1"/>
    <xf numFmtId="0" fontId="28" fillId="3" borderId="0" xfId="15" applyFont="1" applyFill="1"/>
    <xf numFmtId="0" fontId="28" fillId="3" borderId="0" xfId="15" applyFont="1" applyFill="1" applyBorder="1"/>
    <xf numFmtId="176" fontId="28" fillId="3" borderId="0" xfId="14" applyNumberFormat="1" applyFont="1" applyFill="1" applyBorder="1"/>
    <xf numFmtId="165" fontId="28" fillId="3" borderId="5" xfId="14" applyFont="1" applyFill="1" applyBorder="1"/>
    <xf numFmtId="176" fontId="17" fillId="3" borderId="0" xfId="14" applyNumberFormat="1" applyFont="1" applyFill="1" applyBorder="1" applyAlignment="1">
      <alignment horizontal="left"/>
    </xf>
    <xf numFmtId="3" fontId="17" fillId="3" borderId="0" xfId="15" applyNumberFormat="1" applyFont="1" applyFill="1" applyBorder="1" applyAlignment="1">
      <alignment horizontal="right"/>
    </xf>
    <xf numFmtId="176" fontId="28" fillId="3" borderId="0" xfId="15" applyNumberFormat="1" applyFont="1" applyFill="1" applyBorder="1"/>
    <xf numFmtId="3" fontId="28" fillId="3" borderId="0" xfId="15" applyNumberFormat="1" applyFont="1" applyFill="1"/>
    <xf numFmtId="0" fontId="27" fillId="3" borderId="0" xfId="15" applyFont="1" applyFill="1" applyBorder="1" applyAlignment="1">
      <alignment vertical="center"/>
    </xf>
    <xf numFmtId="176" fontId="27" fillId="3" borderId="0" xfId="14" applyNumberFormat="1" applyFont="1" applyFill="1" applyBorder="1" applyAlignment="1">
      <alignment horizontal="center" vertical="center" wrapText="1"/>
    </xf>
    <xf numFmtId="176" fontId="27" fillId="3" borderId="0" xfId="14" applyNumberFormat="1" applyFont="1" applyFill="1" applyBorder="1" applyAlignment="1">
      <alignment vertical="center"/>
    </xf>
    <xf numFmtId="0" fontId="27" fillId="3" borderId="0" xfId="15" applyFont="1" applyFill="1" applyAlignment="1">
      <alignment vertical="center"/>
    </xf>
    <xf numFmtId="175" fontId="28" fillId="3" borderId="14" xfId="4" applyNumberFormat="1" applyFont="1" applyFill="1" applyBorder="1" applyAlignment="1">
      <alignment horizontal="center"/>
    </xf>
    <xf numFmtId="175" fontId="28" fillId="6" borderId="14" xfId="4" applyNumberFormat="1" applyFont="1" applyFill="1" applyBorder="1"/>
    <xf numFmtId="0" fontId="38" fillId="5" borderId="0" xfId="0" applyFont="1" applyFill="1"/>
    <xf numFmtId="175" fontId="28" fillId="3" borderId="0" xfId="15" applyNumberFormat="1" applyFont="1" applyFill="1"/>
    <xf numFmtId="175" fontId="28" fillId="3" borderId="3" xfId="4" applyNumberFormat="1" applyFont="1" applyFill="1" applyBorder="1" applyAlignment="1">
      <alignment horizontal="center"/>
    </xf>
    <xf numFmtId="175" fontId="28" fillId="7" borderId="0" xfId="4" applyNumberFormat="1" applyFont="1" applyFill="1" applyBorder="1"/>
    <xf numFmtId="43" fontId="28" fillId="6" borderId="14" xfId="4" applyFont="1" applyFill="1" applyBorder="1" applyAlignment="1">
      <alignment horizontal="center"/>
    </xf>
    <xf numFmtId="0" fontId="37" fillId="3" borderId="0" xfId="0" applyFont="1" applyFill="1"/>
    <xf numFmtId="175" fontId="37" fillId="3" borderId="0" xfId="4" applyNumberFormat="1" applyFont="1" applyFill="1"/>
    <xf numFmtId="0" fontId="37" fillId="7" borderId="0" xfId="0" applyFont="1" applyFill="1"/>
    <xf numFmtId="175" fontId="37" fillId="2" borderId="0" xfId="4" applyNumberFormat="1" applyFont="1" applyFill="1"/>
    <xf numFmtId="43" fontId="37" fillId="3" borderId="0" xfId="4" applyFont="1" applyFill="1"/>
    <xf numFmtId="175" fontId="37" fillId="3" borderId="16" xfId="4" applyNumberFormat="1" applyFont="1" applyFill="1" applyBorder="1"/>
    <xf numFmtId="175" fontId="39" fillId="3" borderId="0" xfId="4" applyNumberFormat="1" applyFont="1" applyFill="1"/>
    <xf numFmtId="0" fontId="39" fillId="3" borderId="0" xfId="0" applyFont="1" applyFill="1"/>
    <xf numFmtId="0" fontId="37" fillId="3" borderId="0" xfId="0" applyFont="1" applyFill="1" applyAlignment="1">
      <alignment horizontal="right"/>
    </xf>
    <xf numFmtId="0" fontId="37" fillId="3" borderId="0" xfId="0" applyFont="1" applyFill="1" applyAlignment="1">
      <alignment horizontal="left"/>
    </xf>
    <xf numFmtId="0" fontId="28" fillId="0" borderId="0" xfId="0" applyFont="1" applyFill="1"/>
    <xf numFmtId="10" fontId="28" fillId="7" borderId="3" xfId="12" applyNumberFormat="1" applyFont="1" applyFill="1" applyBorder="1"/>
    <xf numFmtId="2" fontId="28" fillId="7" borderId="14" xfId="0" applyNumberFormat="1" applyFont="1" applyFill="1" applyBorder="1" applyAlignment="1"/>
    <xf numFmtId="2" fontId="28" fillId="7" borderId="14" xfId="4" applyNumberFormat="1" applyFont="1" applyFill="1" applyBorder="1"/>
    <xf numFmtId="10" fontId="28" fillId="6" borderId="17" xfId="0" applyNumberFormat="1" applyFont="1" applyFill="1" applyBorder="1" applyAlignment="1">
      <alignment horizontal="center"/>
    </xf>
    <xf numFmtId="3" fontId="28" fillId="3" borderId="14" xfId="0" applyNumberFormat="1" applyFont="1" applyFill="1" applyBorder="1"/>
    <xf numFmtId="43" fontId="27" fillId="5" borderId="14" xfId="4" applyNumberFormat="1" applyFont="1" applyFill="1" applyBorder="1"/>
    <xf numFmtId="10" fontId="28" fillId="3" borderId="0" xfId="0" applyNumberFormat="1" applyFont="1" applyFill="1" applyBorder="1"/>
    <xf numFmtId="43" fontId="28" fillId="6" borderId="14" xfId="4" applyNumberFormat="1" applyFont="1" applyFill="1" applyBorder="1"/>
    <xf numFmtId="43" fontId="28" fillId="3" borderId="0" xfId="4" applyNumberFormat="1" applyFont="1" applyFill="1"/>
    <xf numFmtId="0" fontId="28" fillId="3" borderId="0" xfId="0" applyFont="1" applyFill="1" applyAlignment="1">
      <alignment vertical="center"/>
    </xf>
    <xf numFmtId="175" fontId="28" fillId="3" borderId="0" xfId="4" applyNumberFormat="1" applyFont="1" applyFill="1" applyBorder="1" applyAlignment="1">
      <alignment horizontal="center"/>
    </xf>
    <xf numFmtId="175" fontId="28" fillId="3" borderId="0" xfId="4" applyNumberFormat="1" applyFont="1" applyFill="1" applyBorder="1" applyAlignment="1">
      <alignment vertical="center"/>
    </xf>
    <xf numFmtId="9" fontId="28" fillId="6" borderId="14" xfId="12" applyFont="1" applyFill="1" applyBorder="1"/>
    <xf numFmtId="0" fontId="28" fillId="3" borderId="0" xfId="0" applyFont="1" applyFill="1" applyBorder="1" applyAlignment="1">
      <alignment horizontal="left"/>
    </xf>
    <xf numFmtId="3" fontId="28" fillId="3" borderId="0" xfId="0" applyNumberFormat="1" applyFont="1" applyFill="1" applyBorder="1"/>
    <xf numFmtId="0" fontId="28" fillId="3" borderId="9" xfId="0" applyFont="1" applyFill="1" applyBorder="1" applyAlignment="1">
      <alignment horizontal="center"/>
    </xf>
    <xf numFmtId="3" fontId="28" fillId="3" borderId="4" xfId="0" applyNumberFormat="1" applyFont="1" applyFill="1" applyBorder="1"/>
    <xf numFmtId="166" fontId="28" fillId="3" borderId="6" xfId="0" applyNumberFormat="1" applyFont="1" applyFill="1" applyBorder="1" applyAlignment="1">
      <alignment horizontal="center"/>
    </xf>
    <xf numFmtId="175" fontId="28" fillId="3" borderId="6" xfId="4" applyNumberFormat="1" applyFont="1" applyFill="1" applyBorder="1"/>
    <xf numFmtId="0" fontId="28" fillId="3" borderId="4" xfId="15" applyFont="1" applyFill="1" applyBorder="1" applyAlignment="1">
      <alignment horizontal="center"/>
    </xf>
    <xf numFmtId="0" fontId="28" fillId="3" borderId="5" xfId="15" applyFont="1" applyFill="1" applyBorder="1" applyAlignment="1">
      <alignment horizontal="center"/>
    </xf>
    <xf numFmtId="0" fontId="28" fillId="3" borderId="3" xfId="15" applyFont="1" applyFill="1" applyBorder="1" applyAlignment="1">
      <alignment horizontal="center"/>
    </xf>
    <xf numFmtId="3" fontId="33" fillId="3" borderId="0" xfId="12" applyNumberFormat="1" applyFont="1" applyFill="1" applyBorder="1"/>
    <xf numFmtId="0" fontId="28" fillId="7" borderId="0" xfId="0" applyFont="1" applyFill="1" applyBorder="1" applyAlignment="1">
      <alignment horizontal="right"/>
    </xf>
    <xf numFmtId="3" fontId="33" fillId="3" borderId="0" xfId="0" applyNumberFormat="1" applyFont="1" applyFill="1"/>
    <xf numFmtId="43" fontId="28" fillId="6" borderId="17" xfId="4" applyFont="1" applyFill="1" applyBorder="1"/>
    <xf numFmtId="175" fontId="37" fillId="3" borderId="0" xfId="4" applyNumberFormat="1" applyFont="1" applyFill="1" applyAlignment="1">
      <alignment horizontal="right"/>
    </xf>
    <xf numFmtId="43" fontId="28" fillId="3" borderId="0" xfId="4" applyFont="1" applyFill="1" applyAlignment="1">
      <alignment horizontal="center"/>
    </xf>
    <xf numFmtId="43" fontId="28" fillId="3" borderId="0" xfId="4" applyFont="1" applyFill="1" applyBorder="1" applyAlignment="1">
      <alignment horizontal="center"/>
    </xf>
    <xf numFmtId="43" fontId="28" fillId="3" borderId="0" xfId="4" applyFont="1" applyFill="1" applyBorder="1" applyAlignment="1">
      <alignment horizontal="left"/>
    </xf>
    <xf numFmtId="43" fontId="29" fillId="3" borderId="0" xfId="4" applyFont="1" applyFill="1"/>
    <xf numFmtId="43" fontId="28" fillId="3" borderId="0" xfId="4" applyFont="1" applyFill="1" applyAlignment="1">
      <alignment horizontal="center" vertical="top" wrapText="1"/>
    </xf>
    <xf numFmtId="43" fontId="28" fillId="0" borderId="0" xfId="4" applyFont="1" applyFill="1"/>
    <xf numFmtId="43" fontId="28" fillId="3" borderId="0" xfId="4" applyFont="1" applyFill="1" applyBorder="1"/>
    <xf numFmtId="179" fontId="28" fillId="3" borderId="0" xfId="4" applyNumberFormat="1" applyFont="1" applyFill="1" applyAlignment="1">
      <alignment horizontal="left"/>
    </xf>
    <xf numFmtId="179" fontId="28" fillId="3" borderId="5" xfId="4" applyNumberFormat="1" applyFont="1" applyFill="1" applyBorder="1" applyAlignment="1">
      <alignment horizontal="center"/>
    </xf>
    <xf numFmtId="179" fontId="28" fillId="0" borderId="5" xfId="4" applyNumberFormat="1" applyFont="1" applyFill="1" applyBorder="1" applyAlignment="1">
      <alignment horizontal="center"/>
    </xf>
    <xf numFmtId="179" fontId="28" fillId="3" borderId="14" xfId="4" applyNumberFormat="1" applyFont="1" applyFill="1" applyBorder="1" applyAlignment="1">
      <alignment horizontal="center"/>
    </xf>
    <xf numFmtId="179" fontId="28" fillId="3" borderId="0" xfId="4" applyNumberFormat="1" applyFont="1" applyFill="1" applyAlignment="1">
      <alignment horizontal="center"/>
    </xf>
    <xf numFmtId="175" fontId="42" fillId="3" borderId="0" xfId="4" applyNumberFormat="1" applyFont="1" applyFill="1"/>
    <xf numFmtId="175" fontId="37" fillId="7" borderId="0" xfId="0" applyNumberFormat="1" applyFont="1" applyFill="1"/>
    <xf numFmtId="175" fontId="39" fillId="3" borderId="0" xfId="4" applyNumberFormat="1" applyFont="1" applyFill="1" applyAlignment="1">
      <alignment horizontal="center"/>
    </xf>
    <xf numFmtId="0" fontId="28" fillId="3" borderId="9" xfId="0" applyFont="1" applyFill="1" applyBorder="1" applyAlignment="1">
      <alignment horizontal="left"/>
    </xf>
    <xf numFmtId="0" fontId="28" fillId="3" borderId="10" xfId="0" applyFont="1" applyFill="1" applyBorder="1" applyAlignment="1">
      <alignment horizontal="left"/>
    </xf>
    <xf numFmtId="0" fontId="28" fillId="3" borderId="8" xfId="0" applyFont="1" applyFill="1" applyBorder="1" applyAlignment="1">
      <alignment horizontal="left"/>
    </xf>
    <xf numFmtId="171" fontId="28" fillId="7" borderId="0" xfId="0" applyNumberFormat="1" applyFont="1" applyFill="1"/>
    <xf numFmtId="175" fontId="28" fillId="3" borderId="17" xfId="4" applyNumberFormat="1" applyFont="1" applyFill="1" applyBorder="1" applyAlignment="1">
      <alignment horizontal="center"/>
    </xf>
    <xf numFmtId="0" fontId="28" fillId="7" borderId="0" xfId="0" quotePrefix="1" applyFont="1" applyFill="1" applyBorder="1" applyAlignment="1"/>
    <xf numFmtId="10" fontId="28" fillId="3" borderId="9" xfId="12" applyNumberFormat="1" applyFont="1" applyFill="1" applyBorder="1"/>
    <xf numFmtId="43" fontId="28" fillId="3" borderId="0" xfId="4" applyFont="1" applyFill="1"/>
    <xf numFmtId="0" fontId="28" fillId="3" borderId="3" xfId="0" applyFont="1" applyFill="1" applyBorder="1"/>
    <xf numFmtId="43" fontId="28" fillId="3" borderId="5" xfId="4" applyNumberFormat="1" applyFont="1" applyFill="1" applyBorder="1"/>
    <xf numFmtId="43" fontId="28" fillId="3" borderId="4" xfId="4" applyNumberFormat="1" applyFont="1" applyFill="1" applyBorder="1"/>
    <xf numFmtId="43" fontId="28" fillId="3" borderId="3" xfId="4" applyNumberFormat="1" applyFont="1" applyFill="1" applyBorder="1"/>
    <xf numFmtId="178" fontId="28" fillId="7" borderId="0" xfId="0" quotePrefix="1" applyNumberFormat="1" applyFont="1" applyFill="1" applyAlignment="1">
      <alignment horizontal="right"/>
    </xf>
    <xf numFmtId="164" fontId="28" fillId="7" borderId="0" xfId="0" applyNumberFormat="1" applyFont="1" applyFill="1"/>
    <xf numFmtId="2" fontId="27" fillId="5" borderId="14" xfId="0" applyNumberFormat="1" applyFont="1" applyFill="1" applyBorder="1" applyAlignment="1">
      <alignment horizontal="center" vertical="top" wrapText="1"/>
    </xf>
    <xf numFmtId="0" fontId="28" fillId="7" borderId="0" xfId="0" applyFont="1" applyFill="1" applyBorder="1" applyAlignment="1">
      <alignment horizontal="left"/>
    </xf>
    <xf numFmtId="175" fontId="28" fillId="3" borderId="11" xfId="4" applyNumberFormat="1" applyFont="1" applyFill="1" applyBorder="1"/>
    <xf numFmtId="175" fontId="28" fillId="3" borderId="12" xfId="4" applyNumberFormat="1" applyFont="1" applyFill="1" applyBorder="1"/>
    <xf numFmtId="175" fontId="28" fillId="3" borderId="13" xfId="4" applyNumberFormat="1" applyFont="1" applyFill="1" applyBorder="1"/>
    <xf numFmtId="164" fontId="28" fillId="3" borderId="0" xfId="0" applyNumberFormat="1" applyFont="1" applyFill="1"/>
    <xf numFmtId="0" fontId="28" fillId="3" borderId="0" xfId="0" applyFont="1" applyFill="1"/>
    <xf numFmtId="4" fontId="28" fillId="3" borderId="0" xfId="0" applyNumberFormat="1" applyFont="1" applyFill="1"/>
    <xf numFmtId="169" fontId="28" fillId="3" borderId="0" xfId="11" applyNumberFormat="1" applyFont="1" applyFill="1" applyAlignment="1">
      <alignment vertical="center"/>
    </xf>
    <xf numFmtId="0" fontId="28" fillId="7" borderId="0" xfId="0" applyFont="1" applyFill="1"/>
    <xf numFmtId="0" fontId="28" fillId="7" borderId="0" xfId="0" applyFont="1" applyFill="1" applyBorder="1"/>
    <xf numFmtId="10" fontId="28" fillId="6" borderId="14" xfId="0" applyNumberFormat="1" applyFont="1" applyFill="1" applyBorder="1" applyAlignment="1">
      <alignment horizontal="center"/>
    </xf>
    <xf numFmtId="177" fontId="28" fillId="3" borderId="0" xfId="4" applyNumberFormat="1" applyFont="1" applyFill="1" applyBorder="1"/>
    <xf numFmtId="175" fontId="28" fillId="3" borderId="0" xfId="4" applyNumberFormat="1" applyFont="1" applyFill="1" applyBorder="1"/>
    <xf numFmtId="175" fontId="28" fillId="3" borderId="3" xfId="4" applyNumberFormat="1" applyFont="1" applyFill="1" applyBorder="1"/>
    <xf numFmtId="175" fontId="28" fillId="3" borderId="0" xfId="0" applyNumberFormat="1" applyFont="1" applyFill="1"/>
    <xf numFmtId="175" fontId="28" fillId="7" borderId="0" xfId="0" applyNumberFormat="1" applyFont="1" applyFill="1"/>
    <xf numFmtId="175" fontId="37" fillId="7" borderId="0" xfId="0" applyNumberFormat="1" applyFont="1" applyFill="1"/>
    <xf numFmtId="43" fontId="37" fillId="7" borderId="0" xfId="4" applyFont="1" applyFill="1"/>
    <xf numFmtId="43" fontId="28" fillId="3" borderId="0" xfId="15" applyNumberFormat="1" applyFont="1" applyFill="1"/>
    <xf numFmtId="176" fontId="7" fillId="3" borderId="0" xfId="14" applyNumberFormat="1" applyFont="1" applyFill="1" applyBorder="1" applyAlignment="1">
      <alignment horizontal="left"/>
    </xf>
    <xf numFmtId="164" fontId="17" fillId="3" borderId="0" xfId="14" applyNumberFormat="1" applyFont="1" applyFill="1" applyBorder="1" applyAlignment="1">
      <alignment horizontal="left"/>
    </xf>
    <xf numFmtId="175" fontId="28" fillId="3" borderId="0" xfId="4" applyNumberFormat="1" applyFont="1" applyFill="1" applyBorder="1" applyAlignment="1">
      <alignment horizontal="center"/>
    </xf>
    <xf numFmtId="175" fontId="28" fillId="3" borderId="4" xfId="4" applyNumberFormat="1" applyFont="1" applyFill="1" applyBorder="1" applyAlignment="1">
      <alignment horizontal="center"/>
    </xf>
    <xf numFmtId="175" fontId="28" fillId="3" borderId="5" xfId="4" applyNumberFormat="1" applyFont="1" applyFill="1" applyBorder="1" applyAlignment="1">
      <alignment horizontal="center"/>
    </xf>
    <xf numFmtId="175" fontId="28" fillId="3" borderId="0" xfId="4" applyNumberFormat="1" applyFont="1" applyFill="1" applyBorder="1"/>
    <xf numFmtId="43" fontId="28" fillId="3" borderId="0" xfId="4" applyFont="1" applyFill="1"/>
    <xf numFmtId="43" fontId="28" fillId="3" borderId="5" xfId="4" applyFont="1" applyFill="1" applyBorder="1"/>
    <xf numFmtId="43" fontId="28" fillId="3" borderId="3" xfId="4" applyFont="1" applyFill="1" applyBorder="1"/>
    <xf numFmtId="43" fontId="28" fillId="3" borderId="0" xfId="4" applyFont="1" applyFill="1" applyBorder="1"/>
    <xf numFmtId="43" fontId="28" fillId="3" borderId="9" xfId="4" applyFont="1" applyFill="1" applyBorder="1"/>
    <xf numFmtId="43" fontId="28" fillId="3" borderId="8" xfId="4" applyFont="1" applyFill="1" applyBorder="1"/>
    <xf numFmtId="43" fontId="28" fillId="3" borderId="10" xfId="4" applyFont="1" applyFill="1" applyBorder="1"/>
    <xf numFmtId="175" fontId="28" fillId="3" borderId="0" xfId="4" applyNumberFormat="1" applyFont="1" applyFill="1" applyAlignment="1">
      <alignment horizontal="center" vertical="top" wrapText="1"/>
    </xf>
    <xf numFmtId="0" fontId="31" fillId="7" borderId="0" xfId="0" applyFont="1" applyFill="1" applyAlignment="1">
      <alignment vertical="center" wrapText="1"/>
    </xf>
    <xf numFmtId="9" fontId="27" fillId="5" borderId="14" xfId="0" applyNumberFormat="1" applyFont="1" applyFill="1" applyBorder="1" applyAlignment="1">
      <alignment horizontal="center"/>
    </xf>
    <xf numFmtId="0" fontId="28" fillId="30" borderId="0" xfId="0" applyFont="1" applyFill="1" applyBorder="1" applyAlignment="1">
      <alignment horizontal="left"/>
    </xf>
    <xf numFmtId="175" fontId="37" fillId="3" borderId="0" xfId="4" applyNumberFormat="1" applyFont="1" applyFill="1" applyAlignment="1">
      <alignment horizontal="center"/>
    </xf>
    <xf numFmtId="0" fontId="39" fillId="3" borderId="0" xfId="0" applyFont="1" applyFill="1" applyAlignment="1">
      <alignment wrapText="1"/>
    </xf>
    <xf numFmtId="0" fontId="37" fillId="3" borderId="0" xfId="0" applyFont="1" applyFill="1" applyAlignment="1">
      <alignment wrapText="1"/>
    </xf>
    <xf numFmtId="175" fontId="37" fillId="2" borderId="0" xfId="4" applyNumberFormat="1" applyFont="1" applyFill="1" applyAlignment="1">
      <alignment wrapText="1"/>
    </xf>
    <xf numFmtId="175" fontId="37" fillId="3" borderId="0" xfId="4" applyNumberFormat="1" applyFont="1" applyFill="1" applyAlignment="1">
      <alignment wrapText="1"/>
    </xf>
    <xf numFmtId="0" fontId="39" fillId="2" borderId="28" xfId="0" applyFont="1" applyFill="1" applyBorder="1" applyAlignment="1">
      <alignment horizontal="center" vertical="center" wrapText="1"/>
    </xf>
    <xf numFmtId="0" fontId="37" fillId="2" borderId="28" xfId="0" applyFont="1" applyFill="1" applyBorder="1" applyAlignment="1">
      <alignment horizontal="center" vertical="center" wrapText="1"/>
    </xf>
    <xf numFmtId="175" fontId="37" fillId="2" borderId="29" xfId="4" applyNumberFormat="1" applyFont="1" applyFill="1" applyBorder="1" applyAlignment="1">
      <alignment horizontal="center" vertical="center" wrapText="1"/>
    </xf>
    <xf numFmtId="0" fontId="37" fillId="2" borderId="30" xfId="0" applyFont="1" applyFill="1" applyBorder="1"/>
    <xf numFmtId="0" fontId="66" fillId="3" borderId="0" xfId="0" applyFont="1" applyFill="1" applyAlignment="1">
      <alignment horizontal="right"/>
    </xf>
    <xf numFmtId="175" fontId="30" fillId="3" borderId="0" xfId="4" applyNumberFormat="1" applyFont="1" applyFill="1" applyAlignment="1">
      <alignment vertical="center"/>
    </xf>
    <xf numFmtId="0" fontId="30" fillId="3" borderId="0" xfId="0" applyFont="1" applyFill="1" applyAlignment="1">
      <alignment vertical="center"/>
    </xf>
    <xf numFmtId="175" fontId="33" fillId="3" borderId="0" xfId="4" applyNumberFormat="1" applyFont="1" applyFill="1"/>
    <xf numFmtId="175" fontId="33" fillId="3" borderId="5" xfId="4" applyNumberFormat="1" applyFont="1" applyFill="1" applyBorder="1"/>
    <xf numFmtId="175" fontId="33" fillId="3" borderId="14" xfId="4" applyNumberFormat="1" applyFont="1" applyFill="1" applyBorder="1"/>
    <xf numFmtId="175" fontId="33" fillId="3" borderId="0" xfId="4" applyNumberFormat="1" applyFont="1" applyFill="1" applyBorder="1"/>
    <xf numFmtId="175" fontId="0" fillId="3" borderId="0" xfId="4" applyNumberFormat="1" applyFont="1" applyFill="1"/>
    <xf numFmtId="0" fontId="0" fillId="3" borderId="0" xfId="0" applyFill="1"/>
    <xf numFmtId="43" fontId="28" fillId="3" borderId="0" xfId="4" applyFont="1" applyFill="1" applyBorder="1" applyAlignment="1">
      <alignment horizontal="center" vertical="top" wrapText="1"/>
    </xf>
    <xf numFmtId="3" fontId="28" fillId="3" borderId="0" xfId="15" applyNumberFormat="1" applyFont="1" applyFill="1" applyBorder="1"/>
    <xf numFmtId="43" fontId="27" fillId="3" borderId="0" xfId="4" applyFont="1" applyFill="1" applyBorder="1" applyAlignment="1">
      <alignment horizontal="center" vertical="center" textRotation="90" wrapText="1"/>
    </xf>
    <xf numFmtId="43" fontId="63" fillId="3" borderId="0" xfId="4" applyFont="1" applyFill="1"/>
    <xf numFmtId="43" fontId="64" fillId="3" borderId="0" xfId="4" applyFont="1" applyFill="1"/>
    <xf numFmtId="176" fontId="64" fillId="3" borderId="0" xfId="4" applyNumberFormat="1" applyFont="1" applyFill="1"/>
    <xf numFmtId="0" fontId="17" fillId="3" borderId="0" xfId="15" applyNumberFormat="1" applyFont="1" applyFill="1" applyBorder="1" applyAlignment="1">
      <alignment horizontal="right"/>
    </xf>
    <xf numFmtId="0" fontId="18" fillId="3" borderId="0" xfId="260" applyFill="1"/>
    <xf numFmtId="0" fontId="18" fillId="3" borderId="0" xfId="260" applyFill="1" applyAlignment="1">
      <alignment vertical="center"/>
    </xf>
    <xf numFmtId="0" fontId="18" fillId="3" borderId="0" xfId="260" applyFill="1" applyAlignment="1">
      <alignment horizontal="center" vertical="center"/>
    </xf>
    <xf numFmtId="0" fontId="71" fillId="7" borderId="0" xfId="0" applyFont="1" applyFill="1"/>
    <xf numFmtId="179" fontId="71" fillId="3" borderId="0" xfId="4" applyNumberFormat="1" applyFont="1" applyFill="1" applyAlignment="1">
      <alignment horizontal="left"/>
    </xf>
    <xf numFmtId="0" fontId="71" fillId="3" borderId="0" xfId="0" applyNumberFormat="1" applyFont="1" applyFill="1" applyAlignment="1">
      <alignment horizontal="left"/>
    </xf>
    <xf numFmtId="1" fontId="71" fillId="3" borderId="0" xfId="11" applyNumberFormat="1" applyFont="1" applyFill="1" applyAlignment="1">
      <alignment horizontal="left" vertical="center"/>
    </xf>
    <xf numFmtId="3" fontId="34" fillId="3" borderId="0" xfId="11" applyNumberFormat="1" applyFont="1" applyFill="1" applyAlignment="1">
      <alignment vertical="center"/>
    </xf>
    <xf numFmtId="0" fontId="34" fillId="3" borderId="0" xfId="0" applyFont="1" applyFill="1"/>
    <xf numFmtId="43" fontId="34" fillId="3" borderId="0" xfId="4" applyFont="1" applyFill="1"/>
    <xf numFmtId="169" fontId="34" fillId="3" borderId="0" xfId="11" applyNumberFormat="1" applyFont="1" applyFill="1" applyAlignment="1">
      <alignment vertical="center"/>
    </xf>
    <xf numFmtId="3" fontId="71" fillId="3" borderId="0" xfId="11" applyNumberFormat="1" applyFont="1" applyFill="1" applyAlignment="1">
      <alignment vertical="center"/>
    </xf>
    <xf numFmtId="169" fontId="71" fillId="3" borderId="0" xfId="0" applyNumberFormat="1" applyFont="1" applyFill="1"/>
    <xf numFmtId="0" fontId="71" fillId="3" borderId="0" xfId="0" applyFont="1" applyFill="1"/>
    <xf numFmtId="175" fontId="71" fillId="3" borderId="0" xfId="4" applyNumberFormat="1" applyFont="1" applyFill="1"/>
    <xf numFmtId="169" fontId="71" fillId="3" borderId="0" xfId="11" applyNumberFormat="1" applyFont="1" applyFill="1" applyAlignment="1">
      <alignment vertical="center"/>
    </xf>
    <xf numFmtId="175" fontId="71" fillId="3" borderId="0" xfId="4" applyNumberFormat="1" applyFont="1" applyFill="1" applyAlignment="1">
      <alignment vertical="center"/>
    </xf>
    <xf numFmtId="175" fontId="71" fillId="3" borderId="0" xfId="4" applyNumberFormat="1" applyFont="1" applyFill="1" applyBorder="1" applyAlignment="1">
      <alignment vertical="center"/>
    </xf>
    <xf numFmtId="43" fontId="71" fillId="3" borderId="0" xfId="4" applyFont="1" applyFill="1" applyAlignment="1">
      <alignment vertical="center"/>
    </xf>
    <xf numFmtId="0" fontId="71" fillId="3" borderId="0" xfId="11" applyFont="1" applyFill="1" applyAlignment="1">
      <alignment vertical="center"/>
    </xf>
    <xf numFmtId="177" fontId="71" fillId="3" borderId="0" xfId="11" applyNumberFormat="1" applyFont="1" applyFill="1" applyAlignment="1">
      <alignment vertical="center"/>
    </xf>
    <xf numFmtId="43" fontId="71" fillId="3" borderId="0" xfId="4" applyFont="1" applyFill="1" applyBorder="1" applyAlignment="1">
      <alignment vertical="center"/>
    </xf>
    <xf numFmtId="0" fontId="71" fillId="3" borderId="0" xfId="11" applyFont="1" applyFill="1" applyBorder="1" applyAlignment="1">
      <alignment vertical="center"/>
    </xf>
    <xf numFmtId="1" fontId="71" fillId="3" borderId="0" xfId="11" applyNumberFormat="1" applyFont="1" applyFill="1" applyAlignment="1">
      <alignment vertical="center"/>
    </xf>
    <xf numFmtId="0" fontId="71" fillId="3" borderId="0" xfId="0" applyFont="1" applyFill="1" applyAlignment="1">
      <alignment vertical="center"/>
    </xf>
    <xf numFmtId="0" fontId="42" fillId="7" borderId="0" xfId="0" applyFont="1" applyFill="1" applyAlignment="1">
      <alignment horizontal="center" vertical="center"/>
    </xf>
    <xf numFmtId="43" fontId="28" fillId="3" borderId="0" xfId="4" applyFont="1" applyFill="1" applyBorder="1" applyAlignment="1">
      <alignment horizontal="center" vertical="center"/>
    </xf>
    <xf numFmtId="0" fontId="68" fillId="7" borderId="0" xfId="668" applyFill="1" applyAlignment="1">
      <alignment horizontal="center" vertical="center" wrapText="1"/>
    </xf>
    <xf numFmtId="0" fontId="68" fillId="7" borderId="0" xfId="668" applyFill="1" applyAlignment="1">
      <alignment vertical="center"/>
    </xf>
    <xf numFmtId="43" fontId="68" fillId="3" borderId="0" xfId="668" applyNumberFormat="1" applyFill="1" applyBorder="1" applyAlignment="1">
      <alignment horizontal="center" vertical="center"/>
    </xf>
    <xf numFmtId="43" fontId="68" fillId="3" borderId="0" xfId="668" applyNumberFormat="1" applyFill="1" applyAlignment="1">
      <alignment horizontal="center" vertical="center" wrapText="1"/>
    </xf>
    <xf numFmtId="43" fontId="68" fillId="3" borderId="0" xfId="668" applyNumberFormat="1" applyFill="1" applyBorder="1" applyAlignment="1">
      <alignment horizontal="left" vertical="center"/>
    </xf>
    <xf numFmtId="175" fontId="27" fillId="5" borderId="4" xfId="4" applyNumberFormat="1" applyFont="1" applyFill="1" applyBorder="1" applyAlignment="1">
      <alignment horizontal="center" vertical="center" wrapText="1"/>
    </xf>
    <xf numFmtId="43" fontId="68" fillId="3" borderId="0" xfId="668" applyNumberFormat="1" applyFill="1" applyAlignment="1">
      <alignment horizontal="center" vertical="center" wrapText="1"/>
    </xf>
    <xf numFmtId="0" fontId="27" fillId="5" borderId="14" xfId="0" applyFont="1" applyFill="1" applyBorder="1" applyAlignment="1">
      <alignment horizontal="center" vertical="center" wrapText="1"/>
    </xf>
    <xf numFmtId="43" fontId="68" fillId="3" borderId="0" xfId="668" applyNumberFormat="1" applyFill="1" applyAlignment="1">
      <alignment horizontal="left" vertical="center"/>
    </xf>
    <xf numFmtId="43" fontId="68" fillId="3" borderId="0" xfId="668" applyNumberFormat="1" applyFill="1" applyBorder="1" applyAlignment="1">
      <alignment horizontal="center" vertical="center" wrapText="1"/>
    </xf>
    <xf numFmtId="0" fontId="28" fillId="3" borderId="0" xfId="0" applyFont="1" applyFill="1" applyAlignment="1">
      <alignment vertical="center"/>
    </xf>
    <xf numFmtId="0" fontId="27" fillId="5" borderId="4" xfId="0" applyFont="1" applyFill="1" applyBorder="1" applyAlignment="1">
      <alignment horizontal="center" vertical="center" wrapText="1"/>
    </xf>
    <xf numFmtId="43" fontId="68" fillId="3" borderId="0" xfId="668" applyNumberFormat="1" applyFill="1" applyAlignment="1">
      <alignment horizontal="center" vertical="center" wrapText="1"/>
    </xf>
    <xf numFmtId="0" fontId="68" fillId="7" borderId="0" xfId="668" applyFill="1" applyAlignment="1">
      <alignment horizontal="center" vertical="center"/>
    </xf>
    <xf numFmtId="175" fontId="28" fillId="36" borderId="5" xfId="4" applyNumberFormat="1" applyFont="1" applyFill="1" applyBorder="1"/>
    <xf numFmtId="175" fontId="28" fillId="36" borderId="14" xfId="4" applyNumberFormat="1" applyFont="1" applyFill="1" applyBorder="1"/>
    <xf numFmtId="43" fontId="41" fillId="38" borderId="4" xfId="4" applyFont="1" applyFill="1" applyBorder="1" applyAlignment="1">
      <alignment horizontal="center"/>
    </xf>
    <xf numFmtId="43" fontId="27" fillId="38" borderId="12" xfId="4" applyFont="1" applyFill="1" applyBorder="1" applyAlignment="1">
      <alignment horizontal="center"/>
    </xf>
    <xf numFmtId="43" fontId="27" fillId="38" borderId="14" xfId="4" applyFont="1" applyFill="1" applyBorder="1" applyAlignment="1">
      <alignment horizontal="center"/>
    </xf>
    <xf numFmtId="175" fontId="27" fillId="39" borderId="14" xfId="4" applyNumberFormat="1" applyFont="1" applyFill="1" applyBorder="1" applyAlignment="1">
      <alignment horizontal="center" vertical="center" wrapText="1"/>
    </xf>
    <xf numFmtId="9" fontId="27" fillId="39" borderId="5" xfId="12" applyFont="1" applyFill="1" applyBorder="1" applyAlignment="1">
      <alignment horizontal="center"/>
    </xf>
    <xf numFmtId="9" fontId="27" fillId="39" borderId="14" xfId="12" applyFont="1" applyFill="1" applyBorder="1" applyAlignment="1">
      <alignment horizontal="center"/>
    </xf>
    <xf numFmtId="175" fontId="28" fillId="35" borderId="5" xfId="4" applyNumberFormat="1" applyFont="1" applyFill="1" applyBorder="1"/>
    <xf numFmtId="9" fontId="27" fillId="39" borderId="14" xfId="12" applyNumberFormat="1" applyFont="1" applyFill="1" applyBorder="1" applyAlignment="1">
      <alignment horizontal="center" vertical="center" wrapText="1"/>
    </xf>
    <xf numFmtId="0" fontId="27" fillId="39" borderId="14" xfId="0" applyFont="1" applyFill="1" applyBorder="1" applyAlignment="1">
      <alignment horizontal="center" vertical="center" wrapText="1"/>
    </xf>
    <xf numFmtId="9" fontId="27" fillId="39" borderId="14" xfId="12" applyNumberFormat="1" applyFont="1" applyFill="1" applyBorder="1" applyAlignment="1">
      <alignment horizontal="center" vertical="center"/>
    </xf>
    <xf numFmtId="43" fontId="27" fillId="39" borderId="14" xfId="4" applyFont="1" applyFill="1" applyBorder="1" applyAlignment="1">
      <alignment vertical="center" wrapText="1"/>
    </xf>
    <xf numFmtId="175" fontId="28" fillId="35" borderId="11" xfId="4" applyNumberFormat="1" applyFont="1" applyFill="1" applyBorder="1"/>
    <xf numFmtId="175" fontId="28" fillId="35" borderId="14" xfId="4" applyNumberFormat="1" applyFont="1" applyFill="1" applyBorder="1"/>
    <xf numFmtId="0" fontId="27" fillId="39" borderId="4" xfId="0" applyFont="1" applyFill="1" applyBorder="1" applyAlignment="1">
      <alignment horizontal="center" vertical="center" wrapText="1"/>
    </xf>
    <xf numFmtId="175" fontId="28" fillId="3" borderId="8" xfId="4" applyNumberFormat="1" applyFont="1" applyFill="1" applyBorder="1"/>
    <xf numFmtId="175" fontId="28" fillId="3" borderId="10" xfId="4" applyNumberFormat="1" applyFont="1" applyFill="1" applyBorder="1"/>
    <xf numFmtId="0" fontId="27" fillId="39" borderId="12" xfId="0" applyFont="1" applyFill="1" applyBorder="1" applyAlignment="1">
      <alignment horizontal="center" vertical="center" wrapText="1"/>
    </xf>
    <xf numFmtId="175" fontId="28" fillId="36" borderId="4" xfId="4" applyNumberFormat="1" applyFont="1" applyFill="1" applyBorder="1"/>
    <xf numFmtId="175" fontId="28" fillId="36" borderId="3" xfId="4" applyNumberFormat="1" applyFont="1" applyFill="1" applyBorder="1"/>
    <xf numFmtId="180" fontId="27" fillId="5" borderId="14" xfId="4" applyNumberFormat="1" applyFont="1" applyFill="1" applyBorder="1" applyAlignment="1">
      <alignment horizontal="center" vertical="center" wrapText="1"/>
    </xf>
    <xf numFmtId="10" fontId="27" fillId="5" borderId="14" xfId="12" applyNumberFormat="1" applyFont="1" applyFill="1" applyBorder="1" applyAlignment="1">
      <alignment horizontal="center" vertical="center"/>
    </xf>
    <xf numFmtId="175" fontId="28" fillId="0" borderId="11" xfId="4" applyNumberFormat="1" applyFont="1" applyFill="1" applyBorder="1"/>
    <xf numFmtId="10" fontId="27" fillId="5" borderId="4" xfId="12" applyNumberFormat="1" applyFont="1" applyFill="1" applyBorder="1" applyAlignment="1">
      <alignment horizontal="center" vertical="center"/>
    </xf>
    <xf numFmtId="175" fontId="27" fillId="3" borderId="0" xfId="4" applyNumberFormat="1" applyFont="1" applyFill="1" applyBorder="1" applyAlignment="1">
      <alignment horizontal="center" vertical="center" wrapText="1"/>
    </xf>
    <xf numFmtId="10" fontId="27" fillId="3" borderId="0" xfId="12" applyNumberFormat="1" applyFont="1" applyFill="1" applyBorder="1" applyAlignment="1">
      <alignment horizontal="center" vertical="center"/>
    </xf>
    <xf numFmtId="0" fontId="27" fillId="40" borderId="4" xfId="15" applyFont="1" applyFill="1" applyBorder="1" applyAlignment="1">
      <alignment horizontal="center" vertical="center" wrapText="1"/>
    </xf>
    <xf numFmtId="43" fontId="27" fillId="40" borderId="14" xfId="4" quotePrefix="1" applyFont="1" applyFill="1" applyBorder="1" applyAlignment="1">
      <alignment horizontal="center" vertical="center" wrapText="1"/>
    </xf>
    <xf numFmtId="175" fontId="28" fillId="41" borderId="4" xfId="4" applyNumberFormat="1" applyFont="1" applyFill="1" applyBorder="1"/>
    <xf numFmtId="175" fontId="28" fillId="41" borderId="5" xfId="4" applyNumberFormat="1" applyFont="1" applyFill="1" applyBorder="1"/>
    <xf numFmtId="175" fontId="28" fillId="41" borderId="3" xfId="4" applyNumberFormat="1" applyFont="1" applyFill="1" applyBorder="1"/>
    <xf numFmtId="0" fontId="28" fillId="36" borderId="17" xfId="0" applyFont="1" applyFill="1" applyBorder="1"/>
    <xf numFmtId="0" fontId="28" fillId="36" borderId="7" xfId="0" applyFont="1" applyFill="1" applyBorder="1"/>
    <xf numFmtId="43" fontId="28" fillId="36" borderId="14" xfId="4" applyNumberFormat="1" applyFont="1" applyFill="1" applyBorder="1"/>
    <xf numFmtId="3" fontId="28" fillId="3" borderId="8" xfId="12" applyNumberFormat="1" applyFont="1" applyFill="1" applyBorder="1"/>
    <xf numFmtId="3" fontId="28" fillId="3" borderId="9" xfId="12" applyNumberFormat="1" applyFont="1" applyFill="1" applyBorder="1"/>
    <xf numFmtId="3" fontId="28" fillId="36" borderId="17" xfId="12" applyNumberFormat="1" applyFont="1" applyFill="1" applyBorder="1"/>
    <xf numFmtId="0" fontId="27" fillId="37" borderId="12" xfId="0" applyFont="1" applyFill="1" applyBorder="1" applyAlignment="1">
      <alignment horizontal="center" vertical="center" wrapText="1"/>
    </xf>
    <xf numFmtId="180" fontId="28" fillId="3" borderId="14" xfId="4" applyNumberFormat="1" applyFont="1" applyFill="1" applyBorder="1" applyAlignment="1">
      <alignment horizontal="center"/>
    </xf>
    <xf numFmtId="0" fontId="28" fillId="3" borderId="8" xfId="15" applyFont="1" applyFill="1" applyBorder="1"/>
    <xf numFmtId="0" fontId="28" fillId="3" borderId="9" xfId="15" applyFont="1" applyFill="1" applyBorder="1"/>
    <xf numFmtId="3" fontId="17" fillId="3" borderId="11" xfId="15" applyNumberFormat="1" applyFont="1" applyFill="1" applyBorder="1" applyAlignment="1">
      <alignment horizontal="right"/>
    </xf>
    <xf numFmtId="1" fontId="73" fillId="3" borderId="0" xfId="11" applyNumberFormat="1" applyFont="1" applyFill="1" applyAlignment="1">
      <alignment horizontal="left" vertical="center"/>
    </xf>
    <xf numFmtId="0" fontId="73" fillId="3" borderId="0" xfId="0" applyFont="1" applyFill="1" applyAlignment="1">
      <alignment horizontal="left" vertical="center"/>
    </xf>
    <xf numFmtId="0" fontId="73" fillId="3" borderId="0" xfId="0" applyNumberFormat="1" applyFont="1" applyFill="1" applyAlignment="1">
      <alignment horizontal="left"/>
    </xf>
    <xf numFmtId="0" fontId="28" fillId="3" borderId="0" xfId="0" applyNumberFormat="1" applyFont="1" applyFill="1" applyAlignment="1">
      <alignment horizontal="center" vertical="center"/>
    </xf>
    <xf numFmtId="179" fontId="73" fillId="3" borderId="0" xfId="4" applyNumberFormat="1" applyFont="1" applyFill="1" applyAlignment="1">
      <alignment horizontal="left"/>
    </xf>
    <xf numFmtId="0" fontId="27" fillId="5" borderId="4" xfId="0" applyFont="1" applyFill="1" applyBorder="1" applyAlignment="1">
      <alignment horizontal="center" vertical="center" wrapText="1"/>
    </xf>
    <xf numFmtId="0" fontId="28" fillId="7" borderId="0" xfId="0" applyFont="1" applyFill="1" applyBorder="1" applyAlignment="1">
      <alignment vertical="center" wrapText="1"/>
    </xf>
    <xf numFmtId="2" fontId="28" fillId="6" borderId="4" xfId="0" applyNumberFormat="1" applyFont="1" applyFill="1" applyBorder="1" applyAlignment="1">
      <alignment vertical="center"/>
    </xf>
    <xf numFmtId="0" fontId="28" fillId="7" borderId="0" xfId="0" applyFont="1" applyFill="1" applyBorder="1" applyAlignment="1">
      <alignment vertical="center"/>
    </xf>
    <xf numFmtId="0" fontId="28" fillId="7" borderId="0" xfId="0" applyFont="1" applyFill="1" applyAlignment="1">
      <alignment vertical="center"/>
    </xf>
    <xf numFmtId="0" fontId="28" fillId="6" borderId="33" xfId="0" applyFont="1" applyFill="1" applyBorder="1" applyAlignment="1">
      <alignment horizontal="center"/>
    </xf>
    <xf numFmtId="0" fontId="28" fillId="6" borderId="14" xfId="0" applyFont="1" applyFill="1" applyBorder="1" applyAlignment="1">
      <alignment horizontal="center"/>
    </xf>
    <xf numFmtId="14" fontId="27" fillId="40" borderId="3" xfId="15" applyNumberFormat="1" applyFont="1" applyFill="1" applyBorder="1" applyAlignment="1">
      <alignment horizontal="center" vertical="center" wrapText="1"/>
    </xf>
    <xf numFmtId="0" fontId="67" fillId="7" borderId="0" xfId="0" applyFont="1" applyFill="1" applyAlignment="1">
      <alignment horizontal="right"/>
    </xf>
    <xf numFmtId="171" fontId="28" fillId="7" borderId="0" xfId="0" applyNumberFormat="1" applyFont="1" applyFill="1" applyBorder="1"/>
    <xf numFmtId="182" fontId="28" fillId="6" borderId="14" xfId="4" applyNumberFormat="1" applyFont="1" applyFill="1" applyBorder="1" applyAlignment="1">
      <alignment horizontal="center" vertical="center" wrapText="1"/>
    </xf>
    <xf numFmtId="168" fontId="28" fillId="6" borderId="14" xfId="12" applyNumberFormat="1" applyFont="1" applyFill="1" applyBorder="1"/>
    <xf numFmtId="164" fontId="28" fillId="7" borderId="0" xfId="0" applyNumberFormat="1" applyFont="1" applyFill="1" applyBorder="1"/>
    <xf numFmtId="0" fontId="67" fillId="3" borderId="0" xfId="0" applyNumberFormat="1" applyFont="1" applyFill="1" applyBorder="1" applyAlignment="1">
      <alignment wrapText="1"/>
    </xf>
    <xf numFmtId="0" fontId="27" fillId="37" borderId="4" xfId="0" applyFont="1" applyFill="1" applyBorder="1" applyAlignment="1">
      <alignment horizontal="center" vertical="center" wrapText="1"/>
    </xf>
    <xf numFmtId="175" fontId="2" fillId="36" borderId="14" xfId="4" applyNumberFormat="1" applyFont="1" applyFill="1" applyBorder="1" applyAlignment="1">
      <alignment horizontal="center" vertical="center" wrapText="1"/>
    </xf>
    <xf numFmtId="43" fontId="28" fillId="36" borderId="5" xfId="4" applyNumberFormat="1" applyFont="1" applyFill="1" applyBorder="1"/>
    <xf numFmtId="49" fontId="67" fillId="3" borderId="0" xfId="4" applyNumberFormat="1" applyFont="1" applyFill="1" applyBorder="1" applyAlignment="1">
      <alignment vertical="center" wrapText="1"/>
    </xf>
    <xf numFmtId="0" fontId="29" fillId="3" borderId="0" xfId="11" applyFont="1" applyFill="1" applyAlignment="1"/>
    <xf numFmtId="0" fontId="34" fillId="3" borderId="0" xfId="0" applyFont="1" applyFill="1" applyBorder="1"/>
    <xf numFmtId="0" fontId="28" fillId="3" borderId="0" xfId="11" applyFont="1" applyFill="1" applyBorder="1" applyAlignment="1">
      <alignment horizontal="right" vertical="center"/>
    </xf>
    <xf numFmtId="0" fontId="28" fillId="3" borderId="0" xfId="0" applyFont="1" applyFill="1" applyAlignment="1">
      <alignment horizontal="right"/>
    </xf>
    <xf numFmtId="3" fontId="28" fillId="3" borderId="0" xfId="0" applyNumberFormat="1" applyFont="1" applyFill="1" applyBorder="1" applyAlignment="1">
      <alignment horizontal="right"/>
    </xf>
    <xf numFmtId="3" fontId="28" fillId="3" borderId="7" xfId="0" applyNumberFormat="1" applyFont="1" applyFill="1" applyBorder="1" applyAlignment="1">
      <alignment horizontal="right"/>
    </xf>
    <xf numFmtId="0" fontId="71" fillId="3" borderId="0" xfId="0" applyFont="1" applyFill="1" applyAlignment="1"/>
    <xf numFmtId="10" fontId="28" fillId="3" borderId="7" xfId="0" applyNumberFormat="1" applyFont="1" applyFill="1" applyBorder="1"/>
    <xf numFmtId="175" fontId="28" fillId="36" borderId="4" xfId="4" quotePrefix="1" applyNumberFormat="1" applyFont="1" applyFill="1" applyBorder="1"/>
    <xf numFmtId="175" fontId="28" fillId="36" borderId="5" xfId="4" quotePrefix="1" applyNumberFormat="1" applyFont="1" applyFill="1" applyBorder="1"/>
    <xf numFmtId="0" fontId="67" fillId="7" borderId="0" xfId="0" applyFont="1" applyFill="1" applyBorder="1" applyAlignment="1">
      <alignment vertical="center" wrapText="1"/>
    </xf>
    <xf numFmtId="0" fontId="67" fillId="3" borderId="0" xfId="0" applyFont="1" applyFill="1" applyBorder="1" applyAlignment="1">
      <alignment vertical="center" wrapText="1"/>
    </xf>
    <xf numFmtId="0" fontId="67" fillId="3" borderId="0" xfId="11" applyFont="1" applyFill="1" applyBorder="1" applyAlignment="1">
      <alignment vertical="center" wrapText="1"/>
    </xf>
    <xf numFmtId="0" fontId="67" fillId="3" borderId="0" xfId="0" applyFont="1" applyFill="1" applyBorder="1" applyAlignment="1"/>
    <xf numFmtId="175" fontId="28" fillId="36" borderId="11" xfId="4" applyNumberFormat="1" applyFont="1" applyFill="1" applyBorder="1"/>
    <xf numFmtId="2" fontId="27" fillId="5" borderId="4" xfId="0" applyNumberFormat="1" applyFont="1" applyFill="1" applyBorder="1" applyAlignment="1">
      <alignment horizontal="center" vertical="top" wrapText="1"/>
    </xf>
    <xf numFmtId="175" fontId="28" fillId="33" borderId="14" xfId="4" applyNumberFormat="1" applyFont="1" applyFill="1" applyBorder="1"/>
    <xf numFmtId="0" fontId="75" fillId="7" borderId="0" xfId="0" applyFont="1" applyFill="1"/>
    <xf numFmtId="0" fontId="75" fillId="7" borderId="0" xfId="0" applyFont="1" applyFill="1" applyAlignment="1">
      <alignment horizontal="center" vertical="center"/>
    </xf>
    <xf numFmtId="3" fontId="75" fillId="7" borderId="0" xfId="0" applyNumberFormat="1" applyFont="1" applyFill="1" applyAlignment="1">
      <alignment horizontal="center" vertical="center"/>
    </xf>
    <xf numFmtId="0" fontId="33" fillId="3" borderId="4" xfId="0" applyFont="1" applyFill="1" applyBorder="1" applyAlignment="1">
      <alignment horizontal="left"/>
    </xf>
    <xf numFmtId="0" fontId="33" fillId="3" borderId="8" xfId="0" applyFont="1" applyFill="1" applyBorder="1" applyAlignment="1">
      <alignment horizontal="center"/>
    </xf>
    <xf numFmtId="0" fontId="33" fillId="3" borderId="9" xfId="0" applyFont="1" applyFill="1" applyBorder="1" applyAlignment="1">
      <alignment horizontal="center"/>
    </xf>
    <xf numFmtId="0" fontId="33" fillId="3" borderId="10" xfId="0" applyFont="1" applyFill="1" applyBorder="1" applyAlignment="1">
      <alignment horizontal="center"/>
    </xf>
    <xf numFmtId="43" fontId="33" fillId="3" borderId="0" xfId="4" applyFont="1" applyFill="1" applyBorder="1"/>
    <xf numFmtId="166" fontId="28" fillId="3" borderId="10" xfId="0" applyNumberFormat="1" applyFont="1" applyFill="1" applyBorder="1" applyAlignment="1">
      <alignment horizontal="center"/>
    </xf>
    <xf numFmtId="0" fontId="33" fillId="3" borderId="5" xfId="0" applyFont="1" applyFill="1" applyBorder="1" applyAlignment="1">
      <alignment horizontal="left"/>
    </xf>
    <xf numFmtId="0" fontId="33" fillId="3" borderId="3" xfId="0" applyFont="1" applyFill="1" applyBorder="1" applyAlignment="1">
      <alignment horizontal="left"/>
    </xf>
    <xf numFmtId="180" fontId="33" fillId="3" borderId="4" xfId="4" applyNumberFormat="1" applyFont="1" applyFill="1" applyBorder="1"/>
    <xf numFmtId="180" fontId="33" fillId="3" borderId="5" xfId="4" applyNumberFormat="1" applyFont="1" applyFill="1" applyBorder="1"/>
    <xf numFmtId="180" fontId="33" fillId="3" borderId="3" xfId="4" applyNumberFormat="1" applyFont="1" applyFill="1" applyBorder="1"/>
    <xf numFmtId="43" fontId="68" fillId="3" borderId="0" xfId="668" applyNumberFormat="1" applyFill="1" applyAlignment="1">
      <alignment horizontal="left" vertical="center"/>
    </xf>
    <xf numFmtId="43" fontId="68" fillId="3" borderId="0" xfId="668" applyNumberFormat="1" applyFill="1" applyBorder="1" applyAlignment="1">
      <alignment horizontal="right" vertical="center"/>
    </xf>
    <xf numFmtId="0" fontId="27" fillId="38" borderId="4" xfId="0" applyFont="1" applyFill="1" applyBorder="1" applyAlignment="1">
      <alignment horizontal="center" vertical="center" wrapText="1"/>
    </xf>
    <xf numFmtId="175" fontId="28" fillId="41" borderId="3" xfId="4" applyNumberFormat="1" applyFont="1" applyFill="1" applyBorder="1" applyAlignment="1">
      <alignment horizontal="center"/>
    </xf>
    <xf numFmtId="43" fontId="33" fillId="5" borderId="14" xfId="4" applyFont="1" applyFill="1" applyBorder="1"/>
    <xf numFmtId="172" fontId="28" fillId="5" borderId="14" xfId="12" applyNumberFormat="1" applyFont="1" applyFill="1" applyBorder="1"/>
    <xf numFmtId="3" fontId="28" fillId="3" borderId="10" xfId="12" applyNumberFormat="1" applyFont="1" applyFill="1" applyBorder="1"/>
    <xf numFmtId="43" fontId="28" fillId="3" borderId="12" xfId="4" applyFont="1" applyFill="1" applyBorder="1"/>
    <xf numFmtId="43" fontId="28" fillId="3" borderId="11" xfId="4" applyFont="1" applyFill="1" applyBorder="1"/>
    <xf numFmtId="43" fontId="28" fillId="3" borderId="13" xfId="4" applyFont="1" applyFill="1" applyBorder="1"/>
    <xf numFmtId="43" fontId="28" fillId="3" borderId="7" xfId="4" applyFont="1" applyFill="1" applyBorder="1"/>
    <xf numFmtId="43" fontId="75" fillId="7" borderId="0" xfId="4" applyFont="1" applyFill="1"/>
    <xf numFmtId="175" fontId="28" fillId="36" borderId="3" xfId="4" quotePrefix="1" applyNumberFormat="1" applyFont="1" applyFill="1" applyBorder="1"/>
    <xf numFmtId="43" fontId="28" fillId="3" borderId="0" xfId="4" applyNumberFormat="1" applyFont="1" applyFill="1" applyBorder="1"/>
    <xf numFmtId="4" fontId="28" fillId="36" borderId="7" xfId="12" applyNumberFormat="1" applyFont="1" applyFill="1" applyBorder="1"/>
    <xf numFmtId="3" fontId="28" fillId="3" borderId="17" xfId="12" applyNumberFormat="1" applyFont="1" applyFill="1" applyBorder="1"/>
    <xf numFmtId="177" fontId="28" fillId="3" borderId="7" xfId="4" applyNumberFormat="1" applyFont="1" applyFill="1" applyBorder="1"/>
    <xf numFmtId="43" fontId="28" fillId="36" borderId="4" xfId="4" applyNumberFormat="1" applyFont="1" applyFill="1" applyBorder="1"/>
    <xf numFmtId="0" fontId="75" fillId="7" borderId="0" xfId="0" applyFont="1" applyFill="1" applyBorder="1" applyAlignment="1">
      <alignment horizontal="left" indent="8"/>
    </xf>
    <xf numFmtId="0" fontId="69" fillId="3" borderId="0" xfId="260" applyFont="1" applyFill="1" applyAlignment="1">
      <alignment horizontal="left" vertical="center" indent="1"/>
    </xf>
    <xf numFmtId="0" fontId="68" fillId="7" borderId="8" xfId="668" applyFill="1" applyBorder="1" applyAlignment="1">
      <alignment horizontal="left" vertical="center" indent="1"/>
    </xf>
    <xf numFmtId="0" fontId="68" fillId="7" borderId="9" xfId="668" applyFill="1" applyBorder="1" applyAlignment="1">
      <alignment horizontal="left" vertical="center" indent="1"/>
    </xf>
    <xf numFmtId="0" fontId="68" fillId="7" borderId="10" xfId="668" applyFill="1" applyBorder="1" applyAlignment="1">
      <alignment horizontal="left" vertical="center" indent="1"/>
    </xf>
    <xf numFmtId="0" fontId="68" fillId="35" borderId="10" xfId="668" applyFill="1" applyBorder="1" applyAlignment="1">
      <alignment horizontal="left" vertical="center" indent="1"/>
    </xf>
    <xf numFmtId="0" fontId="68" fillId="32" borderId="17" xfId="668" applyFill="1" applyBorder="1" applyAlignment="1">
      <alignment horizontal="left" vertical="center" indent="1"/>
    </xf>
    <xf numFmtId="43" fontId="68" fillId="3" borderId="0" xfId="668" applyNumberFormat="1" applyFill="1" applyAlignment="1">
      <alignment vertical="center" wrapText="1"/>
    </xf>
    <xf numFmtId="175" fontId="37" fillId="31" borderId="32" xfId="4" applyNumberFormat="1" applyFont="1" applyFill="1" applyBorder="1" applyAlignment="1">
      <alignment horizontal="right"/>
    </xf>
    <xf numFmtId="175" fontId="37" fillId="31" borderId="16" xfId="4" applyNumberFormat="1" applyFont="1" applyFill="1" applyBorder="1" applyAlignment="1">
      <alignment horizontal="right"/>
    </xf>
    <xf numFmtId="175" fontId="37" fillId="31" borderId="31" xfId="0" applyNumberFormat="1" applyFont="1" applyFill="1" applyBorder="1" applyAlignment="1">
      <alignment horizontal="right"/>
    </xf>
    <xf numFmtId="175" fontId="37" fillId="31" borderId="30" xfId="0" applyNumberFormat="1" applyFont="1" applyFill="1" applyBorder="1" applyAlignment="1">
      <alignment horizontal="right"/>
    </xf>
    <xf numFmtId="175" fontId="37" fillId="31" borderId="30" xfId="4" applyNumberFormat="1" applyFont="1" applyFill="1" applyBorder="1" applyAlignment="1">
      <alignment horizontal="right"/>
    </xf>
    <xf numFmtId="175" fontId="37" fillId="31" borderId="0" xfId="4" applyNumberFormat="1" applyFont="1" applyFill="1" applyAlignment="1">
      <alignment horizontal="right"/>
    </xf>
    <xf numFmtId="175" fontId="28" fillId="3" borderId="5" xfId="4" applyNumberFormat="1" applyFont="1" applyFill="1" applyBorder="1" applyProtection="1"/>
    <xf numFmtId="175" fontId="28" fillId="3" borderId="14" xfId="4" applyNumberFormat="1" applyFont="1" applyFill="1" applyBorder="1" applyProtection="1"/>
    <xf numFmtId="43" fontId="28" fillId="3" borderId="5" xfId="4" applyNumberFormat="1" applyFont="1" applyFill="1" applyBorder="1" applyProtection="1"/>
    <xf numFmtId="43" fontId="28" fillId="3" borderId="14" xfId="4" applyNumberFormat="1" applyFont="1" applyFill="1" applyBorder="1" applyProtection="1"/>
    <xf numFmtId="43" fontId="28" fillId="36" borderId="5" xfId="4" applyNumberFormat="1" applyFont="1" applyFill="1" applyBorder="1" applyProtection="1"/>
    <xf numFmtId="43" fontId="28" fillId="36" borderId="14" xfId="4" applyNumberFormat="1" applyFont="1" applyFill="1" applyBorder="1" applyProtection="1"/>
    <xf numFmtId="175" fontId="28" fillId="36" borderId="5" xfId="4" applyNumberFormat="1" applyFont="1" applyFill="1" applyBorder="1" applyProtection="1"/>
    <xf numFmtId="175" fontId="28" fillId="36" borderId="14" xfId="4" applyNumberFormat="1" applyFont="1" applyFill="1" applyBorder="1" applyProtection="1"/>
    <xf numFmtId="43" fontId="28" fillId="42" borderId="9" xfId="4" applyFont="1" applyFill="1" applyBorder="1"/>
    <xf numFmtId="3" fontId="27" fillId="38" borderId="4" xfId="0" applyNumberFormat="1"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3" fontId="27" fillId="38" borderId="14" xfId="0" applyNumberFormat="1" applyFont="1" applyFill="1" applyBorder="1" applyAlignment="1">
      <alignment horizontal="center"/>
    </xf>
    <xf numFmtId="166" fontId="27" fillId="38" borderId="14" xfId="0" applyNumberFormat="1" applyFont="1" applyFill="1" applyBorder="1" applyAlignment="1">
      <alignment horizontal="center"/>
    </xf>
    <xf numFmtId="175" fontId="27" fillId="38" borderId="14" xfId="4" applyNumberFormat="1" applyFont="1" applyFill="1" applyBorder="1" applyAlignment="1">
      <alignment horizontal="center"/>
    </xf>
    <xf numFmtId="0" fontId="27" fillId="38" borderId="14" xfId="0" applyNumberFormat="1" applyFont="1" applyFill="1" applyBorder="1" applyAlignment="1">
      <alignment horizontal="center"/>
    </xf>
    <xf numFmtId="0" fontId="27" fillId="8" borderId="4" xfId="0" applyFont="1" applyFill="1" applyBorder="1" applyAlignment="1">
      <alignment horizontal="center" vertical="center" wrapText="1"/>
    </xf>
    <xf numFmtId="0" fontId="27" fillId="8" borderId="14" xfId="0" applyFont="1" applyFill="1" applyBorder="1" applyAlignment="1">
      <alignment horizontal="center" vertical="center" wrapText="1"/>
    </xf>
    <xf numFmtId="175" fontId="28" fillId="42" borderId="5" xfId="4" applyNumberFormat="1" applyFont="1" applyFill="1" applyBorder="1"/>
    <xf numFmtId="175" fontId="28" fillId="42" borderId="14" xfId="4" applyNumberFormat="1" applyFont="1" applyFill="1" applyBorder="1"/>
    <xf numFmtId="0" fontId="70" fillId="3" borderId="0" xfId="260" applyFont="1" applyFill="1" applyAlignment="1">
      <alignment horizontal="left" vertical="center" indent="1"/>
    </xf>
    <xf numFmtId="43" fontId="27" fillId="38" borderId="4" xfId="4" applyFont="1" applyFill="1" applyBorder="1" applyAlignment="1">
      <alignment horizontal="center" vertical="center" wrapText="1"/>
    </xf>
    <xf numFmtId="0" fontId="41" fillId="38" borderId="4" xfId="4" quotePrefix="1" applyNumberFormat="1" applyFont="1" applyFill="1" applyBorder="1" applyAlignment="1">
      <alignment horizontal="center"/>
    </xf>
    <xf numFmtId="14" fontId="41" fillId="38" borderId="4" xfId="0" applyNumberFormat="1" applyFont="1" applyFill="1" applyBorder="1" applyAlignment="1">
      <alignment horizontal="center"/>
    </xf>
    <xf numFmtId="43" fontId="41" fillId="38" borderId="4" xfId="4" applyFont="1" applyFill="1" applyBorder="1" applyAlignment="1">
      <alignment horizontal="center" vertical="center" wrapText="1"/>
    </xf>
    <xf numFmtId="3" fontId="41" fillId="38" borderId="4" xfId="0" applyNumberFormat="1" applyFont="1" applyFill="1" applyBorder="1" applyAlignment="1">
      <alignment horizontal="center" vertical="center" wrapText="1"/>
    </xf>
    <xf numFmtId="0" fontId="27" fillId="38" borderId="4" xfId="0"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175" fontId="28" fillId="3" borderId="6" xfId="4" applyNumberFormat="1" applyFont="1" applyFill="1" applyBorder="1" applyAlignment="1">
      <alignment vertical="center"/>
    </xf>
    <xf numFmtId="43" fontId="28" fillId="3" borderId="14" xfId="4" applyNumberFormat="1" applyFont="1" applyFill="1" applyBorder="1" applyAlignment="1">
      <alignment vertical="center"/>
    </xf>
    <xf numFmtId="175" fontId="28" fillId="3" borderId="7" xfId="4" applyNumberFormat="1" applyFont="1" applyFill="1" applyBorder="1" applyAlignment="1">
      <alignment vertical="center"/>
    </xf>
    <xf numFmtId="0" fontId="29" fillId="3" borderId="0" xfId="11" applyFont="1" applyFill="1" applyAlignment="1">
      <alignment vertical="center"/>
    </xf>
    <xf numFmtId="175" fontId="28" fillId="3" borderId="8" xfId="4" applyNumberFormat="1" applyFont="1" applyFill="1" applyBorder="1" applyAlignment="1">
      <alignment vertical="center"/>
    </xf>
    <xf numFmtId="43" fontId="28" fillId="3" borderId="4" xfId="4" applyNumberFormat="1" applyFont="1" applyFill="1" applyBorder="1" applyAlignment="1">
      <alignment vertical="center"/>
    </xf>
    <xf numFmtId="175" fontId="28" fillId="3" borderId="0" xfId="0" applyNumberFormat="1" applyFont="1" applyFill="1" applyAlignment="1">
      <alignment vertical="center"/>
    </xf>
    <xf numFmtId="175" fontId="28" fillId="3" borderId="9" xfId="4" applyNumberFormat="1" applyFont="1" applyFill="1" applyBorder="1" applyAlignment="1">
      <alignment vertical="center"/>
    </xf>
    <xf numFmtId="43" fontId="28" fillId="3" borderId="5" xfId="4" applyNumberFormat="1" applyFont="1" applyFill="1" applyBorder="1" applyAlignment="1">
      <alignment vertical="center"/>
    </xf>
    <xf numFmtId="181" fontId="27" fillId="39" borderId="14" xfId="4" applyNumberFormat="1" applyFont="1" applyFill="1" applyBorder="1" applyAlignment="1">
      <alignment horizontal="center" vertical="center"/>
    </xf>
    <xf numFmtId="0" fontId="28" fillId="36" borderId="14" xfId="0" applyFont="1" applyFill="1" applyBorder="1" applyAlignment="1">
      <alignment horizontal="center" vertical="center" wrapText="1"/>
    </xf>
    <xf numFmtId="175" fontId="33" fillId="33" borderId="3" xfId="0" applyNumberFormat="1" applyFont="1" applyFill="1" applyBorder="1"/>
    <xf numFmtId="175" fontId="33" fillId="33" borderId="14" xfId="0" applyNumberFormat="1" applyFont="1" applyFill="1" applyBorder="1"/>
    <xf numFmtId="175" fontId="28" fillId="33" borderId="7" xfId="0" applyNumberFormat="1" applyFont="1" applyFill="1" applyBorder="1"/>
    <xf numFmtId="175" fontId="28" fillId="5" borderId="3" xfId="0" applyNumberFormat="1" applyFont="1" applyFill="1" applyBorder="1"/>
    <xf numFmtId="175" fontId="28" fillId="42" borderId="4" xfId="4" applyNumberFormat="1" applyFont="1" applyFill="1" applyBorder="1"/>
    <xf numFmtId="175" fontId="28" fillId="42" borderId="3" xfId="4" applyNumberFormat="1" applyFont="1" applyFill="1" applyBorder="1"/>
    <xf numFmtId="167" fontId="27" fillId="39" borderId="14" xfId="12" applyNumberFormat="1" applyFont="1" applyFill="1" applyBorder="1" applyAlignment="1">
      <alignment horizontal="center" vertical="center" wrapText="1"/>
    </xf>
    <xf numFmtId="172" fontId="33" fillId="35" borderId="11" xfId="0" applyNumberFormat="1" applyFont="1" applyFill="1" applyBorder="1" applyAlignment="1">
      <alignment horizontal="center"/>
    </xf>
    <xf numFmtId="172" fontId="33" fillId="35" borderId="5" xfId="0" applyNumberFormat="1" applyFont="1" applyFill="1" applyBorder="1" applyAlignment="1">
      <alignment horizontal="center"/>
    </xf>
    <xf numFmtId="172" fontId="33" fillId="35" borderId="14" xfId="0" applyNumberFormat="1" applyFont="1" applyFill="1" applyBorder="1" applyAlignment="1">
      <alignment horizontal="center"/>
    </xf>
    <xf numFmtId="175" fontId="27" fillId="5" borderId="14" xfId="4" applyNumberFormat="1" applyFont="1" applyFill="1" applyBorder="1" applyAlignment="1">
      <alignment horizontal="center" vertical="center" wrapText="1"/>
    </xf>
    <xf numFmtId="167" fontId="27" fillId="5" borderId="14" xfId="12" applyNumberFormat="1" applyFont="1" applyFill="1" applyBorder="1" applyAlignment="1">
      <alignment horizontal="center" vertical="center" wrapText="1"/>
    </xf>
    <xf numFmtId="172" fontId="33" fillId="36" borderId="5" xfId="0" applyNumberFormat="1" applyFont="1" applyFill="1" applyBorder="1" applyAlignment="1">
      <alignment horizontal="center"/>
    </xf>
    <xf numFmtId="172" fontId="33" fillId="36" borderId="14" xfId="0" applyNumberFormat="1" applyFont="1" applyFill="1" applyBorder="1" applyAlignment="1">
      <alignment horizontal="center"/>
    </xf>
    <xf numFmtId="175" fontId="27" fillId="40" borderId="14" xfId="4" applyNumberFormat="1" applyFont="1" applyFill="1" applyBorder="1" applyAlignment="1">
      <alignment horizontal="center" vertical="center" wrapText="1"/>
    </xf>
    <xf numFmtId="167" fontId="27" fillId="40" borderId="14" xfId="12" applyNumberFormat="1" applyFont="1" applyFill="1" applyBorder="1" applyAlignment="1">
      <alignment horizontal="center" vertical="center" wrapText="1"/>
    </xf>
    <xf numFmtId="172" fontId="33" fillId="41" borderId="5" xfId="0" applyNumberFormat="1" applyFont="1" applyFill="1" applyBorder="1" applyAlignment="1">
      <alignment horizontal="center"/>
    </xf>
    <xf numFmtId="172" fontId="33" fillId="41" borderId="14" xfId="0" applyNumberFormat="1" applyFont="1" applyFill="1" applyBorder="1" applyAlignment="1">
      <alignment horizontal="center"/>
    </xf>
    <xf numFmtId="0" fontId="68" fillId="43" borderId="8" xfId="668" applyFill="1" applyBorder="1" applyAlignment="1">
      <alignment horizontal="left" vertical="center" indent="1"/>
    </xf>
    <xf numFmtId="0" fontId="68" fillId="43" borderId="9" xfId="668" applyFill="1" applyBorder="1" applyAlignment="1">
      <alignment horizontal="left" vertical="center" indent="1"/>
    </xf>
    <xf numFmtId="175" fontId="28" fillId="3" borderId="0" xfId="4" applyNumberFormat="1" applyFont="1" applyFill="1" applyBorder="1" applyAlignment="1">
      <alignment horizontal="left"/>
    </xf>
    <xf numFmtId="175" fontId="28" fillId="42" borderId="5" xfId="4" applyNumberFormat="1" applyFont="1" applyFill="1" applyBorder="1" applyProtection="1"/>
    <xf numFmtId="175" fontId="28" fillId="42" borderId="14" xfId="4" applyNumberFormat="1" applyFont="1" applyFill="1" applyBorder="1" applyProtection="1"/>
    <xf numFmtId="0" fontId="27" fillId="5" borderId="4" xfId="0" applyFont="1" applyFill="1" applyBorder="1" applyAlignment="1">
      <alignment horizontal="center" vertical="center" wrapText="1"/>
    </xf>
    <xf numFmtId="0" fontId="27" fillId="5" borderId="14" xfId="0" applyFont="1" applyFill="1" applyBorder="1" applyAlignment="1">
      <alignment horizontal="center" vertical="center" wrapText="1"/>
    </xf>
    <xf numFmtId="43" fontId="27" fillId="5" borderId="4" xfId="4" applyFont="1" applyFill="1" applyBorder="1" applyAlignment="1">
      <alignment horizontal="center" vertical="center" wrapText="1"/>
    </xf>
    <xf numFmtId="43" fontId="68" fillId="3" borderId="0" xfId="668" applyNumberFormat="1" applyFill="1" applyAlignment="1">
      <alignment horizontal="left" vertical="center"/>
    </xf>
    <xf numFmtId="175" fontId="28" fillId="44" borderId="5" xfId="4" applyNumberFormat="1" applyFont="1" applyFill="1" applyBorder="1"/>
    <xf numFmtId="175" fontId="28" fillId="44" borderId="0" xfId="4" applyNumberFormat="1" applyFont="1" applyFill="1" applyBorder="1"/>
    <xf numFmtId="175" fontId="28" fillId="44" borderId="14" xfId="4" applyNumberFormat="1" applyFont="1" applyFill="1" applyBorder="1"/>
    <xf numFmtId="175" fontId="28" fillId="44" borderId="6" xfId="4" applyNumberFormat="1" applyFont="1" applyFill="1" applyBorder="1"/>
    <xf numFmtId="0" fontId="68" fillId="34" borderId="17" xfId="668" applyFill="1" applyBorder="1" applyAlignment="1">
      <alignment horizontal="left" vertical="center" wrapText="1" indent="1"/>
    </xf>
    <xf numFmtId="177" fontId="28" fillId="3" borderId="5" xfId="4" applyNumberFormat="1" applyFont="1" applyFill="1" applyBorder="1"/>
    <xf numFmtId="177" fontId="28" fillId="44" borderId="4" xfId="4" applyNumberFormat="1" applyFont="1" applyFill="1" applyBorder="1"/>
    <xf numFmtId="177" fontId="28" fillId="44" borderId="5" xfId="4" applyNumberFormat="1" applyFont="1" applyFill="1" applyBorder="1"/>
    <xf numFmtId="177" fontId="28" fillId="44" borderId="3" xfId="4" applyNumberFormat="1" applyFont="1" applyFill="1" applyBorder="1"/>
    <xf numFmtId="43" fontId="28" fillId="3" borderId="12" xfId="4" applyNumberFormat="1" applyFont="1" applyFill="1" applyBorder="1"/>
    <xf numFmtId="43" fontId="28" fillId="3" borderId="11" xfId="4" applyNumberFormat="1" applyFont="1" applyFill="1" applyBorder="1"/>
    <xf numFmtId="43" fontId="28" fillId="3" borderId="8" xfId="4" applyNumberFormat="1" applyFont="1" applyFill="1" applyBorder="1"/>
    <xf numFmtId="43" fontId="28" fillId="3" borderId="9" xfId="4" applyNumberFormat="1" applyFont="1" applyFill="1" applyBorder="1"/>
    <xf numFmtId="0" fontId="28" fillId="36" borderId="4" xfId="0" applyFont="1" applyFill="1" applyBorder="1" applyAlignment="1">
      <alignment horizontal="center" vertical="center" wrapText="1"/>
    </xf>
    <xf numFmtId="175" fontId="28" fillId="35" borderId="12" xfId="4" applyNumberFormat="1" applyFont="1" applyFill="1" applyBorder="1"/>
    <xf numFmtId="175" fontId="28" fillId="35" borderId="13" xfId="4" applyNumberFormat="1" applyFont="1" applyFill="1" applyBorder="1"/>
    <xf numFmtId="0" fontId="68" fillId="5" borderId="17" xfId="668" applyFill="1" applyBorder="1" applyAlignment="1">
      <alignment horizontal="left" vertical="center" wrapText="1" indent="1"/>
    </xf>
    <xf numFmtId="177" fontId="27" fillId="5" borderId="4" xfId="0" applyNumberFormat="1" applyFont="1" applyFill="1" applyBorder="1" applyAlignment="1">
      <alignment horizontal="center" vertical="center" wrapText="1"/>
    </xf>
    <xf numFmtId="179" fontId="27" fillId="5" borderId="4" xfId="4" applyNumberFormat="1" applyFont="1" applyFill="1" applyBorder="1" applyAlignment="1">
      <alignment horizontal="center" vertical="center" wrapText="1"/>
    </xf>
    <xf numFmtId="175" fontId="28" fillId="4" borderId="4" xfId="0" applyNumberFormat="1" applyFont="1" applyFill="1" applyBorder="1"/>
    <xf numFmtId="175" fontId="28" fillId="4" borderId="5" xfId="0" applyNumberFormat="1" applyFont="1" applyFill="1" applyBorder="1"/>
    <xf numFmtId="175" fontId="28" fillId="4" borderId="3" xfId="0" applyNumberFormat="1" applyFont="1" applyFill="1" applyBorder="1"/>
    <xf numFmtId="175" fontId="28" fillId="4" borderId="14" xfId="0" applyNumberFormat="1" applyFont="1" applyFill="1" applyBorder="1"/>
    <xf numFmtId="0" fontId="67" fillId="7" borderId="0" xfId="0" applyFont="1" applyFill="1" applyAlignment="1">
      <alignment horizontal="center"/>
    </xf>
    <xf numFmtId="183" fontId="27" fillId="5" borderId="14" xfId="0" applyNumberFormat="1" applyFont="1" applyFill="1" applyBorder="1" applyAlignment="1">
      <alignment horizontal="center" vertical="top" wrapText="1"/>
    </xf>
    <xf numFmtId="16" fontId="79" fillId="36" borderId="17" xfId="668" applyNumberFormat="1" applyFont="1" applyFill="1" applyBorder="1" applyAlignment="1">
      <alignment horizontal="center" vertical="center"/>
    </xf>
    <xf numFmtId="0" fontId="79" fillId="36" borderId="6" xfId="668" applyFont="1" applyFill="1" applyBorder="1" applyAlignment="1">
      <alignment horizontal="center" vertical="center"/>
    </xf>
    <xf numFmtId="0" fontId="79" fillId="36" borderId="7" xfId="668" applyFont="1" applyFill="1" applyBorder="1" applyAlignment="1">
      <alignment horizontal="center" vertical="center"/>
    </xf>
    <xf numFmtId="43" fontId="72" fillId="3" borderId="4" xfId="4" applyFont="1" applyFill="1" applyBorder="1"/>
    <xf numFmtId="43" fontId="72" fillId="3" borderId="5" xfId="4" applyFont="1" applyFill="1" applyBorder="1"/>
    <xf numFmtId="43" fontId="72" fillId="3" borderId="3" xfId="4" applyFont="1" applyFill="1" applyBorder="1"/>
    <xf numFmtId="43" fontId="1" fillId="31" borderId="4" xfId="4" applyFont="1" applyFill="1" applyBorder="1"/>
    <xf numFmtId="43" fontId="1" fillId="31" borderId="5" xfId="4" applyFont="1" applyFill="1" applyBorder="1"/>
    <xf numFmtId="43" fontId="1" fillId="31" borderId="3" xfId="4" applyFont="1" applyFill="1" applyBorder="1"/>
    <xf numFmtId="182" fontId="28" fillId="7" borderId="14" xfId="4" applyNumberFormat="1" applyFont="1" applyFill="1" applyBorder="1"/>
    <xf numFmtId="177" fontId="28" fillId="6" borderId="14" xfId="4" applyNumberFormat="1" applyFont="1" applyFill="1" applyBorder="1" applyAlignment="1">
      <alignment horizontal="center" vertical="center" wrapText="1"/>
    </xf>
    <xf numFmtId="0" fontId="21" fillId="7" borderId="16" xfId="260" applyFont="1" applyFill="1" applyBorder="1" applyAlignment="1">
      <alignment horizontal="center" vertical="center"/>
    </xf>
    <xf numFmtId="0" fontId="21" fillId="7" borderId="13" xfId="260" applyFont="1" applyFill="1" applyBorder="1" applyAlignment="1">
      <alignment horizontal="center" vertical="center"/>
    </xf>
    <xf numFmtId="0" fontId="21" fillId="5" borderId="6" xfId="260" applyFont="1" applyFill="1" applyBorder="1" applyAlignment="1">
      <alignment horizontal="center" vertical="center" wrapText="1"/>
    </xf>
    <xf numFmtId="0" fontId="21" fillId="5" borderId="7" xfId="260" applyFont="1" applyFill="1" applyBorder="1" applyAlignment="1">
      <alignment horizontal="center" vertical="center" wrapText="1"/>
    </xf>
    <xf numFmtId="0" fontId="21" fillId="43" borderId="15" xfId="260" applyFont="1" applyFill="1" applyBorder="1" applyAlignment="1">
      <alignment horizontal="center" vertical="center" wrapText="1"/>
    </xf>
    <xf numFmtId="0" fontId="21" fillId="43" borderId="12" xfId="260" applyFont="1" applyFill="1" applyBorder="1" applyAlignment="1">
      <alignment horizontal="center" vertical="center" wrapText="1"/>
    </xf>
    <xf numFmtId="0" fontId="21" fillId="43" borderId="11" xfId="260" applyFont="1" applyFill="1" applyBorder="1" applyAlignment="1">
      <alignment horizontal="center" vertical="center" wrapText="1"/>
    </xf>
    <xf numFmtId="0" fontId="21" fillId="43" borderId="0" xfId="260" applyFont="1" applyFill="1" applyBorder="1" applyAlignment="1">
      <alignment horizontal="center" vertical="center" wrapText="1"/>
    </xf>
    <xf numFmtId="0" fontId="21" fillId="32" borderId="6" xfId="260" applyFont="1" applyFill="1" applyBorder="1" applyAlignment="1">
      <alignment horizontal="center" vertical="center" wrapText="1"/>
    </xf>
    <xf numFmtId="0" fontId="21" fillId="32" borderId="7" xfId="260" applyFont="1" applyFill="1" applyBorder="1" applyAlignment="1">
      <alignment horizontal="center" vertical="center" wrapText="1"/>
    </xf>
    <xf numFmtId="0" fontId="21" fillId="7" borderId="15" xfId="260" applyFont="1" applyFill="1" applyBorder="1" applyAlignment="1">
      <alignment horizontal="center" vertical="center"/>
    </xf>
    <xf numFmtId="0" fontId="21" fillId="7" borderId="12" xfId="260" applyFont="1" applyFill="1" applyBorder="1" applyAlignment="1">
      <alignment horizontal="center" vertical="center"/>
    </xf>
    <xf numFmtId="0" fontId="21" fillId="35" borderId="16" xfId="260" applyFont="1" applyFill="1" applyBorder="1" applyAlignment="1">
      <alignment horizontal="center" vertical="center" wrapText="1"/>
    </xf>
    <xf numFmtId="0" fontId="21" fillId="35" borderId="13" xfId="260" applyFont="1" applyFill="1" applyBorder="1" applyAlignment="1">
      <alignment horizontal="center" vertical="center" wrapText="1"/>
    </xf>
    <xf numFmtId="0" fontId="21" fillId="7" borderId="15" xfId="260" applyFont="1" applyFill="1" applyBorder="1" applyAlignment="1">
      <alignment horizontal="center" vertical="center" wrapText="1"/>
    </xf>
    <xf numFmtId="0" fontId="21" fillId="7" borderId="12" xfId="260" applyFont="1" applyFill="1" applyBorder="1" applyAlignment="1">
      <alignment horizontal="center" vertical="center" wrapText="1"/>
    </xf>
    <xf numFmtId="0" fontId="21" fillId="7" borderId="11" xfId="260" applyFont="1" applyFill="1" applyBorder="1" applyAlignment="1">
      <alignment horizontal="center" vertical="center" wrapText="1"/>
    </xf>
    <xf numFmtId="0" fontId="21" fillId="7" borderId="16" xfId="260" applyFont="1" applyFill="1" applyBorder="1" applyAlignment="1">
      <alignment horizontal="center" vertical="center" wrapText="1"/>
    </xf>
    <xf numFmtId="0" fontId="21" fillId="7" borderId="13" xfId="260" applyFont="1" applyFill="1" applyBorder="1" applyAlignment="1">
      <alignment horizontal="center" vertical="center" wrapText="1"/>
    </xf>
    <xf numFmtId="0" fontId="21" fillId="34" borderId="6" xfId="260" applyFont="1" applyFill="1" applyBorder="1" applyAlignment="1">
      <alignment horizontal="center" vertical="center" wrapText="1"/>
    </xf>
    <xf numFmtId="0" fontId="21" fillId="34" borderId="7" xfId="260" applyFont="1" applyFill="1" applyBorder="1" applyAlignment="1">
      <alignment horizontal="center" vertical="center" wrapText="1"/>
    </xf>
    <xf numFmtId="0" fontId="66" fillId="7" borderId="8" xfId="0" applyFont="1" applyFill="1" applyBorder="1" applyAlignment="1">
      <alignment horizontal="left" vertical="center" wrapText="1"/>
    </xf>
    <xf numFmtId="0" fontId="66" fillId="7" borderId="15" xfId="0" applyFont="1" applyFill="1" applyBorder="1" applyAlignment="1">
      <alignment horizontal="left" vertical="center" wrapText="1"/>
    </xf>
    <xf numFmtId="0" fontId="66" fillId="7" borderId="12" xfId="0" applyFont="1" applyFill="1" applyBorder="1" applyAlignment="1">
      <alignment horizontal="left" vertical="center" wrapText="1"/>
    </xf>
    <xf numFmtId="0" fontId="66" fillId="7" borderId="9" xfId="0" applyFont="1" applyFill="1" applyBorder="1" applyAlignment="1">
      <alignment horizontal="left" vertical="center" wrapText="1"/>
    </xf>
    <xf numFmtId="0" fontId="66" fillId="7" borderId="0" xfId="0" applyFont="1" applyFill="1" applyBorder="1" applyAlignment="1">
      <alignment horizontal="left" vertical="center" wrapText="1"/>
    </xf>
    <xf numFmtId="0" fontId="66" fillId="7" borderId="11" xfId="0" applyFont="1" applyFill="1" applyBorder="1" applyAlignment="1">
      <alignment horizontal="left" vertical="center" wrapText="1"/>
    </xf>
    <xf numFmtId="0" fontId="66" fillId="7" borderId="10" xfId="0" applyFont="1" applyFill="1" applyBorder="1" applyAlignment="1">
      <alignment horizontal="left" vertical="center" wrapText="1"/>
    </xf>
    <xf numFmtId="0" fontId="66" fillId="7" borderId="16" xfId="0" applyFont="1" applyFill="1" applyBorder="1" applyAlignment="1">
      <alignment horizontal="left" vertical="center" wrapText="1"/>
    </xf>
    <xf numFmtId="0" fontId="66" fillId="7" borderId="13" xfId="0" applyFont="1" applyFill="1" applyBorder="1" applyAlignment="1">
      <alignment horizontal="left" vertical="center" wrapText="1"/>
    </xf>
    <xf numFmtId="0" fontId="28" fillId="7" borderId="17" xfId="0" applyFont="1" applyFill="1" applyBorder="1" applyAlignment="1">
      <alignment horizontal="center"/>
    </xf>
    <xf numFmtId="0" fontId="28" fillId="7" borderId="7" xfId="0" applyFont="1" applyFill="1" applyBorder="1" applyAlignment="1">
      <alignment horizontal="center"/>
    </xf>
    <xf numFmtId="0" fontId="28" fillId="7" borderId="6" xfId="0" applyFont="1" applyFill="1" applyBorder="1" applyAlignment="1">
      <alignment horizontal="center"/>
    </xf>
    <xf numFmtId="0" fontId="28" fillId="7" borderId="0" xfId="0" applyFont="1" applyFill="1" applyAlignment="1">
      <alignment horizontal="center"/>
    </xf>
    <xf numFmtId="0" fontId="40" fillId="3" borderId="0" xfId="0" applyFont="1" applyFill="1" applyAlignment="1">
      <alignment horizontal="center"/>
    </xf>
    <xf numFmtId="15" fontId="35" fillId="8" borderId="0" xfId="0" applyNumberFormat="1" applyFont="1" applyFill="1" applyAlignment="1">
      <alignment horizontal="center"/>
    </xf>
    <xf numFmtId="0" fontId="67" fillId="3" borderId="0" xfId="0" applyFont="1" applyFill="1" applyAlignment="1">
      <alignment horizontal="left" vertical="top" wrapText="1"/>
    </xf>
    <xf numFmtId="43" fontId="28" fillId="32" borderId="4" xfId="4" applyFont="1" applyFill="1" applyBorder="1" applyAlignment="1">
      <alignment horizontal="center" vertical="center" wrapText="1"/>
    </xf>
    <xf numFmtId="43" fontId="28" fillId="32" borderId="3" xfId="4" applyFont="1" applyFill="1" applyBorder="1" applyAlignment="1">
      <alignment horizontal="center" vertical="center" wrapText="1"/>
    </xf>
    <xf numFmtId="175" fontId="27" fillId="5" borderId="4" xfId="4" applyNumberFormat="1" applyFont="1" applyFill="1" applyBorder="1" applyAlignment="1">
      <alignment horizontal="center" vertical="center" wrapText="1"/>
    </xf>
    <xf numFmtId="175" fontId="27" fillId="5" borderId="3" xfId="4" applyNumberFormat="1" applyFont="1" applyFill="1" applyBorder="1" applyAlignment="1">
      <alignment horizontal="center" vertical="center" wrapText="1"/>
    </xf>
    <xf numFmtId="43" fontId="27" fillId="5" borderId="17" xfId="4" applyFont="1" applyFill="1" applyBorder="1" applyAlignment="1">
      <alignment horizontal="center"/>
    </xf>
    <xf numFmtId="43" fontId="27" fillId="5" borderId="6" xfId="4" applyFont="1" applyFill="1" applyBorder="1" applyAlignment="1">
      <alignment horizontal="center"/>
    </xf>
    <xf numFmtId="43" fontId="27" fillId="5" borderId="7" xfId="4" applyFont="1" applyFill="1" applyBorder="1" applyAlignment="1">
      <alignment horizontal="center"/>
    </xf>
    <xf numFmtId="175" fontId="2" fillId="36" borderId="8" xfId="4" applyNumberFormat="1" applyFont="1" applyFill="1" applyBorder="1" applyAlignment="1">
      <alignment horizontal="center" vertical="center" wrapText="1"/>
    </xf>
    <xf numFmtId="175" fontId="2" fillId="36" borderId="12" xfId="4" applyNumberFormat="1" applyFont="1" applyFill="1" applyBorder="1" applyAlignment="1">
      <alignment horizontal="center" vertical="center" wrapText="1"/>
    </xf>
    <xf numFmtId="175" fontId="27" fillId="5" borderId="5" xfId="4" applyNumberFormat="1" applyFont="1" applyFill="1" applyBorder="1" applyAlignment="1">
      <alignment horizontal="center" vertical="center" wrapText="1"/>
    </xf>
    <xf numFmtId="179" fontId="27" fillId="38" borderId="4" xfId="4" applyNumberFormat="1" applyFont="1" applyFill="1" applyBorder="1" applyAlignment="1">
      <alignment horizontal="center" vertical="center" wrapText="1"/>
    </xf>
    <xf numFmtId="179" fontId="27" fillId="38" borderId="3" xfId="4" applyNumberFormat="1" applyFont="1" applyFill="1" applyBorder="1" applyAlignment="1">
      <alignment horizontal="center" vertical="center" wrapText="1"/>
    </xf>
    <xf numFmtId="43" fontId="27" fillId="38" borderId="8" xfId="4" applyFont="1" applyFill="1" applyBorder="1" applyAlignment="1">
      <alignment horizontal="center" vertical="center" wrapText="1"/>
    </xf>
    <xf numFmtId="43" fontId="27" fillId="38" borderId="10" xfId="4" applyFont="1" applyFill="1" applyBorder="1" applyAlignment="1">
      <alignment horizontal="center" vertical="center" wrapText="1"/>
    </xf>
    <xf numFmtId="175" fontId="27" fillId="38" borderId="4" xfId="4" applyNumberFormat="1" applyFont="1" applyFill="1" applyBorder="1" applyAlignment="1">
      <alignment horizontal="center" vertical="center" wrapText="1"/>
    </xf>
    <xf numFmtId="175" fontId="27" fillId="38" borderId="3" xfId="4" applyNumberFormat="1" applyFont="1" applyFill="1" applyBorder="1" applyAlignment="1">
      <alignment horizontal="center" vertical="center" wrapText="1"/>
    </xf>
    <xf numFmtId="43" fontId="27" fillId="38" borderId="4" xfId="4" applyFont="1" applyFill="1" applyBorder="1" applyAlignment="1">
      <alignment horizontal="center" vertical="center" wrapText="1"/>
    </xf>
    <xf numFmtId="43" fontId="27" fillId="38" borderId="5" xfId="4" applyFont="1" applyFill="1" applyBorder="1" applyAlignment="1">
      <alignment horizontal="center" vertical="center" wrapText="1"/>
    </xf>
    <xf numFmtId="43" fontId="27" fillId="38" borderId="3" xfId="4" applyFont="1" applyFill="1" applyBorder="1" applyAlignment="1">
      <alignment horizontal="center" vertical="center" wrapText="1"/>
    </xf>
    <xf numFmtId="3" fontId="27" fillId="38" borderId="4" xfId="0" applyNumberFormat="1" applyFont="1" applyFill="1" applyBorder="1" applyAlignment="1">
      <alignment horizontal="center" vertical="center" wrapText="1"/>
    </xf>
    <xf numFmtId="3" fontId="27" fillId="38" borderId="3" xfId="0" applyNumberFormat="1" applyFont="1" applyFill="1" applyBorder="1" applyAlignment="1">
      <alignment horizontal="center" vertical="center" wrapText="1"/>
    </xf>
    <xf numFmtId="0" fontId="27" fillId="38" borderId="4" xfId="0" applyFont="1" applyFill="1" applyBorder="1" applyAlignment="1">
      <alignment horizontal="center" vertical="center" wrapText="1"/>
    </xf>
    <xf numFmtId="0" fontId="27" fillId="38" borderId="3" xfId="0" applyFont="1" applyFill="1" applyBorder="1" applyAlignment="1">
      <alignment horizontal="center" vertical="center" wrapText="1"/>
    </xf>
    <xf numFmtId="0" fontId="27" fillId="38" borderId="4" xfId="0" applyNumberFormat="1" applyFont="1" applyFill="1" applyBorder="1" applyAlignment="1">
      <alignment horizontal="center" vertical="center" wrapText="1"/>
    </xf>
    <xf numFmtId="0" fontId="27" fillId="38" borderId="3" xfId="0" applyNumberFormat="1" applyFont="1" applyFill="1" applyBorder="1" applyAlignment="1">
      <alignment horizontal="center" vertical="center" wrapText="1"/>
    </xf>
    <xf numFmtId="0" fontId="27" fillId="39" borderId="17" xfId="0" applyFont="1" applyFill="1" applyBorder="1" applyAlignment="1">
      <alignment horizontal="center" vertical="center" wrapText="1"/>
    </xf>
    <xf numFmtId="0" fontId="27" fillId="39" borderId="15" xfId="0" applyFont="1" applyFill="1" applyBorder="1" applyAlignment="1">
      <alignment horizontal="center" vertical="center" wrapText="1"/>
    </xf>
    <xf numFmtId="0" fontId="27" fillId="39" borderId="4"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39" borderId="13" xfId="0" applyFont="1" applyFill="1" applyBorder="1" applyAlignment="1">
      <alignment horizontal="center" vertical="center" wrapText="1"/>
    </xf>
    <xf numFmtId="0" fontId="27" fillId="39" borderId="8" xfId="0" applyFont="1" applyFill="1" applyBorder="1" applyAlignment="1">
      <alignment horizontal="center" vertical="center" wrapText="1"/>
    </xf>
    <xf numFmtId="0" fontId="27" fillId="39" borderId="10" xfId="0" applyFont="1" applyFill="1" applyBorder="1" applyAlignment="1">
      <alignment horizontal="center" vertical="center" wrapText="1"/>
    </xf>
    <xf numFmtId="4" fontId="28" fillId="3" borderId="17" xfId="0" applyNumberFormat="1" applyFont="1" applyFill="1" applyBorder="1" applyAlignment="1">
      <alignment horizontal="left" vertical="center"/>
    </xf>
    <xf numFmtId="4" fontId="28" fillId="3" borderId="7" xfId="0" applyNumberFormat="1" applyFont="1" applyFill="1" applyBorder="1" applyAlignment="1">
      <alignment horizontal="left" vertical="center"/>
    </xf>
    <xf numFmtId="4" fontId="28" fillId="3" borderId="8" xfId="0" applyNumberFormat="1" applyFont="1" applyFill="1" applyBorder="1" applyAlignment="1">
      <alignment horizontal="left" vertical="center"/>
    </xf>
    <xf numFmtId="4" fontId="28" fillId="3" borderId="12" xfId="0" applyNumberFormat="1" applyFont="1" applyFill="1" applyBorder="1" applyAlignment="1">
      <alignment horizontal="left" vertical="center"/>
    </xf>
    <xf numFmtId="4" fontId="28" fillId="3" borderId="9" xfId="0" applyNumberFormat="1" applyFont="1" applyFill="1" applyBorder="1" applyAlignment="1">
      <alignment horizontal="left" vertical="center"/>
    </xf>
    <xf numFmtId="4" fontId="28" fillId="3" borderId="11" xfId="0" applyNumberFormat="1" applyFont="1" applyFill="1" applyBorder="1" applyAlignment="1">
      <alignment horizontal="left" vertical="center"/>
    </xf>
    <xf numFmtId="0" fontId="28" fillId="35" borderId="17" xfId="0" applyFont="1" applyFill="1" applyBorder="1" applyAlignment="1">
      <alignment horizontal="center"/>
    </xf>
    <xf numFmtId="0" fontId="28" fillId="35" borderId="6" xfId="0" applyFont="1" applyFill="1" applyBorder="1" applyAlignment="1">
      <alignment horizontal="center"/>
    </xf>
    <xf numFmtId="0" fontId="28" fillId="35" borderId="7" xfId="0" applyFont="1" applyFill="1" applyBorder="1" applyAlignment="1">
      <alignment horizontal="center"/>
    </xf>
    <xf numFmtId="10" fontId="27" fillId="39" borderId="14" xfId="12" applyNumberFormat="1" applyFont="1" applyFill="1" applyBorder="1" applyAlignment="1">
      <alignment horizontal="center" vertical="center" wrapText="1"/>
    </xf>
    <xf numFmtId="10" fontId="27" fillId="39" borderId="4" xfId="12" applyNumberFormat="1" applyFont="1" applyFill="1" applyBorder="1" applyAlignment="1">
      <alignment horizontal="center" vertical="center" wrapText="1"/>
    </xf>
    <xf numFmtId="0" fontId="27" fillId="39" borderId="5" xfId="0" applyFont="1" applyFill="1" applyBorder="1" applyAlignment="1">
      <alignment horizontal="center" vertical="center" wrapText="1"/>
    </xf>
    <xf numFmtId="0" fontId="27" fillId="39" borderId="17" xfId="0" applyFont="1" applyFill="1" applyBorder="1" applyAlignment="1">
      <alignment horizontal="center" vertical="center"/>
    </xf>
    <xf numFmtId="0" fontId="27" fillId="39" borderId="6" xfId="0" applyFont="1" applyFill="1" applyBorder="1" applyAlignment="1">
      <alignment horizontal="center" vertical="center"/>
    </xf>
    <xf numFmtId="0" fontId="27" fillId="39" borderId="7" xfId="0" applyFont="1" applyFill="1" applyBorder="1" applyAlignment="1">
      <alignment horizontal="center" vertical="center"/>
    </xf>
    <xf numFmtId="0" fontId="27" fillId="5" borderId="14" xfId="0" applyFont="1" applyFill="1" applyBorder="1" applyAlignment="1">
      <alignment horizontal="center" vertical="center" wrapText="1"/>
    </xf>
    <xf numFmtId="0" fontId="28" fillId="3" borderId="17" xfId="0" applyFont="1" applyFill="1" applyBorder="1" applyAlignment="1">
      <alignment horizontal="left"/>
    </xf>
    <xf numFmtId="0" fontId="28" fillId="3" borderId="7" xfId="0" applyFont="1" applyFill="1" applyBorder="1" applyAlignment="1">
      <alignment horizontal="left"/>
    </xf>
    <xf numFmtId="0" fontId="28" fillId="3" borderId="8" xfId="0" applyFont="1" applyFill="1" applyBorder="1" applyAlignment="1">
      <alignment horizontal="left"/>
    </xf>
    <xf numFmtId="0" fontId="28" fillId="3" borderId="12" xfId="0" applyFont="1" applyFill="1" applyBorder="1" applyAlignment="1">
      <alignment horizontal="left"/>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17"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43" fontId="27" fillId="5" borderId="4" xfId="4" applyFont="1" applyFill="1" applyBorder="1" applyAlignment="1">
      <alignment horizontal="center" vertical="center" wrapText="1"/>
    </xf>
    <xf numFmtId="43" fontId="27" fillId="5" borderId="3" xfId="4" applyFont="1" applyFill="1" applyBorder="1" applyAlignment="1">
      <alignment horizontal="center" vertical="center" wrapText="1"/>
    </xf>
    <xf numFmtId="43" fontId="68" fillId="3" borderId="0" xfId="668" applyNumberFormat="1" applyFill="1" applyAlignment="1">
      <alignment horizontal="left" vertical="center"/>
    </xf>
    <xf numFmtId="0" fontId="27" fillId="5" borderId="1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27" fillId="5" borderId="11" xfId="0" applyFont="1" applyFill="1" applyBorder="1" applyAlignment="1">
      <alignment horizontal="center" vertical="center" wrapText="1"/>
    </xf>
    <xf numFmtId="0" fontId="27" fillId="40" borderId="4" xfId="15" applyFont="1" applyFill="1" applyBorder="1" applyAlignment="1">
      <alignment horizontal="center" vertical="center" wrapText="1"/>
    </xf>
    <xf numFmtId="0" fontId="27" fillId="40" borderId="5" xfId="15" applyFont="1" applyFill="1" applyBorder="1" applyAlignment="1">
      <alignment horizontal="center" vertical="center" wrapText="1"/>
    </xf>
    <xf numFmtId="0" fontId="27" fillId="40" borderId="3" xfId="15" applyFont="1" applyFill="1" applyBorder="1" applyAlignment="1">
      <alignment horizontal="center" vertical="center" wrapText="1"/>
    </xf>
    <xf numFmtId="0" fontId="27" fillId="40" borderId="8" xfId="15" applyFont="1" applyFill="1" applyBorder="1" applyAlignment="1">
      <alignment horizontal="center" vertical="center" wrapText="1"/>
    </xf>
    <xf numFmtId="0" fontId="27" fillId="40" borderId="10" xfId="15" applyFont="1" applyFill="1" applyBorder="1" applyAlignment="1">
      <alignment horizontal="center" vertical="center" wrapText="1"/>
    </xf>
    <xf numFmtId="167" fontId="27" fillId="40" borderId="4" xfId="12" applyNumberFormat="1" applyFont="1" applyFill="1" applyBorder="1" applyAlignment="1">
      <alignment horizontal="center" vertical="center" wrapText="1"/>
    </xf>
    <xf numFmtId="167" fontId="27" fillId="40" borderId="3" xfId="12" applyNumberFormat="1" applyFont="1" applyFill="1" applyBorder="1" applyAlignment="1">
      <alignment horizontal="center" vertical="center" wrapText="1"/>
    </xf>
    <xf numFmtId="167" fontId="27" fillId="38" borderId="4" xfId="12" applyNumberFormat="1" applyFont="1" applyFill="1" applyBorder="1" applyAlignment="1">
      <alignment horizontal="center" vertical="center" wrapText="1"/>
    </xf>
    <xf numFmtId="167" fontId="27" fillId="38" borderId="3" xfId="12" applyNumberFormat="1" applyFont="1" applyFill="1" applyBorder="1" applyAlignment="1">
      <alignment horizontal="center" vertical="center" wrapText="1"/>
    </xf>
    <xf numFmtId="167" fontId="27" fillId="5" borderId="4" xfId="12" applyNumberFormat="1" applyFont="1" applyFill="1" applyBorder="1" applyAlignment="1">
      <alignment horizontal="center" vertical="center" wrapText="1"/>
    </xf>
    <xf numFmtId="167" fontId="27" fillId="5" borderId="5" xfId="12" applyNumberFormat="1" applyFont="1" applyFill="1" applyBorder="1" applyAlignment="1">
      <alignment horizontal="center" vertical="center" wrapText="1"/>
    </xf>
    <xf numFmtId="167" fontId="27" fillId="39" borderId="4" xfId="12" applyNumberFormat="1" applyFont="1" applyFill="1" applyBorder="1" applyAlignment="1">
      <alignment horizontal="center" vertical="center" wrapText="1"/>
    </xf>
    <xf numFmtId="167" fontId="27" fillId="39" borderId="3" xfId="12" applyNumberFormat="1" applyFont="1" applyFill="1" applyBorder="1" applyAlignment="1">
      <alignment horizontal="center" vertical="center" wrapText="1"/>
    </xf>
    <xf numFmtId="167" fontId="27" fillId="40" borderId="15" xfId="12" applyNumberFormat="1" applyFont="1" applyFill="1" applyBorder="1" applyAlignment="1">
      <alignment horizontal="center" vertical="center" wrapText="1"/>
    </xf>
    <xf numFmtId="167" fontId="27" fillId="40" borderId="12" xfId="12" applyNumberFormat="1" applyFont="1" applyFill="1" applyBorder="1" applyAlignment="1">
      <alignment horizontal="center" vertical="center" wrapText="1"/>
    </xf>
    <xf numFmtId="0" fontId="27" fillId="38" borderId="8" xfId="0" applyFont="1" applyFill="1" applyBorder="1" applyAlignment="1">
      <alignment horizontal="center" vertical="center" wrapText="1"/>
    </xf>
    <xf numFmtId="0" fontId="27" fillId="38" borderId="10" xfId="0" applyFont="1" applyFill="1" applyBorder="1" applyAlignment="1">
      <alignment horizontal="center" vertical="center" wrapText="1"/>
    </xf>
    <xf numFmtId="167" fontId="27" fillId="39" borderId="8" xfId="12" applyNumberFormat="1" applyFont="1" applyFill="1" applyBorder="1" applyAlignment="1">
      <alignment horizontal="center" vertical="center" wrapText="1"/>
    </xf>
    <xf numFmtId="167" fontId="27" fillId="39" borderId="15" xfId="12" applyNumberFormat="1" applyFont="1" applyFill="1" applyBorder="1" applyAlignment="1">
      <alignment horizontal="center" vertical="center" wrapText="1"/>
    </xf>
    <xf numFmtId="167" fontId="27" fillId="39" borderId="12" xfId="12" applyNumberFormat="1" applyFont="1" applyFill="1" applyBorder="1" applyAlignment="1">
      <alignment horizontal="center" vertical="center" wrapText="1"/>
    </xf>
    <xf numFmtId="167" fontId="27" fillId="5" borderId="15" xfId="12" applyNumberFormat="1" applyFont="1" applyFill="1" applyBorder="1" applyAlignment="1">
      <alignment horizontal="center" vertical="center" wrapText="1"/>
    </xf>
    <xf numFmtId="167" fontId="27" fillId="5" borderId="12" xfId="12" applyNumberFormat="1" applyFont="1" applyFill="1" applyBorder="1" applyAlignment="1">
      <alignment horizontal="center" vertical="center" wrapText="1"/>
    </xf>
  </cellXfs>
  <cellStyles count="669">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Lien hypertexte" xfId="668" builtinId="8"/>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12">
    <dxf>
      <fill>
        <patternFill>
          <bgColor rgb="FF00B050"/>
        </patternFill>
      </fill>
    </dxf>
    <dxf>
      <fill>
        <patternFill>
          <bgColor rgb="FF00B050"/>
        </patternFill>
      </fill>
    </dxf>
    <dxf>
      <fill>
        <patternFill>
          <bgColor rgb="FF00B050"/>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rgb="FF00B050"/>
        </patternFill>
      </fill>
    </dxf>
  </dxfs>
  <tableStyles count="0" defaultTableStyle="TableStyleMedium9" defaultPivotStyle="PivotStyleLight16"/>
  <colors>
    <mruColors>
      <color rgb="FFBF5201"/>
      <color rgb="FF00DE64"/>
      <color rgb="FF05FF76"/>
      <color rgb="FF23CF33"/>
      <color rgb="FFD97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7AA1-60A5-488A-A872-466268BDE675}">
  <dimension ref="A1:C19"/>
  <sheetViews>
    <sheetView tabSelected="1" zoomScaleNormal="100" workbookViewId="0"/>
  </sheetViews>
  <sheetFormatPr baseColWidth="10" defaultColWidth="11" defaultRowHeight="12.75" x14ac:dyDescent="0.2"/>
  <cols>
    <col min="1" max="1" width="38" style="433" customWidth="1"/>
    <col min="2" max="2" width="43.625" style="277" customWidth="1"/>
    <col min="3" max="3" width="43.625" style="276" customWidth="1"/>
    <col min="4" max="16384" width="11" style="276"/>
  </cols>
  <sheetData>
    <row r="1" spans="1:3" ht="26.45" customHeight="1" x14ac:dyDescent="0.2">
      <c r="A1" s="466" t="s">
        <v>401</v>
      </c>
    </row>
    <row r="2" spans="1:3" ht="24" customHeight="1" x14ac:dyDescent="0.2">
      <c r="A2" s="434" t="s">
        <v>566</v>
      </c>
      <c r="B2" s="562" t="s">
        <v>416</v>
      </c>
      <c r="C2" s="563"/>
    </row>
    <row r="3" spans="1:3" ht="24" customHeight="1" x14ac:dyDescent="0.2">
      <c r="A3" s="435" t="s">
        <v>530</v>
      </c>
      <c r="B3" s="564" t="s">
        <v>448</v>
      </c>
      <c r="C3" s="564"/>
    </row>
    <row r="4" spans="1:3" ht="24" customHeight="1" x14ac:dyDescent="0.2">
      <c r="A4" s="435" t="s">
        <v>404</v>
      </c>
      <c r="B4" s="564" t="s">
        <v>497</v>
      </c>
      <c r="C4" s="564"/>
    </row>
    <row r="5" spans="1:3" ht="24" customHeight="1" x14ac:dyDescent="0.2">
      <c r="A5" s="436" t="s">
        <v>415</v>
      </c>
      <c r="B5" s="565" t="s">
        <v>449</v>
      </c>
      <c r="C5" s="566"/>
    </row>
    <row r="6" spans="1:3" ht="7.5" customHeight="1" x14ac:dyDescent="0.2"/>
    <row r="7" spans="1:3" ht="45" customHeight="1" x14ac:dyDescent="0.2">
      <c r="A7" s="516" t="s">
        <v>430</v>
      </c>
      <c r="B7" s="567" t="s">
        <v>557</v>
      </c>
      <c r="C7" s="568"/>
    </row>
    <row r="8" spans="1:3" ht="24" customHeight="1" x14ac:dyDescent="0.2">
      <c r="A8" s="437" t="s">
        <v>556</v>
      </c>
      <c r="B8" s="560" t="s">
        <v>558</v>
      </c>
      <c r="C8" s="561"/>
    </row>
    <row r="9" spans="1:3" ht="7.5" customHeight="1" x14ac:dyDescent="0.2"/>
    <row r="10" spans="1:3" ht="45" customHeight="1" x14ac:dyDescent="0.2">
      <c r="A10" s="528" t="s">
        <v>565</v>
      </c>
      <c r="B10" s="550" t="s">
        <v>559</v>
      </c>
      <c r="C10" s="551"/>
    </row>
    <row r="11" spans="1:3" ht="30" customHeight="1" x14ac:dyDescent="0.2">
      <c r="A11" s="503" t="s">
        <v>258</v>
      </c>
      <c r="B11" s="552" t="s">
        <v>402</v>
      </c>
      <c r="C11" s="553"/>
    </row>
    <row r="12" spans="1:3" ht="30" customHeight="1" x14ac:dyDescent="0.2">
      <c r="A12" s="504" t="s">
        <v>561</v>
      </c>
      <c r="B12" s="554" t="s">
        <v>447</v>
      </c>
      <c r="C12" s="554"/>
    </row>
    <row r="13" spans="1:3" ht="30" customHeight="1" x14ac:dyDescent="0.2">
      <c r="A13" s="504" t="s">
        <v>560</v>
      </c>
      <c r="B13" s="555" t="s">
        <v>403</v>
      </c>
      <c r="C13" s="554"/>
    </row>
    <row r="14" spans="1:3" ht="24" customHeight="1" x14ac:dyDescent="0.2">
      <c r="A14" s="537" t="s">
        <v>405</v>
      </c>
      <c r="B14" s="538" t="s">
        <v>406</v>
      </c>
      <c r="C14" s="539" t="s">
        <v>407</v>
      </c>
    </row>
    <row r="15" spans="1:3" ht="7.5" customHeight="1" x14ac:dyDescent="0.2"/>
    <row r="16" spans="1:3" ht="24" customHeight="1" x14ac:dyDescent="0.2">
      <c r="A16" s="438" t="s">
        <v>414</v>
      </c>
      <c r="B16" s="556" t="s">
        <v>562</v>
      </c>
      <c r="C16" s="557"/>
    </row>
    <row r="17" spans="1:3" ht="7.5" customHeight="1" x14ac:dyDescent="0.2">
      <c r="B17" s="278"/>
    </row>
    <row r="18" spans="1:3" ht="24" customHeight="1" x14ac:dyDescent="0.2">
      <c r="A18" s="434" t="s">
        <v>432</v>
      </c>
      <c r="B18" s="558" t="s">
        <v>563</v>
      </c>
      <c r="C18" s="559"/>
    </row>
    <row r="19" spans="1:3" ht="24" customHeight="1" x14ac:dyDescent="0.2">
      <c r="A19" s="436" t="s">
        <v>408</v>
      </c>
      <c r="B19" s="548" t="s">
        <v>567</v>
      </c>
      <c r="C19" s="549"/>
    </row>
  </sheetData>
  <sheetProtection sheet="1" objects="1" scenarios="1"/>
  <mergeCells count="13">
    <mergeCell ref="B8:C8"/>
    <mergeCell ref="B2:C2"/>
    <mergeCell ref="B3:C3"/>
    <mergeCell ref="B4:C4"/>
    <mergeCell ref="B5:C5"/>
    <mergeCell ref="B7:C7"/>
    <mergeCell ref="B19:C19"/>
    <mergeCell ref="B10:C10"/>
    <mergeCell ref="B11:C11"/>
    <mergeCell ref="B12:C12"/>
    <mergeCell ref="B13:C13"/>
    <mergeCell ref="B16:C16"/>
    <mergeCell ref="B18:C18"/>
  </mergeCells>
  <hyperlinks>
    <hyperlink ref="A2" location="Paramètres!A1" display="Paramétrage du système" xr:uid="{BBC8A613-61B5-4A5C-8539-BACDC2EB90C1}"/>
    <hyperlink ref="A3" location="Recherche!A1" display="Résumé par commune" xr:uid="{914287E3-17F7-433D-B4A0-0185864640C0}"/>
    <hyperlink ref="A4" location="Données!A1" display="Données saisies" xr:uid="{13B56647-1FE3-41F8-B3FD-A2001CD5863F}"/>
    <hyperlink ref="A5" location="VPI!A1" display="Valeur du point d'impôt péréquatif (VPI)" xr:uid="{EF64F556-BDED-4A47-92A9-01649819B5F2}"/>
    <hyperlink ref="A8" location="Ecrêtage!A1" display="Détail écrêtage" xr:uid="{30313161-3EA3-413C-A1FF-1AA5DF37EBA6}"/>
    <hyperlink ref="A11" location="Population!A1" display="Population" xr:uid="{EB7AF72B-EF98-4405-8D9C-5649DEA917C0}"/>
    <hyperlink ref="A12" location="Solidarité!A1" display="Solidarité" xr:uid="{B4DEC7AC-11F5-433C-AAFF-E84C5E8125E3}"/>
    <hyperlink ref="A13" location="DT!A1" display="Dépenses thématiques (DT)" xr:uid="{BC6E28BE-1F7A-44E2-B13B-DF9AFD02365B}"/>
    <hyperlink ref="A14" location="Effort!A1" display="Plafond de l'effort" xr:uid="{E66483E2-EF22-4C79-995E-014AC22AF508}"/>
    <hyperlink ref="B14" location="Aide!A1" display="Plafond de l'aide" xr:uid="{7F6E5FE6-8556-4E3B-AA4A-1A5388348FAA}"/>
    <hyperlink ref="A16" location="'Facture policière'!A1" display="Facture policière" xr:uid="{27A18F56-0333-42B2-B4AC-6E784EE84614}"/>
    <hyperlink ref="A18" location="Synthèse!A1" display="Synthèse" xr:uid="{7FC7A801-78C4-4FE0-81C4-0E3F6B07D24F}"/>
    <hyperlink ref="A19" location="'Décompte vs acomptes'!A1" display="Acomptes vs Décompte" xr:uid="{FD8DF11C-672C-4310-A721-79361D41A756}"/>
    <hyperlink ref="C14" location="Taux!A1" display="Plafond du taux" xr:uid="{BC18F71E-E60D-4300-B8D3-91E894DB1FEB}"/>
    <hyperlink ref="A7" location="PCS!A1" display="Participation à la cohésion sociale (PCS)" xr:uid="{E3489D3D-B727-448F-9585-ADA813A95D36}"/>
    <hyperlink ref="A10" location="'Péréquation directe'!A1" display="Péréquation directe" xr:uid="{5FA54ED3-C648-4139-9448-FE897237670D}"/>
  </hyperlinks>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6" tint="0.39997558519241921"/>
  </sheetPr>
  <dimension ref="A1:L306"/>
  <sheetViews>
    <sheetView workbookViewId="0">
      <pane ySplit="5" topLeftCell="A6" activePane="bottomLeft" state="frozen"/>
      <selection pane="bottomLeft"/>
    </sheetView>
  </sheetViews>
  <sheetFormatPr baseColWidth="10" defaultColWidth="11" defaultRowHeight="15" x14ac:dyDescent="0.25"/>
  <cols>
    <col min="1" max="1" width="7.25" style="11" customWidth="1"/>
    <col min="2" max="2" width="21.25" style="11" customWidth="1"/>
    <col min="3" max="3" width="10.125" style="11" customWidth="1"/>
    <col min="4" max="4" width="20.5" style="11" customWidth="1"/>
    <col min="5" max="5" width="12" style="11" bestFit="1" customWidth="1"/>
    <col min="6" max="6" width="10.625" style="12" customWidth="1"/>
    <col min="7" max="7" width="12.5" style="13" bestFit="1" customWidth="1"/>
    <col min="8" max="8" width="11.125" style="11" bestFit="1" customWidth="1"/>
    <col min="9" max="9" width="13.875" style="5" customWidth="1"/>
    <col min="10" max="16384" width="11" style="11"/>
  </cols>
  <sheetData>
    <row r="1" spans="1:12" s="289" customFormat="1" ht="26.25" x14ac:dyDescent="0.4">
      <c r="A1" s="282" t="s">
        <v>359</v>
      </c>
      <c r="B1" s="287"/>
      <c r="C1" s="288"/>
      <c r="D1" s="288"/>
      <c r="E1" s="415" t="s">
        <v>409</v>
      </c>
      <c r="F1" s="306" t="s">
        <v>401</v>
      </c>
      <c r="G1" s="511" t="s">
        <v>410</v>
      </c>
      <c r="I1" s="290"/>
      <c r="J1" s="389"/>
      <c r="K1" s="389"/>
      <c r="L1" s="389"/>
    </row>
    <row r="2" spans="1:12" s="220" customFormat="1" ht="15.75" customHeight="1" x14ac:dyDescent="0.25">
      <c r="A2" s="360" t="str">
        <f>Paramètres!B4</f>
        <v>Acomptes 2022</v>
      </c>
      <c r="B2" s="32"/>
      <c r="C2" s="60"/>
      <c r="D2" s="60"/>
      <c r="F2" s="239"/>
      <c r="G2" s="240"/>
      <c r="I2" s="5"/>
      <c r="J2" s="396"/>
      <c r="K2" s="396"/>
      <c r="L2" s="396"/>
    </row>
    <row r="3" spans="1:12" ht="26.45" customHeight="1" x14ac:dyDescent="0.25">
      <c r="J3" s="396"/>
      <c r="K3" s="396"/>
      <c r="L3" s="396"/>
    </row>
    <row r="4" spans="1:12" ht="36.75" customHeight="1" x14ac:dyDescent="0.25">
      <c r="A4" s="638" t="s">
        <v>44</v>
      </c>
      <c r="B4" s="638" t="s">
        <v>84</v>
      </c>
      <c r="C4" s="638" t="s">
        <v>258</v>
      </c>
      <c r="D4" s="638" t="s">
        <v>507</v>
      </c>
      <c r="E4" s="314" t="s">
        <v>300</v>
      </c>
      <c r="F4" s="644" t="s">
        <v>71</v>
      </c>
      <c r="G4" s="587" t="s">
        <v>494</v>
      </c>
      <c r="H4" s="638" t="s">
        <v>429</v>
      </c>
      <c r="I4" s="587" t="s">
        <v>512</v>
      </c>
      <c r="J4" s="396"/>
      <c r="K4" s="396"/>
      <c r="L4" s="396"/>
    </row>
    <row r="5" spans="1:12" x14ac:dyDescent="0.25">
      <c r="A5" s="640"/>
      <c r="B5" s="640"/>
      <c r="C5" s="640"/>
      <c r="D5" s="640"/>
      <c r="E5" s="249">
        <f>+Paramètres!B35</f>
        <v>0.27</v>
      </c>
      <c r="F5" s="645"/>
      <c r="G5" s="594"/>
      <c r="H5" s="640"/>
      <c r="I5" s="588"/>
    </row>
    <row r="6" spans="1:12" x14ac:dyDescent="0.25">
      <c r="A6" s="38">
        <f>Données!A6</f>
        <v>5401</v>
      </c>
      <c r="B6" s="27" t="str">
        <f>Données!B6</f>
        <v>Aigle</v>
      </c>
      <c r="C6" s="31">
        <f>Données!Z6</f>
        <v>10518</v>
      </c>
      <c r="D6" s="244">
        <f>Ecrêtage!E6</f>
        <v>26.997297057593691</v>
      </c>
      <c r="E6" s="244">
        <f>IF($D$306-D6&lt;0,0,$D$306-D6)</f>
        <v>19.174347654330738</v>
      </c>
      <c r="F6" s="244">
        <f>+Données!X6</f>
        <v>66</v>
      </c>
      <c r="G6" s="391">
        <f>-((C6*E6*F6)*$E$5)</f>
        <v>-3593862.5533554279</v>
      </c>
      <c r="H6" s="164">
        <f t="shared" ref="H6:H69" si="0">F6/$F$306</f>
        <v>0.97677491187562415</v>
      </c>
      <c r="I6" s="42">
        <f t="shared" ref="I6:I69" si="1">G6*H6</f>
        <v>-3510394.7788468539</v>
      </c>
    </row>
    <row r="7" spans="1:12" x14ac:dyDescent="0.25">
      <c r="A7" s="38">
        <f>Données!A7</f>
        <v>5402</v>
      </c>
      <c r="B7" s="27" t="str">
        <f>Données!B7</f>
        <v>Bex</v>
      </c>
      <c r="C7" s="31">
        <f>Données!Z7</f>
        <v>7828</v>
      </c>
      <c r="D7" s="244">
        <f>Ecrêtage!E7</f>
        <v>22.859280157211245</v>
      </c>
      <c r="E7" s="244">
        <f t="shared" ref="E7:E70" si="2">IF($D$306-D7&lt;0,0,$D$306-D7)</f>
        <v>23.312364554713184</v>
      </c>
      <c r="F7" s="244">
        <f>+Données!X7</f>
        <v>71</v>
      </c>
      <c r="G7" s="392">
        <f t="shared" ref="G7:G70" si="3">-((C7*E7*F7)*$E$5)</f>
        <v>-3498317.7672064314</v>
      </c>
      <c r="H7" s="164">
        <f t="shared" si="0"/>
        <v>1.050773011260141</v>
      </c>
      <c r="I7" s="42">
        <f t="shared" si="1"/>
        <v>-3675937.894592355</v>
      </c>
    </row>
    <row r="8" spans="1:12" x14ac:dyDescent="0.25">
      <c r="A8" s="38">
        <f>Données!A8</f>
        <v>5403</v>
      </c>
      <c r="B8" s="27" t="str">
        <f>Données!B8</f>
        <v>Chessel</v>
      </c>
      <c r="C8" s="31">
        <f>Données!Z8</f>
        <v>444</v>
      </c>
      <c r="D8" s="244">
        <f>Ecrêtage!E8</f>
        <v>24.315871091600421</v>
      </c>
      <c r="E8" s="244">
        <f t="shared" si="2"/>
        <v>21.855773620324008</v>
      </c>
      <c r="F8" s="244">
        <f>+Données!X8</f>
        <v>74</v>
      </c>
      <c r="G8" s="392">
        <f t="shared" si="3"/>
        <v>-193885.19047872873</v>
      </c>
      <c r="H8" s="164">
        <f t="shared" si="0"/>
        <v>1.0951718708908513</v>
      </c>
      <c r="I8" s="42">
        <f t="shared" si="1"/>
        <v>-212337.60679461842</v>
      </c>
    </row>
    <row r="9" spans="1:12" x14ac:dyDescent="0.25">
      <c r="A9" s="38">
        <f>Données!A9</f>
        <v>5404</v>
      </c>
      <c r="B9" s="27" t="str">
        <f>Données!B9</f>
        <v>Corbeyrier</v>
      </c>
      <c r="C9" s="31">
        <f>Données!Z9</f>
        <v>445</v>
      </c>
      <c r="D9" s="244">
        <f>Ecrêtage!E9</f>
        <v>25.317858677572357</v>
      </c>
      <c r="E9" s="244">
        <f t="shared" si="2"/>
        <v>20.853786034352073</v>
      </c>
      <c r="F9" s="244">
        <f>+Données!X9</f>
        <v>74</v>
      </c>
      <c r="G9" s="392">
        <f t="shared" si="3"/>
        <v>-185413.09701002773</v>
      </c>
      <c r="H9" s="164">
        <f t="shared" si="0"/>
        <v>1.0951718708908513</v>
      </c>
      <c r="I9" s="42">
        <f t="shared" si="1"/>
        <v>-203059.20834013898</v>
      </c>
    </row>
    <row r="10" spans="1:12" x14ac:dyDescent="0.25">
      <c r="A10" s="38">
        <f>Données!A10</f>
        <v>5405</v>
      </c>
      <c r="B10" s="27" t="str">
        <f>Données!B10</f>
        <v>Gryon</v>
      </c>
      <c r="C10" s="31">
        <f>Données!Z10</f>
        <v>1378</v>
      </c>
      <c r="D10" s="244">
        <f>Ecrêtage!E10</f>
        <v>49.474673206617005</v>
      </c>
      <c r="E10" s="244">
        <f t="shared" si="2"/>
        <v>0</v>
      </c>
      <c r="F10" s="244">
        <f>+Données!X10</f>
        <v>73.5</v>
      </c>
      <c r="G10" s="392">
        <f t="shared" si="3"/>
        <v>0</v>
      </c>
      <c r="H10" s="164">
        <f t="shared" si="0"/>
        <v>1.0877720609523995</v>
      </c>
      <c r="I10" s="42">
        <f t="shared" si="1"/>
        <v>0</v>
      </c>
    </row>
    <row r="11" spans="1:12" x14ac:dyDescent="0.25">
      <c r="A11" s="38">
        <f>Données!A11</f>
        <v>5406</v>
      </c>
      <c r="B11" s="27" t="str">
        <f>Données!B11</f>
        <v>Lavey-Morcles</v>
      </c>
      <c r="C11" s="31">
        <f>Données!Z11</f>
        <v>944</v>
      </c>
      <c r="D11" s="244">
        <f>Ecrêtage!E11</f>
        <v>23.119482078237802</v>
      </c>
      <c r="E11" s="244">
        <f t="shared" si="2"/>
        <v>23.052162633686628</v>
      </c>
      <c r="F11" s="244">
        <f>+Données!X11</f>
        <v>71.5</v>
      </c>
      <c r="G11" s="392">
        <f t="shared" si="3"/>
        <v>-420100.76766329451</v>
      </c>
      <c r="H11" s="164">
        <f t="shared" si="0"/>
        <v>1.0581728211985928</v>
      </c>
      <c r="I11" s="42">
        <f t="shared" si="1"/>
        <v>-444539.21450596291</v>
      </c>
    </row>
    <row r="12" spans="1:12" x14ac:dyDescent="0.25">
      <c r="A12" s="38">
        <f>Données!A12</f>
        <v>5407</v>
      </c>
      <c r="B12" s="27" t="str">
        <f>Données!B12</f>
        <v>Leysin</v>
      </c>
      <c r="C12" s="31">
        <f>Données!Z12</f>
        <v>3645</v>
      </c>
      <c r="D12" s="244">
        <f>Ecrêtage!E12</f>
        <v>24.896601584944236</v>
      </c>
      <c r="E12" s="244">
        <f t="shared" si="2"/>
        <v>21.275043126980194</v>
      </c>
      <c r="F12" s="244">
        <f>+Données!X12</f>
        <v>78</v>
      </c>
      <c r="G12" s="392">
        <f t="shared" si="3"/>
        <v>-1633151.0280865699</v>
      </c>
      <c r="H12" s="164">
        <f t="shared" si="0"/>
        <v>1.1543703503984648</v>
      </c>
      <c r="I12" s="42">
        <f t="shared" si="1"/>
        <v>-1885261.1245459067</v>
      </c>
    </row>
    <row r="13" spans="1:12" x14ac:dyDescent="0.25">
      <c r="A13" s="38">
        <f>Données!A13</f>
        <v>5408</v>
      </c>
      <c r="B13" s="27" t="str">
        <f>Données!B13</f>
        <v>Noville</v>
      </c>
      <c r="C13" s="31">
        <f>Données!Z13</f>
        <v>1170</v>
      </c>
      <c r="D13" s="244">
        <f>Ecrêtage!E13</f>
        <v>37.321914909970616</v>
      </c>
      <c r="E13" s="244">
        <f t="shared" si="2"/>
        <v>8.8497298019538135</v>
      </c>
      <c r="F13" s="244">
        <f>+Données!X13</f>
        <v>78.5</v>
      </c>
      <c r="G13" s="392">
        <f t="shared" si="3"/>
        <v>-219456.92708832095</v>
      </c>
      <c r="H13" s="164">
        <f t="shared" si="0"/>
        <v>1.1617701603369166</v>
      </c>
      <c r="I13" s="42">
        <f t="shared" si="1"/>
        <v>-254958.50937044565</v>
      </c>
    </row>
    <row r="14" spans="1:12" x14ac:dyDescent="0.25">
      <c r="A14" s="38">
        <f>Données!A14</f>
        <v>5409</v>
      </c>
      <c r="B14" s="27" t="str">
        <f>Données!B14</f>
        <v>Ollon</v>
      </c>
      <c r="C14" s="31">
        <f>Données!Z14</f>
        <v>7634</v>
      </c>
      <c r="D14" s="244">
        <f>Ecrêtage!E14</f>
        <v>50.954482769835693</v>
      </c>
      <c r="E14" s="244">
        <f t="shared" si="2"/>
        <v>0</v>
      </c>
      <c r="F14" s="244">
        <f>+Données!X14</f>
        <v>68</v>
      </c>
      <c r="G14" s="392">
        <f t="shared" si="3"/>
        <v>0</v>
      </c>
      <c r="H14" s="164">
        <f t="shared" si="0"/>
        <v>1.0063741516294309</v>
      </c>
      <c r="I14" s="42">
        <f t="shared" si="1"/>
        <v>0</v>
      </c>
    </row>
    <row r="15" spans="1:12" x14ac:dyDescent="0.25">
      <c r="A15" s="38">
        <f>Données!A15</f>
        <v>5410</v>
      </c>
      <c r="B15" s="27" t="str">
        <f>Données!B15</f>
        <v>Ormont-Dessous</v>
      </c>
      <c r="C15" s="31">
        <f>Données!Z15</f>
        <v>1180</v>
      </c>
      <c r="D15" s="244">
        <f>Ecrêtage!E15</f>
        <v>33.488259912938332</v>
      </c>
      <c r="E15" s="244">
        <f t="shared" si="2"/>
        <v>12.683384798986097</v>
      </c>
      <c r="F15" s="244">
        <f>+Données!X15</f>
        <v>77</v>
      </c>
      <c r="G15" s="392">
        <f t="shared" si="3"/>
        <v>-311151.33256568678</v>
      </c>
      <c r="H15" s="164">
        <f t="shared" si="0"/>
        <v>1.1395707305215614</v>
      </c>
      <c r="I15" s="42">
        <f t="shared" si="1"/>
        <v>-354578.95135463699</v>
      </c>
    </row>
    <row r="16" spans="1:12" x14ac:dyDescent="0.25">
      <c r="A16" s="38">
        <f>Données!A16</f>
        <v>5411</v>
      </c>
      <c r="B16" s="27" t="str">
        <f>Données!B16</f>
        <v>Ormont-Dessus</v>
      </c>
      <c r="C16" s="31">
        <f>Données!Z16</f>
        <v>1466</v>
      </c>
      <c r="D16" s="244">
        <f>Ecrêtage!E16</f>
        <v>46.398749286391919</v>
      </c>
      <c r="E16" s="244">
        <f t="shared" si="2"/>
        <v>0</v>
      </c>
      <c r="F16" s="244">
        <f>+Données!X16</f>
        <v>76</v>
      </c>
      <c r="G16" s="392">
        <f t="shared" si="3"/>
        <v>0</v>
      </c>
      <c r="H16" s="164">
        <f t="shared" si="0"/>
        <v>1.1247711106446581</v>
      </c>
      <c r="I16" s="42">
        <f t="shared" si="1"/>
        <v>0</v>
      </c>
    </row>
    <row r="17" spans="1:9" x14ac:dyDescent="0.25">
      <c r="A17" s="38">
        <f>Données!A17</f>
        <v>5412</v>
      </c>
      <c r="B17" s="27" t="str">
        <f>Données!B17</f>
        <v>Rennaz</v>
      </c>
      <c r="C17" s="31">
        <f>Données!Z17</f>
        <v>889</v>
      </c>
      <c r="D17" s="244">
        <f>Ecrêtage!E17</f>
        <v>27.280898481788252</v>
      </c>
      <c r="E17" s="244">
        <f t="shared" si="2"/>
        <v>18.890746230136177</v>
      </c>
      <c r="F17" s="244">
        <f>+Données!X17</f>
        <v>69</v>
      </c>
      <c r="G17" s="392">
        <f t="shared" si="3"/>
        <v>-312869.86141575151</v>
      </c>
      <c r="H17" s="164">
        <f t="shared" si="0"/>
        <v>1.0211737715063343</v>
      </c>
      <c r="I17" s="42">
        <f t="shared" si="1"/>
        <v>-319494.49637258711</v>
      </c>
    </row>
    <row r="18" spans="1:9" x14ac:dyDescent="0.25">
      <c r="A18" s="38">
        <f>Données!A18</f>
        <v>5413</v>
      </c>
      <c r="B18" s="27" t="str">
        <f>Données!B18</f>
        <v>Roche</v>
      </c>
      <c r="C18" s="31">
        <f>Données!Z18</f>
        <v>1868</v>
      </c>
      <c r="D18" s="244">
        <f>Ecrêtage!E18</f>
        <v>25.67003609861916</v>
      </c>
      <c r="E18" s="244">
        <f t="shared" si="2"/>
        <v>20.501608613305269</v>
      </c>
      <c r="F18" s="244">
        <f>+Données!X18</f>
        <v>68</v>
      </c>
      <c r="G18" s="392">
        <f t="shared" si="3"/>
        <v>-703133.00977405196</v>
      </c>
      <c r="H18" s="164">
        <f t="shared" si="0"/>
        <v>1.0063741516294309</v>
      </c>
      <c r="I18" s="42">
        <f t="shared" si="1"/>
        <v>-707614.88619400992</v>
      </c>
    </row>
    <row r="19" spans="1:9" x14ac:dyDescent="0.25">
      <c r="A19" s="38">
        <f>Données!A19</f>
        <v>5414</v>
      </c>
      <c r="B19" s="27" t="str">
        <f>Données!B19</f>
        <v>Villeneuve</v>
      </c>
      <c r="C19" s="31">
        <f>Données!Z19</f>
        <v>5837</v>
      </c>
      <c r="D19" s="244">
        <f>Ecrêtage!E19</f>
        <v>27.293014583062373</v>
      </c>
      <c r="E19" s="244">
        <f t="shared" si="2"/>
        <v>18.878630128862056</v>
      </c>
      <c r="F19" s="244">
        <f>+Données!X19</f>
        <v>67.5</v>
      </c>
      <c r="G19" s="392">
        <f t="shared" si="3"/>
        <v>-2008295.9300330086</v>
      </c>
      <c r="H19" s="164">
        <f t="shared" si="0"/>
        <v>0.99897434169097921</v>
      </c>
      <c r="I19" s="42">
        <f t="shared" si="1"/>
        <v>-2006236.1046253976</v>
      </c>
    </row>
    <row r="20" spans="1:9" x14ac:dyDescent="0.25">
      <c r="A20" s="38">
        <f>Données!A20</f>
        <v>5415</v>
      </c>
      <c r="B20" s="27" t="str">
        <f>Données!B20</f>
        <v>Yvorne</v>
      </c>
      <c r="C20" s="31">
        <f>Données!Z20</f>
        <v>1070</v>
      </c>
      <c r="D20" s="244">
        <f>Ecrêtage!E20</f>
        <v>35.645879931684391</v>
      </c>
      <c r="E20" s="244">
        <f t="shared" si="2"/>
        <v>10.525764780240038</v>
      </c>
      <c r="F20" s="244">
        <f>+Données!X20</f>
        <v>71.5</v>
      </c>
      <c r="G20" s="392">
        <f t="shared" si="3"/>
        <v>-217423.88131831129</v>
      </c>
      <c r="H20" s="164">
        <f t="shared" si="0"/>
        <v>1.0581728211985928</v>
      </c>
      <c r="I20" s="42">
        <f t="shared" si="1"/>
        <v>-230072.04189054549</v>
      </c>
    </row>
    <row r="21" spans="1:9" x14ac:dyDescent="0.25">
      <c r="A21" s="38">
        <f>Données!A21</f>
        <v>5422</v>
      </c>
      <c r="B21" s="27" t="str">
        <f>Données!B21</f>
        <v>Aubonne</v>
      </c>
      <c r="C21" s="31">
        <f>Données!Z21</f>
        <v>3764</v>
      </c>
      <c r="D21" s="244">
        <f>Ecrêtage!E21</f>
        <v>68.315521070812949</v>
      </c>
      <c r="E21" s="244">
        <f t="shared" si="2"/>
        <v>0</v>
      </c>
      <c r="F21" s="244">
        <f>+Données!X21</f>
        <v>68.92</v>
      </c>
      <c r="G21" s="392">
        <f t="shared" si="3"/>
        <v>0</v>
      </c>
      <c r="H21" s="164">
        <f t="shared" si="0"/>
        <v>1.0199898019161822</v>
      </c>
      <c r="I21" s="42">
        <f t="shared" si="1"/>
        <v>0</v>
      </c>
    </row>
    <row r="22" spans="1:9" x14ac:dyDescent="0.25">
      <c r="A22" s="38">
        <f>Données!A22</f>
        <v>5423</v>
      </c>
      <c r="B22" s="27" t="str">
        <f>Données!B22</f>
        <v>Ballens</v>
      </c>
      <c r="C22" s="31">
        <f>Données!Z22</f>
        <v>562</v>
      </c>
      <c r="D22" s="244">
        <f>Ecrêtage!E22</f>
        <v>30.451190169893035</v>
      </c>
      <c r="E22" s="244">
        <f t="shared" si="2"/>
        <v>15.720454542031394</v>
      </c>
      <c r="F22" s="244">
        <f>+Données!X22</f>
        <v>73</v>
      </c>
      <c r="G22" s="392">
        <f t="shared" si="3"/>
        <v>-174135.78937117261</v>
      </c>
      <c r="H22" s="164">
        <f t="shared" si="0"/>
        <v>1.080372251013948</v>
      </c>
      <c r="I22" s="42">
        <f t="shared" si="1"/>
        <v>-188131.47474502446</v>
      </c>
    </row>
    <row r="23" spans="1:9" x14ac:dyDescent="0.25">
      <c r="A23" s="38">
        <f>Données!A23</f>
        <v>5424</v>
      </c>
      <c r="B23" s="27" t="str">
        <f>Données!B23</f>
        <v>Berolle</v>
      </c>
      <c r="C23" s="31">
        <f>Données!Z23</f>
        <v>313</v>
      </c>
      <c r="D23" s="244">
        <f>Ecrêtage!E23</f>
        <v>29.120296241348115</v>
      </c>
      <c r="E23" s="244">
        <f t="shared" si="2"/>
        <v>17.051348470576315</v>
      </c>
      <c r="F23" s="244">
        <f>+Données!X23</f>
        <v>75.5</v>
      </c>
      <c r="G23" s="392">
        <f t="shared" si="3"/>
        <v>-108796.21417325454</v>
      </c>
      <c r="H23" s="164">
        <f t="shared" si="0"/>
        <v>1.1173713007062065</v>
      </c>
      <c r="I23" s="42">
        <f t="shared" si="1"/>
        <v>-121565.76734268044</v>
      </c>
    </row>
    <row r="24" spans="1:9" x14ac:dyDescent="0.25">
      <c r="A24" s="38">
        <f>Données!A24</f>
        <v>5425</v>
      </c>
      <c r="B24" s="27" t="str">
        <f>Données!B24</f>
        <v>Bière</v>
      </c>
      <c r="C24" s="31">
        <f>Données!Z24</f>
        <v>1627</v>
      </c>
      <c r="D24" s="244">
        <f>Ecrêtage!E24</f>
        <v>24.677402682958128</v>
      </c>
      <c r="E24" s="244">
        <f t="shared" si="2"/>
        <v>21.494242028966301</v>
      </c>
      <c r="F24" s="244">
        <f>+Données!X24</f>
        <v>69</v>
      </c>
      <c r="G24" s="392">
        <f t="shared" si="3"/>
        <v>-651512.1850824178</v>
      </c>
      <c r="H24" s="164">
        <f t="shared" si="0"/>
        <v>1.0211737715063343</v>
      </c>
      <c r="I24" s="42">
        <f t="shared" si="1"/>
        <v>-665307.1552229455</v>
      </c>
    </row>
    <row r="25" spans="1:9" x14ac:dyDescent="0.25">
      <c r="A25" s="38">
        <f>Données!A25</f>
        <v>5426</v>
      </c>
      <c r="B25" s="27" t="str">
        <f>Données!B25</f>
        <v>Bougy-Villars</v>
      </c>
      <c r="C25" s="31">
        <f>Données!Z25</f>
        <v>477</v>
      </c>
      <c r="D25" s="244">
        <f>Ecrêtage!E25</f>
        <v>116.56645034524595</v>
      </c>
      <c r="E25" s="244">
        <f t="shared" si="2"/>
        <v>0</v>
      </c>
      <c r="F25" s="244">
        <f>+Données!X25</f>
        <v>64.5</v>
      </c>
      <c r="G25" s="392">
        <f t="shared" si="3"/>
        <v>0</v>
      </c>
      <c r="H25" s="164">
        <f t="shared" si="0"/>
        <v>0.95457548206026899</v>
      </c>
      <c r="I25" s="42">
        <f t="shared" si="1"/>
        <v>0</v>
      </c>
    </row>
    <row r="26" spans="1:9" x14ac:dyDescent="0.25">
      <c r="A26" s="38">
        <f>Données!A26</f>
        <v>5427</v>
      </c>
      <c r="B26" s="27" t="str">
        <f>Données!B26</f>
        <v>Féchy</v>
      </c>
      <c r="C26" s="31">
        <f>Données!Z26</f>
        <v>869</v>
      </c>
      <c r="D26" s="244">
        <f>Ecrêtage!E26</f>
        <v>88.613926696519158</v>
      </c>
      <c r="E26" s="244">
        <f t="shared" si="2"/>
        <v>0</v>
      </c>
      <c r="F26" s="244">
        <f>+Données!X26</f>
        <v>64</v>
      </c>
      <c r="G26" s="392">
        <f t="shared" si="3"/>
        <v>0</v>
      </c>
      <c r="H26" s="164">
        <f t="shared" si="0"/>
        <v>0.9471756721218173</v>
      </c>
      <c r="I26" s="42">
        <f t="shared" si="1"/>
        <v>0</v>
      </c>
    </row>
    <row r="27" spans="1:9" x14ac:dyDescent="0.25">
      <c r="A27" s="38">
        <f>Données!A27</f>
        <v>5428</v>
      </c>
      <c r="B27" s="27" t="str">
        <f>Données!B27</f>
        <v>Gimel</v>
      </c>
      <c r="C27" s="31">
        <f>Données!Z27</f>
        <v>2307</v>
      </c>
      <c r="D27" s="244">
        <f>Ecrêtage!E27</f>
        <v>30.411797801760102</v>
      </c>
      <c r="E27" s="244">
        <f t="shared" si="2"/>
        <v>15.759846910164327</v>
      </c>
      <c r="F27" s="244">
        <f>+Données!X27</f>
        <v>74.5</v>
      </c>
      <c r="G27" s="392">
        <f t="shared" si="3"/>
        <v>-731340.50261948339</v>
      </c>
      <c r="H27" s="164">
        <f t="shared" si="0"/>
        <v>1.1025716808293029</v>
      </c>
      <c r="I27" s="42">
        <f t="shared" si="1"/>
        <v>-806355.32723171101</v>
      </c>
    </row>
    <row r="28" spans="1:9" x14ac:dyDescent="0.25">
      <c r="A28" s="38">
        <f>Données!A28</f>
        <v>5429</v>
      </c>
      <c r="B28" s="27" t="str">
        <f>Données!B28</f>
        <v>Longirod</v>
      </c>
      <c r="C28" s="31">
        <f>Données!Z28</f>
        <v>494</v>
      </c>
      <c r="D28" s="244">
        <f>Ecrêtage!E28</f>
        <v>32.664165804617625</v>
      </c>
      <c r="E28" s="244">
        <f t="shared" si="2"/>
        <v>13.507478907306805</v>
      </c>
      <c r="F28" s="244">
        <f>+Données!X28</f>
        <v>77.5</v>
      </c>
      <c r="G28" s="392">
        <f t="shared" si="3"/>
        <v>-139626.13409088508</v>
      </c>
      <c r="H28" s="164">
        <f t="shared" si="0"/>
        <v>1.1469705404600132</v>
      </c>
      <c r="I28" s="42">
        <f t="shared" si="1"/>
        <v>-160147.06248056475</v>
      </c>
    </row>
    <row r="29" spans="1:9" x14ac:dyDescent="0.25">
      <c r="A29" s="38">
        <f>Données!A29</f>
        <v>5430</v>
      </c>
      <c r="B29" s="27" t="str">
        <f>Données!B29</f>
        <v>Marchissy</v>
      </c>
      <c r="C29" s="31">
        <f>Données!Z29</f>
        <v>481</v>
      </c>
      <c r="D29" s="244">
        <f>Ecrêtage!E29</f>
        <v>30.870305143853532</v>
      </c>
      <c r="E29" s="244">
        <f t="shared" si="2"/>
        <v>15.301339568070897</v>
      </c>
      <c r="F29" s="244">
        <f>+Données!X29</f>
        <v>77.5</v>
      </c>
      <c r="G29" s="392">
        <f t="shared" si="3"/>
        <v>-154006.83515216599</v>
      </c>
      <c r="H29" s="164">
        <f t="shared" si="0"/>
        <v>1.1469705404600132</v>
      </c>
      <c r="I29" s="42">
        <f t="shared" si="1"/>
        <v>-176641.30294901598</v>
      </c>
    </row>
    <row r="30" spans="1:9" x14ac:dyDescent="0.25">
      <c r="A30" s="38">
        <f>Données!A30</f>
        <v>5431</v>
      </c>
      <c r="B30" s="27" t="str">
        <f>Données!B30</f>
        <v>Mollens</v>
      </c>
      <c r="C30" s="31">
        <f>Données!Z30</f>
        <v>330</v>
      </c>
      <c r="D30" s="244">
        <f>Ecrêtage!E30</f>
        <v>28.282268907891446</v>
      </c>
      <c r="E30" s="244">
        <f t="shared" si="2"/>
        <v>17.889375804032984</v>
      </c>
      <c r="F30" s="244">
        <f>+Données!X30</f>
        <v>74</v>
      </c>
      <c r="G30" s="392">
        <f t="shared" si="3"/>
        <v>-117951.81042631109</v>
      </c>
      <c r="H30" s="164">
        <f t="shared" si="0"/>
        <v>1.0951718708908513</v>
      </c>
      <c r="I30" s="42">
        <f t="shared" si="1"/>
        <v>-129177.50489954614</v>
      </c>
    </row>
    <row r="31" spans="1:9" x14ac:dyDescent="0.25">
      <c r="A31" s="38">
        <f>Données!A31</f>
        <v>5434</v>
      </c>
      <c r="B31" s="27" t="str">
        <f>Données!B31</f>
        <v>Saint-George</v>
      </c>
      <c r="C31" s="31">
        <f>Données!Z31</f>
        <v>1074</v>
      </c>
      <c r="D31" s="244">
        <f>Ecrêtage!E31</f>
        <v>37.980927293672067</v>
      </c>
      <c r="E31" s="244">
        <f t="shared" si="2"/>
        <v>8.1907174182523619</v>
      </c>
      <c r="F31" s="244">
        <f>+Données!X31</f>
        <v>69.5</v>
      </c>
      <c r="G31" s="392">
        <f t="shared" si="3"/>
        <v>-165072.52446766497</v>
      </c>
      <c r="H31" s="164">
        <f t="shared" si="0"/>
        <v>1.0285735814447861</v>
      </c>
      <c r="I31" s="42">
        <f t="shared" si="1"/>
        <v>-169789.23768983825</v>
      </c>
    </row>
    <row r="32" spans="1:9" x14ac:dyDescent="0.25">
      <c r="A32" s="38">
        <f>Données!A32</f>
        <v>5435</v>
      </c>
      <c r="B32" s="27" t="str">
        <f>Données!B32</f>
        <v>Saint-Livres</v>
      </c>
      <c r="C32" s="31">
        <f>Données!Z32</f>
        <v>683</v>
      </c>
      <c r="D32" s="244">
        <f>Ecrêtage!E32</f>
        <v>38.562204184914023</v>
      </c>
      <c r="E32" s="244">
        <f t="shared" si="2"/>
        <v>7.6094405270104062</v>
      </c>
      <c r="F32" s="244">
        <f>+Données!X32</f>
        <v>69</v>
      </c>
      <c r="G32" s="392">
        <f t="shared" si="3"/>
        <v>-96824.728003433251</v>
      </c>
      <c r="H32" s="164">
        <f t="shared" si="0"/>
        <v>1.0211737715063343</v>
      </c>
      <c r="I32" s="42">
        <f t="shared" si="1"/>
        <v>-98874.872670340905</v>
      </c>
    </row>
    <row r="33" spans="1:9" x14ac:dyDescent="0.25">
      <c r="A33" s="38">
        <f>Données!A33</f>
        <v>5436</v>
      </c>
      <c r="B33" s="27" t="str">
        <f>Données!B33</f>
        <v>Saint-Oyens</v>
      </c>
      <c r="C33" s="31">
        <f>Données!Z33</f>
        <v>461</v>
      </c>
      <c r="D33" s="244">
        <f>Ecrêtage!E33</f>
        <v>36.342052899627205</v>
      </c>
      <c r="E33" s="244">
        <f t="shared" si="2"/>
        <v>9.8295918122972239</v>
      </c>
      <c r="F33" s="244">
        <f>+Données!X33</f>
        <v>81</v>
      </c>
      <c r="G33" s="392">
        <f t="shared" si="3"/>
        <v>-99102.632723007482</v>
      </c>
      <c r="H33" s="164">
        <f t="shared" si="0"/>
        <v>1.1987692100291751</v>
      </c>
      <c r="I33" s="42">
        <f t="shared" si="1"/>
        <v>-118801.18474117116</v>
      </c>
    </row>
    <row r="34" spans="1:9" x14ac:dyDescent="0.25">
      <c r="A34" s="38">
        <f>Données!A34</f>
        <v>5437</v>
      </c>
      <c r="B34" s="27" t="str">
        <f>Données!B34</f>
        <v>Saubraz</v>
      </c>
      <c r="C34" s="31">
        <f>Données!Z34</f>
        <v>423</v>
      </c>
      <c r="D34" s="244">
        <f>Ecrêtage!E34</f>
        <v>31.627486568654842</v>
      </c>
      <c r="E34" s="244">
        <f t="shared" si="2"/>
        <v>14.544158143269588</v>
      </c>
      <c r="F34" s="244">
        <f>+Données!X34</f>
        <v>80</v>
      </c>
      <c r="G34" s="392">
        <f t="shared" si="3"/>
        <v>-132887.06412342557</v>
      </c>
      <c r="H34" s="164">
        <f t="shared" si="0"/>
        <v>1.1839695901522718</v>
      </c>
      <c r="I34" s="42">
        <f t="shared" si="1"/>
        <v>-157334.24284675083</v>
      </c>
    </row>
    <row r="35" spans="1:9" x14ac:dyDescent="0.25">
      <c r="A35" s="38">
        <f>Données!A35</f>
        <v>5451</v>
      </c>
      <c r="B35" s="27" t="str">
        <f>Données!B35</f>
        <v>Avenches</v>
      </c>
      <c r="C35" s="31">
        <f>Données!Z35</f>
        <v>4482</v>
      </c>
      <c r="D35" s="244">
        <f>Ecrêtage!E35</f>
        <v>28.780028272034162</v>
      </c>
      <c r="E35" s="244">
        <f t="shared" si="2"/>
        <v>17.391616439890267</v>
      </c>
      <c r="F35" s="244">
        <f>+Données!X35</f>
        <v>66.5</v>
      </c>
      <c r="G35" s="392">
        <f t="shared" si="3"/>
        <v>-1399578.3327848257</v>
      </c>
      <c r="H35" s="164">
        <f t="shared" si="0"/>
        <v>0.98417472181407584</v>
      </c>
      <c r="I35" s="42">
        <f t="shared" si="1"/>
        <v>-1377429.6163255139</v>
      </c>
    </row>
    <row r="36" spans="1:9" x14ac:dyDescent="0.25">
      <c r="A36" s="38">
        <f>Données!A36</f>
        <v>5456</v>
      </c>
      <c r="B36" s="27" t="str">
        <f>Données!B36</f>
        <v>Cudrefin</v>
      </c>
      <c r="C36" s="31">
        <f>Données!Z36</f>
        <v>1780</v>
      </c>
      <c r="D36" s="244">
        <f>Ecrêtage!E36</f>
        <v>36.074332726073507</v>
      </c>
      <c r="E36" s="244">
        <f t="shared" si="2"/>
        <v>10.097311985850922</v>
      </c>
      <c r="F36" s="244">
        <f>+Données!X36</f>
        <v>59</v>
      </c>
      <c r="G36" s="392">
        <f t="shared" si="3"/>
        <v>-286313.32028359728</v>
      </c>
      <c r="H36" s="164">
        <f t="shared" si="0"/>
        <v>0.87317757273730034</v>
      </c>
      <c r="I36" s="42">
        <f t="shared" si="1"/>
        <v>-250002.37004758875</v>
      </c>
    </row>
    <row r="37" spans="1:9" x14ac:dyDescent="0.25">
      <c r="A37" s="38">
        <f>Données!A37</f>
        <v>5458</v>
      </c>
      <c r="B37" s="27" t="str">
        <f>Données!B37</f>
        <v>Faoug</v>
      </c>
      <c r="C37" s="31">
        <f>Données!Z37</f>
        <v>881</v>
      </c>
      <c r="D37" s="244">
        <f>Ecrêtage!E37</f>
        <v>36.54208208709359</v>
      </c>
      <c r="E37" s="244">
        <f t="shared" si="2"/>
        <v>9.6295626248308395</v>
      </c>
      <c r="F37" s="244">
        <f>+Données!X37</f>
        <v>66</v>
      </c>
      <c r="G37" s="392">
        <f t="shared" si="3"/>
        <v>-151178.5480635218</v>
      </c>
      <c r="H37" s="164">
        <f t="shared" si="0"/>
        <v>0.97677491187562415</v>
      </c>
      <c r="I37" s="42">
        <f t="shared" si="1"/>
        <v>-147667.41296223132</v>
      </c>
    </row>
    <row r="38" spans="1:9" x14ac:dyDescent="0.25">
      <c r="A38" s="38">
        <f>Données!A38</f>
        <v>5464</v>
      </c>
      <c r="B38" s="27" t="str">
        <f>Données!B38</f>
        <v>Vully-les-Lacs</v>
      </c>
      <c r="C38" s="31">
        <f>Données!Z38</f>
        <v>3360</v>
      </c>
      <c r="D38" s="244">
        <f>Ecrêtage!E38</f>
        <v>33.209081390206087</v>
      </c>
      <c r="E38" s="244">
        <f t="shared" si="2"/>
        <v>12.962563321718342</v>
      </c>
      <c r="F38" s="244">
        <f>+Données!X38</f>
        <v>67</v>
      </c>
      <c r="G38" s="392">
        <f t="shared" si="3"/>
        <v>-787895.70884601295</v>
      </c>
      <c r="H38" s="164">
        <f t="shared" si="0"/>
        <v>0.99157453175252752</v>
      </c>
      <c r="I38" s="42">
        <f t="shared" si="1"/>
        <v>-781257.31856881105</v>
      </c>
    </row>
    <row r="39" spans="1:9" x14ac:dyDescent="0.25">
      <c r="A39" s="38">
        <f>Données!A39</f>
        <v>5471</v>
      </c>
      <c r="B39" s="27" t="str">
        <f>Données!B39</f>
        <v>Bettens</v>
      </c>
      <c r="C39" s="31">
        <f>Données!Z39</f>
        <v>636</v>
      </c>
      <c r="D39" s="244">
        <f>Ecrêtage!E39</f>
        <v>32.044297347620976</v>
      </c>
      <c r="E39" s="244">
        <f t="shared" si="2"/>
        <v>14.127347364303454</v>
      </c>
      <c r="F39" s="244">
        <f>+Données!X39</f>
        <v>70</v>
      </c>
      <c r="G39" s="392">
        <f t="shared" si="3"/>
        <v>-169816.36625787325</v>
      </c>
      <c r="H39" s="164">
        <f t="shared" si="0"/>
        <v>1.0359733913832376</v>
      </c>
      <c r="I39" s="42">
        <f t="shared" si="1"/>
        <v>-175925.23686454695</v>
      </c>
    </row>
    <row r="40" spans="1:9" x14ac:dyDescent="0.25">
      <c r="A40" s="38">
        <f>Données!A40</f>
        <v>5472</v>
      </c>
      <c r="B40" s="27" t="str">
        <f>Données!B40</f>
        <v>Bournens</v>
      </c>
      <c r="C40" s="31">
        <f>Données!Z40</f>
        <v>490</v>
      </c>
      <c r="D40" s="244">
        <f>Ecrêtage!E40</f>
        <v>41.099560220152874</v>
      </c>
      <c r="E40" s="244">
        <f t="shared" si="2"/>
        <v>5.0720844917715553</v>
      </c>
      <c r="F40" s="244">
        <f>+Données!X40</f>
        <v>72</v>
      </c>
      <c r="G40" s="392">
        <f t="shared" si="3"/>
        <v>-48314.648034819133</v>
      </c>
      <c r="H40" s="164">
        <f t="shared" si="0"/>
        <v>1.0655726311370446</v>
      </c>
      <c r="I40" s="42">
        <f t="shared" si="1"/>
        <v>-51482.766628922465</v>
      </c>
    </row>
    <row r="41" spans="1:9" x14ac:dyDescent="0.25">
      <c r="A41" s="38">
        <f>Données!A41</f>
        <v>5473</v>
      </c>
      <c r="B41" s="27" t="str">
        <f>Données!B41</f>
        <v>Boussens</v>
      </c>
      <c r="C41" s="31">
        <f>Données!Z41</f>
        <v>999</v>
      </c>
      <c r="D41" s="244">
        <f>Ecrêtage!E41</f>
        <v>37.804402382234358</v>
      </c>
      <c r="E41" s="244">
        <f t="shared" si="2"/>
        <v>8.3672423296900718</v>
      </c>
      <c r="F41" s="244">
        <f>+Données!X41</f>
        <v>67.5</v>
      </c>
      <c r="G41" s="392">
        <f t="shared" si="3"/>
        <v>-152340.49846714298</v>
      </c>
      <c r="H41" s="164">
        <f t="shared" si="0"/>
        <v>0.99897434169097921</v>
      </c>
      <c r="I41" s="42">
        <f t="shared" si="1"/>
        <v>-152184.2491690898</v>
      </c>
    </row>
    <row r="42" spans="1:9" x14ac:dyDescent="0.25">
      <c r="A42" s="38">
        <f>Données!A42</f>
        <v>5474</v>
      </c>
      <c r="B42" s="27" t="str">
        <f>Données!B42</f>
        <v>La Chaux (Cossonay)</v>
      </c>
      <c r="C42" s="31">
        <f>Données!Z42</f>
        <v>391</v>
      </c>
      <c r="D42" s="244">
        <f>Ecrêtage!E42</f>
        <v>33.71266916676106</v>
      </c>
      <c r="E42" s="244">
        <f t="shared" si="2"/>
        <v>12.458975545163369</v>
      </c>
      <c r="F42" s="244">
        <f>+Données!X42</f>
        <v>77</v>
      </c>
      <c r="G42" s="392">
        <f t="shared" si="3"/>
        <v>-101277.64171932307</v>
      </c>
      <c r="H42" s="164">
        <f t="shared" si="0"/>
        <v>1.1395707305215614</v>
      </c>
      <c r="I42" s="42">
        <f t="shared" si="1"/>
        <v>-115413.03615958996</v>
      </c>
    </row>
    <row r="43" spans="1:9" x14ac:dyDescent="0.25">
      <c r="A43" s="38">
        <f>Données!A43</f>
        <v>5475</v>
      </c>
      <c r="B43" s="27" t="str">
        <f>Données!B43</f>
        <v>Chavannes-le-Veyron</v>
      </c>
      <c r="C43" s="31">
        <f>Données!Z43</f>
        <v>152</v>
      </c>
      <c r="D43" s="244">
        <f>Ecrêtage!E43</f>
        <v>25.490413855253085</v>
      </c>
      <c r="E43" s="244">
        <f t="shared" si="2"/>
        <v>20.681230856671345</v>
      </c>
      <c r="F43" s="244">
        <f>+Données!X43</f>
        <v>77</v>
      </c>
      <c r="G43" s="392">
        <f t="shared" si="3"/>
        <v>-65354.344005549989</v>
      </c>
      <c r="H43" s="164">
        <f t="shared" si="0"/>
        <v>1.1395707305215614</v>
      </c>
      <c r="I43" s="42">
        <f t="shared" si="1"/>
        <v>-74475.897541162034</v>
      </c>
    </row>
    <row r="44" spans="1:9" x14ac:dyDescent="0.25">
      <c r="A44" s="38">
        <f>Données!A44</f>
        <v>5476</v>
      </c>
      <c r="B44" s="27" t="str">
        <f>Données!B44</f>
        <v>Chevilly</v>
      </c>
      <c r="C44" s="31">
        <f>Données!Z44</f>
        <v>317</v>
      </c>
      <c r="D44" s="244">
        <f>Ecrêtage!E44</f>
        <v>37.355998380083555</v>
      </c>
      <c r="E44" s="244">
        <f t="shared" si="2"/>
        <v>8.815646331840874</v>
      </c>
      <c r="F44" s="244">
        <f>+Données!X44</f>
        <v>74</v>
      </c>
      <c r="G44" s="392">
        <f t="shared" si="3"/>
        <v>-55835.306546127278</v>
      </c>
      <c r="H44" s="164">
        <f t="shared" si="0"/>
        <v>1.0951718708908513</v>
      </c>
      <c r="I44" s="42">
        <f t="shared" si="1"/>
        <v>-61149.257131886407</v>
      </c>
    </row>
    <row r="45" spans="1:9" x14ac:dyDescent="0.25">
      <c r="A45" s="38">
        <f>Données!A45</f>
        <v>5477</v>
      </c>
      <c r="B45" s="27" t="str">
        <f>Données!B45</f>
        <v>Cossonay</v>
      </c>
      <c r="C45" s="31">
        <f>Données!Z45</f>
        <v>4222</v>
      </c>
      <c r="D45" s="244">
        <f>Ecrêtage!E45</f>
        <v>28.196205148066277</v>
      </c>
      <c r="E45" s="244">
        <f t="shared" si="2"/>
        <v>17.975439563858153</v>
      </c>
      <c r="F45" s="244">
        <f>+Données!X45</f>
        <v>69.5</v>
      </c>
      <c r="G45" s="392">
        <f t="shared" si="3"/>
        <v>-1424119.1190615001</v>
      </c>
      <c r="H45" s="164">
        <f t="shared" si="0"/>
        <v>1.0285735814447861</v>
      </c>
      <c r="I45" s="42">
        <f t="shared" si="1"/>
        <v>-1464811.3026970809</v>
      </c>
    </row>
    <row r="46" spans="1:9" x14ac:dyDescent="0.25">
      <c r="A46" s="38">
        <f>Données!A46</f>
        <v>5479</v>
      </c>
      <c r="B46" s="27" t="str">
        <f>Données!B46</f>
        <v>Cuarnens</v>
      </c>
      <c r="C46" s="31">
        <f>Données!Z46</f>
        <v>527</v>
      </c>
      <c r="D46" s="244">
        <f>Ecrêtage!E46</f>
        <v>34.278142209946353</v>
      </c>
      <c r="E46" s="244">
        <f t="shared" si="2"/>
        <v>11.893502501978077</v>
      </c>
      <c r="F46" s="244">
        <f>+Données!X46</f>
        <v>77</v>
      </c>
      <c r="G46" s="392">
        <f t="shared" si="3"/>
        <v>-130309.13826749747</v>
      </c>
      <c r="H46" s="164">
        <f t="shared" si="0"/>
        <v>1.1395707305215614</v>
      </c>
      <c r="I46" s="42">
        <f t="shared" si="1"/>
        <v>-148496.47988912725</v>
      </c>
    </row>
    <row r="47" spans="1:9" x14ac:dyDescent="0.25">
      <c r="A47" s="38">
        <f>Données!A47</f>
        <v>5480</v>
      </c>
      <c r="B47" s="27" t="str">
        <f>Données!B47</f>
        <v>Daillens</v>
      </c>
      <c r="C47" s="31">
        <f>Données!Z47</f>
        <v>1048</v>
      </c>
      <c r="D47" s="244">
        <f>Ecrêtage!E47</f>
        <v>39.091351062333011</v>
      </c>
      <c r="E47" s="244">
        <f t="shared" si="2"/>
        <v>7.0802936495914182</v>
      </c>
      <c r="F47" s="244">
        <f>+Données!X47</f>
        <v>66</v>
      </c>
      <c r="G47" s="392">
        <f t="shared" si="3"/>
        <v>-132227.03281183357</v>
      </c>
      <c r="H47" s="164">
        <f t="shared" si="0"/>
        <v>0.97677491187562415</v>
      </c>
      <c r="I47" s="42">
        <f t="shared" si="1"/>
        <v>-129156.04832235401</v>
      </c>
    </row>
    <row r="48" spans="1:9" x14ac:dyDescent="0.25">
      <c r="A48" s="38">
        <f>Données!A48</f>
        <v>5481</v>
      </c>
      <c r="B48" s="27" t="str">
        <f>Données!B48</f>
        <v>Dizy</v>
      </c>
      <c r="C48" s="31">
        <f>Données!Z48</f>
        <v>224</v>
      </c>
      <c r="D48" s="244">
        <f>Ecrêtage!E48</f>
        <v>36.189871829574081</v>
      </c>
      <c r="E48" s="244">
        <f t="shared" si="2"/>
        <v>9.9817728823503487</v>
      </c>
      <c r="F48" s="244">
        <f>+Données!X48</f>
        <v>75</v>
      </c>
      <c r="G48" s="392">
        <f t="shared" si="3"/>
        <v>-45277.32179434118</v>
      </c>
      <c r="H48" s="164">
        <f t="shared" si="0"/>
        <v>1.1099714907677547</v>
      </c>
      <c r="I48" s="42">
        <f t="shared" si="1"/>
        <v>-50256.536370036229</v>
      </c>
    </row>
    <row r="49" spans="1:9" x14ac:dyDescent="0.25">
      <c r="A49" s="38">
        <f>Données!A49</f>
        <v>5482</v>
      </c>
      <c r="B49" s="27" t="str">
        <f>Données!B49</f>
        <v>Eclépens</v>
      </c>
      <c r="C49" s="31">
        <f>Données!Z49</f>
        <v>1220</v>
      </c>
      <c r="D49" s="244">
        <f>Ecrêtage!E49</f>
        <v>57.733967184946827</v>
      </c>
      <c r="E49" s="244">
        <f t="shared" si="2"/>
        <v>0</v>
      </c>
      <c r="F49" s="244">
        <f>+Données!X49</f>
        <v>46</v>
      </c>
      <c r="G49" s="392">
        <f t="shared" si="3"/>
        <v>0</v>
      </c>
      <c r="H49" s="164">
        <f t="shared" si="0"/>
        <v>0.68078251433755621</v>
      </c>
      <c r="I49" s="42">
        <f t="shared" si="1"/>
        <v>0</v>
      </c>
    </row>
    <row r="50" spans="1:9" x14ac:dyDescent="0.25">
      <c r="A50" s="38">
        <f>Données!A50</f>
        <v>5483</v>
      </c>
      <c r="B50" s="27" t="str">
        <f>Données!B50</f>
        <v>Ferreyres</v>
      </c>
      <c r="C50" s="31">
        <f>Données!Z50</f>
        <v>319</v>
      </c>
      <c r="D50" s="244">
        <f>Ecrêtage!E50</f>
        <v>33.911216742796739</v>
      </c>
      <c r="E50" s="244">
        <f t="shared" si="2"/>
        <v>12.26042796912769</v>
      </c>
      <c r="F50" s="244">
        <f>+Données!X50</f>
        <v>76</v>
      </c>
      <c r="G50" s="392">
        <f t="shared" si="3"/>
        <v>-80255.290234553555</v>
      </c>
      <c r="H50" s="164">
        <f t="shared" si="0"/>
        <v>1.1247711106446581</v>
      </c>
      <c r="I50" s="42">
        <f t="shared" si="1"/>
        <v>-90268.83193222819</v>
      </c>
    </row>
    <row r="51" spans="1:9" x14ac:dyDescent="0.25">
      <c r="A51" s="38">
        <f>Données!A51</f>
        <v>5484</v>
      </c>
      <c r="B51" s="27" t="str">
        <f>Données!B51</f>
        <v>Gollion</v>
      </c>
      <c r="C51" s="31">
        <f>Données!Z51</f>
        <v>996</v>
      </c>
      <c r="D51" s="244">
        <f>Ecrêtage!E51</f>
        <v>35.109024915546627</v>
      </c>
      <c r="E51" s="244">
        <f t="shared" si="2"/>
        <v>11.062619796377803</v>
      </c>
      <c r="F51" s="244">
        <f>+Données!X51</f>
        <v>74</v>
      </c>
      <c r="G51" s="392">
        <f t="shared" si="3"/>
        <v>-220147.018957502</v>
      </c>
      <c r="H51" s="164">
        <f t="shared" si="0"/>
        <v>1.0951718708908513</v>
      </c>
      <c r="I51" s="42">
        <f t="shared" si="1"/>
        <v>-241098.82262273118</v>
      </c>
    </row>
    <row r="52" spans="1:9" x14ac:dyDescent="0.25">
      <c r="A52" s="38">
        <f>Données!A52</f>
        <v>5485</v>
      </c>
      <c r="B52" s="27" t="str">
        <f>Données!B52</f>
        <v>Grancy</v>
      </c>
      <c r="C52" s="31">
        <f>Données!Z52</f>
        <v>406</v>
      </c>
      <c r="D52" s="244">
        <f>Ecrêtage!E52</f>
        <v>35.808736325687185</v>
      </c>
      <c r="E52" s="244">
        <f t="shared" si="2"/>
        <v>10.362908386237244</v>
      </c>
      <c r="F52" s="244">
        <f>+Données!X52</f>
        <v>70</v>
      </c>
      <c r="G52" s="392">
        <f t="shared" si="3"/>
        <v>-79518.741210952881</v>
      </c>
      <c r="H52" s="164">
        <f t="shared" si="0"/>
        <v>1.0359733913832376</v>
      </c>
      <c r="I52" s="42">
        <f t="shared" si="1"/>
        <v>-82379.300010836872</v>
      </c>
    </row>
    <row r="53" spans="1:9" x14ac:dyDescent="0.25">
      <c r="A53" s="38">
        <f>Données!A53</f>
        <v>5486</v>
      </c>
      <c r="B53" s="27" t="str">
        <f>Données!B53</f>
        <v>L'Isle</v>
      </c>
      <c r="C53" s="31">
        <f>Données!Z53</f>
        <v>1065</v>
      </c>
      <c r="D53" s="244">
        <f>Ecrêtage!E53</f>
        <v>35.167881748516812</v>
      </c>
      <c r="E53" s="244">
        <f t="shared" si="2"/>
        <v>11.003762963407617</v>
      </c>
      <c r="F53" s="244">
        <f>+Données!X53</f>
        <v>75</v>
      </c>
      <c r="G53" s="392">
        <f t="shared" si="3"/>
        <v>-237309.90300958953</v>
      </c>
      <c r="H53" s="164">
        <f t="shared" si="0"/>
        <v>1.1099714907677547</v>
      </c>
      <c r="I53" s="42">
        <f t="shared" si="1"/>
        <v>-263407.22681750538</v>
      </c>
    </row>
    <row r="54" spans="1:9" x14ac:dyDescent="0.25">
      <c r="A54" s="38">
        <f>Données!A54</f>
        <v>5487</v>
      </c>
      <c r="B54" s="27" t="str">
        <f>Données!B54</f>
        <v>Lussery-Villars</v>
      </c>
      <c r="C54" s="31">
        <f>Données!Z54</f>
        <v>459</v>
      </c>
      <c r="D54" s="244">
        <f>Ecrêtage!E54</f>
        <v>28.083941321713873</v>
      </c>
      <c r="E54" s="244">
        <f t="shared" si="2"/>
        <v>18.087703390210557</v>
      </c>
      <c r="F54" s="244">
        <f>+Données!X54</f>
        <v>75</v>
      </c>
      <c r="G54" s="392">
        <f t="shared" si="3"/>
        <v>-168120.6810861596</v>
      </c>
      <c r="H54" s="164">
        <f t="shared" si="0"/>
        <v>1.1099714907677547</v>
      </c>
      <c r="I54" s="42">
        <f t="shared" si="1"/>
        <v>-186609.16301409484</v>
      </c>
    </row>
    <row r="55" spans="1:9" x14ac:dyDescent="0.25">
      <c r="A55" s="38">
        <f>Données!A55</f>
        <v>5488</v>
      </c>
      <c r="B55" s="27" t="str">
        <f>Données!B55</f>
        <v>Mauraz</v>
      </c>
      <c r="C55" s="31">
        <f>Données!Z55</f>
        <v>58</v>
      </c>
      <c r="D55" s="244">
        <f>Ecrêtage!E55</f>
        <v>28.136260958482275</v>
      </c>
      <c r="E55" s="244">
        <f t="shared" si="2"/>
        <v>18.035383753442154</v>
      </c>
      <c r="F55" s="244">
        <f>+Données!X55</f>
        <v>77</v>
      </c>
      <c r="G55" s="392">
        <f t="shared" si="3"/>
        <v>-21747.426437575621</v>
      </c>
      <c r="H55" s="164">
        <f t="shared" si="0"/>
        <v>1.1395707305215614</v>
      </c>
      <c r="I55" s="42">
        <f t="shared" si="1"/>
        <v>-24782.730632431969</v>
      </c>
    </row>
    <row r="56" spans="1:9" x14ac:dyDescent="0.25">
      <c r="A56" s="38">
        <f>Données!A56</f>
        <v>5489</v>
      </c>
      <c r="B56" s="27" t="str">
        <f>Données!B56</f>
        <v>Mex</v>
      </c>
      <c r="C56" s="31">
        <f>Données!Z56</f>
        <v>791</v>
      </c>
      <c r="D56" s="244">
        <f>Ecrêtage!E56</f>
        <v>72.655830034663538</v>
      </c>
      <c r="E56" s="244">
        <f t="shared" si="2"/>
        <v>0</v>
      </c>
      <c r="F56" s="244">
        <f>+Données!X56</f>
        <v>59.5</v>
      </c>
      <c r="G56" s="392">
        <f t="shared" si="3"/>
        <v>0</v>
      </c>
      <c r="H56" s="164">
        <f t="shared" si="0"/>
        <v>0.88057738267575203</v>
      </c>
      <c r="I56" s="42">
        <f t="shared" si="1"/>
        <v>0</v>
      </c>
    </row>
    <row r="57" spans="1:9" x14ac:dyDescent="0.25">
      <c r="A57" s="38">
        <f>Données!A57</f>
        <v>5490</v>
      </c>
      <c r="B57" s="27" t="str">
        <f>Données!B57</f>
        <v>Moiry</v>
      </c>
      <c r="C57" s="31">
        <f>Données!Z57</f>
        <v>311</v>
      </c>
      <c r="D57" s="244">
        <f>Ecrêtage!E57</f>
        <v>27.831821243337551</v>
      </c>
      <c r="E57" s="244">
        <f t="shared" si="2"/>
        <v>18.339823468586879</v>
      </c>
      <c r="F57" s="244">
        <f>+Données!X57</f>
        <v>77.5</v>
      </c>
      <c r="G57" s="392">
        <f t="shared" si="3"/>
        <v>-119349.61069093611</v>
      </c>
      <c r="H57" s="164">
        <f t="shared" si="0"/>
        <v>1.1469705404600132</v>
      </c>
      <c r="I57" s="42">
        <f t="shared" si="1"/>
        <v>-136890.48747787517</v>
      </c>
    </row>
    <row r="58" spans="1:9" x14ac:dyDescent="0.25">
      <c r="A58" s="38">
        <f>Données!A58</f>
        <v>5491</v>
      </c>
      <c r="B58" s="27" t="str">
        <f>Données!B58</f>
        <v>Mont-la-Ville</v>
      </c>
      <c r="C58" s="31">
        <f>Données!Z58</f>
        <v>490</v>
      </c>
      <c r="D58" s="244">
        <f>Ecrêtage!E58</f>
        <v>29.221632585360535</v>
      </c>
      <c r="E58" s="244">
        <f t="shared" si="2"/>
        <v>16.950012126563895</v>
      </c>
      <c r="F58" s="244">
        <f>+Données!X58</f>
        <v>76</v>
      </c>
      <c r="G58" s="392">
        <f t="shared" si="3"/>
        <v>-170428.98193017466</v>
      </c>
      <c r="H58" s="164">
        <f t="shared" si="0"/>
        <v>1.1247711106446581</v>
      </c>
      <c r="I58" s="42">
        <f t="shared" si="1"/>
        <v>-191693.5952916409</v>
      </c>
    </row>
    <row r="59" spans="1:9" x14ac:dyDescent="0.25">
      <c r="A59" s="38">
        <f>Données!A59</f>
        <v>5492</v>
      </c>
      <c r="B59" s="27" t="str">
        <f>Données!B59</f>
        <v>Montricher</v>
      </c>
      <c r="C59" s="31">
        <f>Données!Z59</f>
        <v>964</v>
      </c>
      <c r="D59" s="244">
        <f>Ecrêtage!E59</f>
        <v>163.0105343841156</v>
      </c>
      <c r="E59" s="244">
        <f t="shared" si="2"/>
        <v>0</v>
      </c>
      <c r="F59" s="244">
        <f>+Données!X59</f>
        <v>64</v>
      </c>
      <c r="G59" s="392">
        <f t="shared" si="3"/>
        <v>0</v>
      </c>
      <c r="H59" s="164">
        <f t="shared" si="0"/>
        <v>0.9471756721218173</v>
      </c>
      <c r="I59" s="42">
        <f t="shared" si="1"/>
        <v>0</v>
      </c>
    </row>
    <row r="60" spans="1:9" x14ac:dyDescent="0.25">
      <c r="A60" s="38">
        <f>Données!A60</f>
        <v>5493</v>
      </c>
      <c r="B60" s="27" t="str">
        <f>Données!B60</f>
        <v>Orny</v>
      </c>
      <c r="C60" s="31">
        <f>Données!Z60</f>
        <v>462</v>
      </c>
      <c r="D60" s="244">
        <f>Ecrêtage!E60</f>
        <v>27.87197825639937</v>
      </c>
      <c r="E60" s="244">
        <f t="shared" si="2"/>
        <v>18.29966645552506</v>
      </c>
      <c r="F60" s="244">
        <f>+Données!X60</f>
        <v>73</v>
      </c>
      <c r="G60" s="392">
        <f t="shared" si="3"/>
        <v>-166637.12873734027</v>
      </c>
      <c r="H60" s="164">
        <f t="shared" si="0"/>
        <v>1.080372251013948</v>
      </c>
      <c r="I60" s="42">
        <f t="shared" si="1"/>
        <v>-180030.12987646135</v>
      </c>
    </row>
    <row r="61" spans="1:9" x14ac:dyDescent="0.25">
      <c r="A61" s="38">
        <f>Données!A61</f>
        <v>5495</v>
      </c>
      <c r="B61" s="27" t="str">
        <f>Données!B61</f>
        <v>Penthalaz</v>
      </c>
      <c r="C61" s="31">
        <f>Données!Z61</f>
        <v>3207</v>
      </c>
      <c r="D61" s="244">
        <f>Ecrêtage!E61</f>
        <v>29.106032860031519</v>
      </c>
      <c r="E61" s="244">
        <f t="shared" si="2"/>
        <v>17.065611851892911</v>
      </c>
      <c r="F61" s="244">
        <f>+Données!X61</f>
        <v>74</v>
      </c>
      <c r="G61" s="392">
        <f t="shared" si="3"/>
        <v>-1093493.7558362309</v>
      </c>
      <c r="H61" s="164">
        <f t="shared" si="0"/>
        <v>1.0951718708908513</v>
      </c>
      <c r="I61" s="42">
        <f t="shared" si="1"/>
        <v>-1197563.6023866287</v>
      </c>
    </row>
    <row r="62" spans="1:9" x14ac:dyDescent="0.25">
      <c r="A62" s="38">
        <f>Données!A62</f>
        <v>5496</v>
      </c>
      <c r="B62" s="27" t="str">
        <f>Données!B62</f>
        <v>Penthaz</v>
      </c>
      <c r="C62" s="31">
        <f>Données!Z62</f>
        <v>1855</v>
      </c>
      <c r="D62" s="244">
        <f>Ecrêtage!E62</f>
        <v>32.40515926446718</v>
      </c>
      <c r="E62" s="244">
        <f t="shared" si="2"/>
        <v>13.766485447457249</v>
      </c>
      <c r="F62" s="244">
        <f>+Données!X62</f>
        <v>69.5</v>
      </c>
      <c r="G62" s="392">
        <f t="shared" si="3"/>
        <v>-479198.62442694796</v>
      </c>
      <c r="H62" s="164">
        <f t="shared" si="0"/>
        <v>1.0285735814447861</v>
      </c>
      <c r="I62" s="42">
        <f t="shared" si="1"/>
        <v>-492891.04535024083</v>
      </c>
    </row>
    <row r="63" spans="1:9" x14ac:dyDescent="0.25">
      <c r="A63" s="38">
        <f>Données!A63</f>
        <v>5497</v>
      </c>
      <c r="B63" s="27" t="str">
        <f>Données!B63</f>
        <v>Pompaples</v>
      </c>
      <c r="C63" s="31">
        <f>Données!Z63</f>
        <v>847</v>
      </c>
      <c r="D63" s="244">
        <f>Ecrêtage!E63</f>
        <v>24.103136202640339</v>
      </c>
      <c r="E63" s="244">
        <f t="shared" si="2"/>
        <v>22.06850850928409</v>
      </c>
      <c r="F63" s="244">
        <f>+Données!X63</f>
        <v>66</v>
      </c>
      <c r="G63" s="392">
        <f t="shared" si="3"/>
        <v>-333091.91592521983</v>
      </c>
      <c r="H63" s="164">
        <f t="shared" si="0"/>
        <v>0.97677491187562415</v>
      </c>
      <c r="I63" s="42">
        <f t="shared" si="1"/>
        <v>-325355.8268243394</v>
      </c>
    </row>
    <row r="64" spans="1:9" x14ac:dyDescent="0.25">
      <c r="A64" s="38">
        <f>Données!A64</f>
        <v>5498</v>
      </c>
      <c r="B64" s="27" t="str">
        <f>Données!B64</f>
        <v>La Sarraz</v>
      </c>
      <c r="C64" s="31">
        <f>Données!Z64</f>
        <v>2598</v>
      </c>
      <c r="D64" s="244">
        <f>Ecrêtage!E64</f>
        <v>29.826691265775398</v>
      </c>
      <c r="E64" s="244">
        <f t="shared" si="2"/>
        <v>16.344953446149031</v>
      </c>
      <c r="F64" s="244">
        <f>+Données!X64</f>
        <v>66</v>
      </c>
      <c r="G64" s="392">
        <f t="shared" si="3"/>
        <v>-756711.84892615618</v>
      </c>
      <c r="H64" s="164">
        <f t="shared" si="0"/>
        <v>0.97677491187562415</v>
      </c>
      <c r="I64" s="42">
        <f t="shared" si="1"/>
        <v>-739137.14955008682</v>
      </c>
    </row>
    <row r="65" spans="1:9" x14ac:dyDescent="0.25">
      <c r="A65" s="38">
        <f>Données!A65</f>
        <v>5499</v>
      </c>
      <c r="B65" s="27" t="str">
        <f>Données!B65</f>
        <v>Senarclens</v>
      </c>
      <c r="C65" s="31">
        <f>Données!Z65</f>
        <v>496</v>
      </c>
      <c r="D65" s="244">
        <f>Ecrêtage!E65</f>
        <v>39.607096918806619</v>
      </c>
      <c r="E65" s="244">
        <f t="shared" si="2"/>
        <v>6.5645477931178107</v>
      </c>
      <c r="F65" s="244">
        <f>+Données!X65</f>
        <v>68.5</v>
      </c>
      <c r="G65" s="392">
        <f t="shared" si="3"/>
        <v>-60220.010471122107</v>
      </c>
      <c r="H65" s="164">
        <f t="shared" si="0"/>
        <v>1.0137739615678827</v>
      </c>
      <c r="I65" s="42">
        <f t="shared" si="1"/>
        <v>-61049.478580968833</v>
      </c>
    </row>
    <row r="66" spans="1:9" x14ac:dyDescent="0.25">
      <c r="A66" s="38">
        <f>Données!A66</f>
        <v>5501</v>
      </c>
      <c r="B66" s="27" t="str">
        <f>Données!B66</f>
        <v>Sullens</v>
      </c>
      <c r="C66" s="31">
        <f>Données!Z66</f>
        <v>1041</v>
      </c>
      <c r="D66" s="244">
        <f>Ecrêtage!E66</f>
        <v>40.259128028577251</v>
      </c>
      <c r="E66" s="244">
        <f t="shared" si="2"/>
        <v>5.9125166833471781</v>
      </c>
      <c r="F66" s="244">
        <f>+Données!X66</f>
        <v>68.5</v>
      </c>
      <c r="G66" s="392">
        <f t="shared" si="3"/>
        <v>-113835.42789690482</v>
      </c>
      <c r="H66" s="164">
        <f t="shared" si="0"/>
        <v>1.0137739615678827</v>
      </c>
      <c r="I66" s="42">
        <f t="shared" si="1"/>
        <v>-115403.39270582027</v>
      </c>
    </row>
    <row r="67" spans="1:9" x14ac:dyDescent="0.25">
      <c r="A67" s="38">
        <f>Données!A67</f>
        <v>5503</v>
      </c>
      <c r="B67" s="27" t="str">
        <f>Données!B67</f>
        <v>Vufflens-la-Ville</v>
      </c>
      <c r="C67" s="31">
        <f>Données!Z67</f>
        <v>1349</v>
      </c>
      <c r="D67" s="244">
        <f>Ecrêtage!E67</f>
        <v>50.053595221424743</v>
      </c>
      <c r="E67" s="244">
        <f t="shared" si="2"/>
        <v>0</v>
      </c>
      <c r="F67" s="244">
        <f>+Données!X67</f>
        <v>67</v>
      </c>
      <c r="G67" s="392">
        <f t="shared" si="3"/>
        <v>0</v>
      </c>
      <c r="H67" s="164">
        <f t="shared" si="0"/>
        <v>0.99157453175252752</v>
      </c>
      <c r="I67" s="42">
        <f t="shared" si="1"/>
        <v>0</v>
      </c>
    </row>
    <row r="68" spans="1:9" x14ac:dyDescent="0.25">
      <c r="A68" s="38">
        <f>Données!A68</f>
        <v>5511</v>
      </c>
      <c r="B68" s="27" t="str">
        <f>Données!B68</f>
        <v>Assens</v>
      </c>
      <c r="C68" s="31">
        <f>Données!Z68</f>
        <v>1666</v>
      </c>
      <c r="D68" s="244">
        <f>Ecrêtage!E68</f>
        <v>39.668537438423101</v>
      </c>
      <c r="E68" s="244">
        <f t="shared" si="2"/>
        <v>6.5031072735013282</v>
      </c>
      <c r="F68" s="244">
        <f>+Données!X68</f>
        <v>69.34</v>
      </c>
      <c r="G68" s="392">
        <f t="shared" si="3"/>
        <v>-202835.28967255994</v>
      </c>
      <c r="H68" s="164">
        <f t="shared" si="0"/>
        <v>1.0262056422644816</v>
      </c>
      <c r="I68" s="42">
        <f t="shared" si="1"/>
        <v>-208150.71871233155</v>
      </c>
    </row>
    <row r="69" spans="1:9" x14ac:dyDescent="0.25">
      <c r="A69" s="38">
        <f>Données!A69</f>
        <v>5512</v>
      </c>
      <c r="B69" s="27" t="str">
        <f>Données!B69</f>
        <v>Bercher</v>
      </c>
      <c r="C69" s="31">
        <f>Données!Z69</f>
        <v>1323</v>
      </c>
      <c r="D69" s="244">
        <f>Ecrêtage!E69</f>
        <v>30.463890102105736</v>
      </c>
      <c r="E69" s="244">
        <f t="shared" si="2"/>
        <v>15.707754609818693</v>
      </c>
      <c r="F69" s="244">
        <f>+Données!X69</f>
        <v>79</v>
      </c>
      <c r="G69" s="392">
        <f t="shared" si="3"/>
        <v>-443266.39490969351</v>
      </c>
      <c r="H69" s="164">
        <f t="shared" si="0"/>
        <v>1.1691699702753682</v>
      </c>
      <c r="I69" s="42">
        <f t="shared" si="1"/>
        <v>-518253.75776063598</v>
      </c>
    </row>
    <row r="70" spans="1:9" x14ac:dyDescent="0.25">
      <c r="A70" s="38">
        <f>Données!A70</f>
        <v>5514</v>
      </c>
      <c r="B70" s="27" t="str">
        <f>Données!B70</f>
        <v>Bottens</v>
      </c>
      <c r="C70" s="31">
        <f>Données!Z70</f>
        <v>1330</v>
      </c>
      <c r="D70" s="244">
        <f>Ecrêtage!E70</f>
        <v>33.224456743454667</v>
      </c>
      <c r="E70" s="244">
        <f t="shared" si="2"/>
        <v>12.947187968469763</v>
      </c>
      <c r="F70" s="244">
        <f>+Données!X70</f>
        <v>72.5</v>
      </c>
      <c r="G70" s="392">
        <f t="shared" si="3"/>
        <v>-337076.80196211819</v>
      </c>
      <c r="H70" s="164">
        <f t="shared" ref="H70:H133" si="4">F70/$F$306</f>
        <v>1.0729724410754962</v>
      </c>
      <c r="I70" s="42">
        <f t="shared" ref="I70:I133" si="5">G70*H70</f>
        <v>-361674.11903121555</v>
      </c>
    </row>
    <row r="71" spans="1:9" x14ac:dyDescent="0.25">
      <c r="A71" s="38">
        <f>Données!A71</f>
        <v>5515</v>
      </c>
      <c r="B71" s="27" t="str">
        <f>Données!B71</f>
        <v>Bretigny-sur-Morrens</v>
      </c>
      <c r="C71" s="31">
        <f>Données!Z71</f>
        <v>859</v>
      </c>
      <c r="D71" s="244">
        <f>Ecrêtage!E71</f>
        <v>34.436913758258804</v>
      </c>
      <c r="E71" s="244">
        <f t="shared" ref="E71:E134" si="6">IF($D$306-D71&lt;0,0,$D$306-D71)</f>
        <v>11.734730953665625</v>
      </c>
      <c r="F71" s="244">
        <f>+Données!X71</f>
        <v>81</v>
      </c>
      <c r="G71" s="392">
        <f t="shared" ref="G71:G134" si="7">-((C71*E71*F71)*$E$5)</f>
        <v>-220452.52815677717</v>
      </c>
      <c r="H71" s="164">
        <f t="shared" si="4"/>
        <v>1.1987692100291751</v>
      </c>
      <c r="I71" s="42">
        <f t="shared" si="5"/>
        <v>-264271.70302743424</v>
      </c>
    </row>
    <row r="72" spans="1:9" x14ac:dyDescent="0.25">
      <c r="A72" s="38">
        <f>Données!A72</f>
        <v>5516</v>
      </c>
      <c r="B72" s="27" t="str">
        <f>Données!B72</f>
        <v>Cugy</v>
      </c>
      <c r="C72" s="31">
        <f>Données!Z72</f>
        <v>2760</v>
      </c>
      <c r="D72" s="244">
        <f>Ecrêtage!E72</f>
        <v>38.774699225174196</v>
      </c>
      <c r="E72" s="244">
        <f t="shared" si="6"/>
        <v>7.3969454867502336</v>
      </c>
      <c r="F72" s="244">
        <f>+Données!X72</f>
        <v>78</v>
      </c>
      <c r="G72" s="392">
        <f t="shared" si="7"/>
        <v>-429951.89458464942</v>
      </c>
      <c r="H72" s="164">
        <f t="shared" si="4"/>
        <v>1.1543703503984648</v>
      </c>
      <c r="I72" s="42">
        <f t="shared" si="5"/>
        <v>-496323.71920616552</v>
      </c>
    </row>
    <row r="73" spans="1:9" x14ac:dyDescent="0.25">
      <c r="A73" s="38">
        <f>Données!A73</f>
        <v>5518</v>
      </c>
      <c r="B73" s="27" t="str">
        <f>Données!B73</f>
        <v>Echallens</v>
      </c>
      <c r="C73" s="31">
        <f>Données!Z73</f>
        <v>5731</v>
      </c>
      <c r="D73" s="244">
        <f>Ecrêtage!E73</f>
        <v>31.163996673966885</v>
      </c>
      <c r="E73" s="244">
        <f t="shared" si="6"/>
        <v>15.007648037957544</v>
      </c>
      <c r="F73" s="244">
        <f>+Données!X73</f>
        <v>72.5</v>
      </c>
      <c r="G73" s="392">
        <f t="shared" si="7"/>
        <v>-1683622.8649758417</v>
      </c>
      <c r="H73" s="164">
        <f t="shared" si="4"/>
        <v>1.0729724410754962</v>
      </c>
      <c r="I73" s="42">
        <f t="shared" si="5"/>
        <v>-1806480.9352836492</v>
      </c>
    </row>
    <row r="74" spans="1:9" x14ac:dyDescent="0.25">
      <c r="A74" s="38">
        <f>Données!A74</f>
        <v>5520</v>
      </c>
      <c r="B74" s="27" t="str">
        <f>Données!B74</f>
        <v>Essertines-sur-Yverdon</v>
      </c>
      <c r="C74" s="31">
        <f>Données!Z74</f>
        <v>1036</v>
      </c>
      <c r="D74" s="244">
        <f>Ecrêtage!E74</f>
        <v>28.684885331432003</v>
      </c>
      <c r="E74" s="244">
        <f t="shared" si="6"/>
        <v>17.486759380492426</v>
      </c>
      <c r="F74" s="244">
        <f>+Données!X74</f>
        <v>73</v>
      </c>
      <c r="G74" s="392">
        <f t="shared" si="7"/>
        <v>-357071.93237552792</v>
      </c>
      <c r="H74" s="164">
        <f t="shared" si="4"/>
        <v>1.080372251013948</v>
      </c>
      <c r="I74" s="42">
        <f t="shared" si="5"/>
        <v>-385770.60735444928</v>
      </c>
    </row>
    <row r="75" spans="1:9" x14ac:dyDescent="0.25">
      <c r="A75" s="38">
        <f>Données!A75</f>
        <v>5521</v>
      </c>
      <c r="B75" s="27" t="str">
        <f>Données!B75</f>
        <v>Etagnières</v>
      </c>
      <c r="C75" s="31">
        <f>Données!Z75</f>
        <v>1148</v>
      </c>
      <c r="D75" s="244">
        <f>Ecrêtage!E75</f>
        <v>40.704428991955915</v>
      </c>
      <c r="E75" s="244">
        <f t="shared" si="6"/>
        <v>5.4672157199685145</v>
      </c>
      <c r="F75" s="244">
        <f>+Données!X75</f>
        <v>73</v>
      </c>
      <c r="G75" s="392">
        <f t="shared" si="7"/>
        <v>-123707.12747298519</v>
      </c>
      <c r="H75" s="164">
        <f t="shared" si="4"/>
        <v>1.080372251013948</v>
      </c>
      <c r="I75" s="42">
        <f t="shared" si="5"/>
        <v>-133649.7477744584</v>
      </c>
    </row>
    <row r="76" spans="1:9" x14ac:dyDescent="0.25">
      <c r="A76" s="38">
        <f>Données!A76</f>
        <v>5522</v>
      </c>
      <c r="B76" s="27" t="str">
        <f>Données!B76</f>
        <v>Fey</v>
      </c>
      <c r="C76" s="31">
        <f>Données!Z76</f>
        <v>749</v>
      </c>
      <c r="D76" s="244">
        <f>Ecrêtage!E76</f>
        <v>31.676297311691744</v>
      </c>
      <c r="E76" s="244">
        <f t="shared" si="6"/>
        <v>14.495347400232685</v>
      </c>
      <c r="F76" s="244">
        <f>+Données!X76</f>
        <v>75</v>
      </c>
      <c r="G76" s="392">
        <f t="shared" si="7"/>
        <v>-219854.55785617922</v>
      </c>
      <c r="H76" s="164">
        <f t="shared" si="4"/>
        <v>1.1099714907677547</v>
      </c>
      <c r="I76" s="42">
        <f t="shared" si="5"/>
        <v>-244032.29133570881</v>
      </c>
    </row>
    <row r="77" spans="1:9" x14ac:dyDescent="0.25">
      <c r="A77" s="38">
        <f>Données!A77</f>
        <v>5523</v>
      </c>
      <c r="B77" s="27" t="str">
        <f>Données!B77</f>
        <v>Froideville</v>
      </c>
      <c r="C77" s="31">
        <f>Données!Z77</f>
        <v>2694</v>
      </c>
      <c r="D77" s="244">
        <f>Ecrêtage!E77</f>
        <v>31.870012018698681</v>
      </c>
      <c r="E77" s="244">
        <f t="shared" si="6"/>
        <v>14.301632693225748</v>
      </c>
      <c r="F77" s="244">
        <f>+Données!X77</f>
        <v>72</v>
      </c>
      <c r="G77" s="392">
        <f t="shared" si="7"/>
        <v>-748995.95436469524</v>
      </c>
      <c r="H77" s="164">
        <f t="shared" si="4"/>
        <v>1.0655726311370446</v>
      </c>
      <c r="I77" s="42">
        <f t="shared" si="5"/>
        <v>-798109.58980339009</v>
      </c>
    </row>
    <row r="78" spans="1:9" x14ac:dyDescent="0.25">
      <c r="A78" s="38">
        <f>Données!A78</f>
        <v>5527</v>
      </c>
      <c r="B78" s="27" t="str">
        <f>Données!B78</f>
        <v>Morrens</v>
      </c>
      <c r="C78" s="31">
        <f>Données!Z78</f>
        <v>1153</v>
      </c>
      <c r="D78" s="244">
        <f>Ecrêtage!E78</f>
        <v>35.179686402156506</v>
      </c>
      <c r="E78" s="244">
        <f t="shared" si="6"/>
        <v>10.991958309767924</v>
      </c>
      <c r="F78" s="244">
        <f>+Données!X78</f>
        <v>74</v>
      </c>
      <c r="G78" s="392">
        <f t="shared" si="7"/>
        <v>-253221.08406462506</v>
      </c>
      <c r="H78" s="164">
        <f t="shared" si="4"/>
        <v>1.0951718708908513</v>
      </c>
      <c r="I78" s="42">
        <f t="shared" si="5"/>
        <v>-277320.60838406498</v>
      </c>
    </row>
    <row r="79" spans="1:9" x14ac:dyDescent="0.25">
      <c r="A79" s="38">
        <f>Données!A79</f>
        <v>5529</v>
      </c>
      <c r="B79" s="27" t="str">
        <f>Données!B79</f>
        <v>Oulens-sous-Echallens</v>
      </c>
      <c r="C79" s="31">
        <f>Données!Z79</f>
        <v>618</v>
      </c>
      <c r="D79" s="244">
        <f>Ecrêtage!E79</f>
        <v>32.682007825111583</v>
      </c>
      <c r="E79" s="244">
        <f t="shared" si="6"/>
        <v>13.489636886812846</v>
      </c>
      <c r="F79" s="244">
        <f>+Données!X79</f>
        <v>70</v>
      </c>
      <c r="G79" s="392">
        <f t="shared" si="7"/>
        <v>-157561.65676535142</v>
      </c>
      <c r="H79" s="164">
        <f t="shared" si="4"/>
        <v>1.0359733913832376</v>
      </c>
      <c r="I79" s="42">
        <f t="shared" si="5"/>
        <v>-163229.68391116275</v>
      </c>
    </row>
    <row r="80" spans="1:9" x14ac:dyDescent="0.25">
      <c r="A80" s="38">
        <f>Données!A80</f>
        <v>5530</v>
      </c>
      <c r="B80" s="27" t="str">
        <f>Données!B80</f>
        <v>Pailly</v>
      </c>
      <c r="C80" s="31">
        <f>Données!Z80</f>
        <v>567</v>
      </c>
      <c r="D80" s="244">
        <f>Ecrêtage!E80</f>
        <v>32.26417009608447</v>
      </c>
      <c r="E80" s="244">
        <f t="shared" si="6"/>
        <v>13.907474615839959</v>
      </c>
      <c r="F80" s="244">
        <f>+Données!X80</f>
        <v>76</v>
      </c>
      <c r="G80" s="392">
        <f t="shared" si="7"/>
        <v>-161811.24195935941</v>
      </c>
      <c r="H80" s="164">
        <f t="shared" si="4"/>
        <v>1.1247711106446581</v>
      </c>
      <c r="I80" s="42">
        <f t="shared" si="5"/>
        <v>-182000.61033342019</v>
      </c>
    </row>
    <row r="81" spans="1:9" x14ac:dyDescent="0.25">
      <c r="A81" s="38">
        <f>Données!A81</f>
        <v>5531</v>
      </c>
      <c r="B81" s="27" t="str">
        <f>Données!B81</f>
        <v>Penthéréaz</v>
      </c>
      <c r="C81" s="31">
        <f>Données!Z81</f>
        <v>419</v>
      </c>
      <c r="D81" s="244">
        <f>Ecrêtage!E81</f>
        <v>33.031844234178884</v>
      </c>
      <c r="E81" s="244">
        <f t="shared" si="6"/>
        <v>13.139800477745545</v>
      </c>
      <c r="F81" s="244">
        <f>+Données!X81</f>
        <v>74</v>
      </c>
      <c r="G81" s="392">
        <f t="shared" si="7"/>
        <v>-110001.41647550416</v>
      </c>
      <c r="H81" s="164">
        <f t="shared" si="4"/>
        <v>1.0951718708908513</v>
      </c>
      <c r="I81" s="42">
        <f t="shared" si="5"/>
        <v>-120470.4570821216</v>
      </c>
    </row>
    <row r="82" spans="1:9" x14ac:dyDescent="0.25">
      <c r="A82" s="38">
        <f>Données!A82</f>
        <v>5533</v>
      </c>
      <c r="B82" s="27" t="str">
        <f>Données!B82</f>
        <v>Poliez-Pittet</v>
      </c>
      <c r="C82" s="31">
        <f>Données!Z82</f>
        <v>829</v>
      </c>
      <c r="D82" s="244">
        <f>Ecrêtage!E82</f>
        <v>32.776503039552921</v>
      </c>
      <c r="E82" s="244">
        <f t="shared" si="6"/>
        <v>13.395141672371508</v>
      </c>
      <c r="F82" s="244">
        <f>+Données!X82</f>
        <v>73</v>
      </c>
      <c r="G82" s="392">
        <f t="shared" si="7"/>
        <v>-218871.1229184648</v>
      </c>
      <c r="H82" s="164">
        <f t="shared" si="4"/>
        <v>1.080372251013948</v>
      </c>
      <c r="I82" s="42">
        <f t="shared" si="5"/>
        <v>-236462.28774937231</v>
      </c>
    </row>
    <row r="83" spans="1:9" x14ac:dyDescent="0.25">
      <c r="A83" s="38">
        <f>Données!A83</f>
        <v>5534</v>
      </c>
      <c r="B83" s="27" t="str">
        <f>Données!B83</f>
        <v>Rueyres</v>
      </c>
      <c r="C83" s="31">
        <f>Données!Z83</f>
        <v>266</v>
      </c>
      <c r="D83" s="244">
        <f>Ecrêtage!E83</f>
        <v>36.621302348439293</v>
      </c>
      <c r="E83" s="244">
        <f t="shared" si="6"/>
        <v>9.5503423634851359</v>
      </c>
      <c r="F83" s="244">
        <f>+Données!X83</f>
        <v>73</v>
      </c>
      <c r="G83" s="392">
        <f t="shared" si="7"/>
        <v>-50071.107963821683</v>
      </c>
      <c r="H83" s="164">
        <f t="shared" si="4"/>
        <v>1.080372251013948</v>
      </c>
      <c r="I83" s="42">
        <f t="shared" si="5"/>
        <v>-54095.435621636447</v>
      </c>
    </row>
    <row r="84" spans="1:9" x14ac:dyDescent="0.25">
      <c r="A84" s="38">
        <f>Données!A84</f>
        <v>5535</v>
      </c>
      <c r="B84" s="27" t="str">
        <f>Données!B84</f>
        <v>Saint-Barthélemy</v>
      </c>
      <c r="C84" s="31">
        <f>Données!Z84</f>
        <v>784</v>
      </c>
      <c r="D84" s="244">
        <f>Ecrêtage!E84</f>
        <v>28.707475000000006</v>
      </c>
      <c r="E84" s="244">
        <f t="shared" si="6"/>
        <v>17.464169711924423</v>
      </c>
      <c r="F84" s="244">
        <f>+Données!X84</f>
        <v>75</v>
      </c>
      <c r="G84" s="392">
        <f t="shared" si="7"/>
        <v>-277261.15834651218</v>
      </c>
      <c r="H84" s="164">
        <f t="shared" si="4"/>
        <v>1.1099714907677547</v>
      </c>
      <c r="I84" s="42">
        <f t="shared" si="5"/>
        <v>-307751.98126187263</v>
      </c>
    </row>
    <row r="85" spans="1:9" x14ac:dyDescent="0.25">
      <c r="A85" s="38">
        <f>Données!A85</f>
        <v>5537</v>
      </c>
      <c r="B85" s="27" t="str">
        <f>Données!B85</f>
        <v>Villars-le-Terroir</v>
      </c>
      <c r="C85" s="31">
        <f>Données!Z85</f>
        <v>1281</v>
      </c>
      <c r="D85" s="244">
        <f>Ecrêtage!E85</f>
        <v>29.631497302151775</v>
      </c>
      <c r="E85" s="244">
        <f t="shared" si="6"/>
        <v>16.540147409772654</v>
      </c>
      <c r="F85" s="244">
        <f>+Données!X85</f>
        <v>73</v>
      </c>
      <c r="G85" s="392">
        <f t="shared" si="7"/>
        <v>-417614.07727711892</v>
      </c>
      <c r="H85" s="164">
        <f t="shared" si="4"/>
        <v>1.080372251013948</v>
      </c>
      <c r="I85" s="42">
        <f t="shared" si="5"/>
        <v>-451178.66072299378</v>
      </c>
    </row>
    <row r="86" spans="1:9" x14ac:dyDescent="0.25">
      <c r="A86" s="38">
        <f>Données!A86</f>
        <v>5539</v>
      </c>
      <c r="B86" s="27" t="str">
        <f>Données!B86</f>
        <v>Vuarrens</v>
      </c>
      <c r="C86" s="31">
        <f>Données!Z86</f>
        <v>1060</v>
      </c>
      <c r="D86" s="244">
        <f>Ecrêtage!E86</f>
        <v>33.919852334627812</v>
      </c>
      <c r="E86" s="244">
        <f t="shared" si="6"/>
        <v>12.251792377296617</v>
      </c>
      <c r="F86" s="244">
        <f>+Données!X86</f>
        <v>73.5</v>
      </c>
      <c r="G86" s="392">
        <f t="shared" si="7"/>
        <v>-257725.02891109846</v>
      </c>
      <c r="H86" s="164">
        <f t="shared" si="4"/>
        <v>1.0877720609523995</v>
      </c>
      <c r="I86" s="42">
        <f t="shared" si="5"/>
        <v>-280346.08585764235</v>
      </c>
    </row>
    <row r="87" spans="1:9" x14ac:dyDescent="0.25">
      <c r="A87" s="38">
        <f>Données!A87</f>
        <v>5540</v>
      </c>
      <c r="B87" s="27" t="str">
        <f>Données!B87</f>
        <v>Montilliez</v>
      </c>
      <c r="C87" s="31">
        <f>Données!Z87</f>
        <v>1857</v>
      </c>
      <c r="D87" s="244">
        <f>Ecrêtage!E87</f>
        <v>35.657708860570288</v>
      </c>
      <c r="E87" s="244">
        <f t="shared" si="6"/>
        <v>10.513935851354141</v>
      </c>
      <c r="F87" s="244">
        <f>+Données!X87</f>
        <v>72.5</v>
      </c>
      <c r="G87" s="392">
        <f t="shared" si="7"/>
        <v>-382189.71649700787</v>
      </c>
      <c r="H87" s="164">
        <f t="shared" si="4"/>
        <v>1.0729724410754962</v>
      </c>
      <c r="I87" s="42">
        <f t="shared" si="5"/>
        <v>-410079.03306374635</v>
      </c>
    </row>
    <row r="88" spans="1:9" x14ac:dyDescent="0.25">
      <c r="A88" s="38">
        <f>Données!A88</f>
        <v>5541</v>
      </c>
      <c r="B88" s="27" t="str">
        <f>Données!B88</f>
        <v>Goumoëns</v>
      </c>
      <c r="C88" s="31">
        <f>Données!Z88</f>
        <v>1153</v>
      </c>
      <c r="D88" s="244">
        <f>Ecrêtage!E88</f>
        <v>32.068383509725237</v>
      </c>
      <c r="E88" s="244">
        <f t="shared" si="6"/>
        <v>14.103261202199192</v>
      </c>
      <c r="F88" s="244">
        <f>+Données!X88</f>
        <v>75.5</v>
      </c>
      <c r="G88" s="392">
        <f t="shared" si="7"/>
        <v>-331481.7114866756</v>
      </c>
      <c r="H88" s="164">
        <f t="shared" si="4"/>
        <v>1.1173713007062065</v>
      </c>
      <c r="I88" s="42">
        <f t="shared" si="5"/>
        <v>-370388.15112418617</v>
      </c>
    </row>
    <row r="89" spans="1:9" x14ac:dyDescent="0.25">
      <c r="A89" s="38">
        <f>Données!A89</f>
        <v>5551</v>
      </c>
      <c r="B89" s="27" t="str">
        <f>Données!B89</f>
        <v>Bonvillars</v>
      </c>
      <c r="C89" s="31">
        <f>Données!Z89</f>
        <v>489</v>
      </c>
      <c r="D89" s="244">
        <f>Ecrêtage!E89</f>
        <v>39.166234383259308</v>
      </c>
      <c r="E89" s="244">
        <f t="shared" si="6"/>
        <v>7.0054103286651213</v>
      </c>
      <c r="F89" s="244">
        <f>+Données!X89</f>
        <v>55</v>
      </c>
      <c r="G89" s="392">
        <f t="shared" si="7"/>
        <v>-50870.837913151081</v>
      </c>
      <c r="H89" s="164">
        <f t="shared" si="4"/>
        <v>0.81397909322968676</v>
      </c>
      <c r="I89" s="42">
        <f t="shared" si="5"/>
        <v>-41407.798516381088</v>
      </c>
    </row>
    <row r="90" spans="1:9" x14ac:dyDescent="0.25">
      <c r="A90" s="38">
        <f>Données!A90</f>
        <v>5552</v>
      </c>
      <c r="B90" s="27" t="str">
        <f>Données!B90</f>
        <v>Bullet</v>
      </c>
      <c r="C90" s="31">
        <f>Données!Z90</f>
        <v>657</v>
      </c>
      <c r="D90" s="244">
        <f>Ecrêtage!E90</f>
        <v>26.731282902789758</v>
      </c>
      <c r="E90" s="244">
        <f t="shared" si="6"/>
        <v>19.440361809134671</v>
      </c>
      <c r="F90" s="244">
        <f>+Données!X90</f>
        <v>71.5</v>
      </c>
      <c r="G90" s="392">
        <f t="shared" si="7"/>
        <v>-246569.59336455155</v>
      </c>
      <c r="H90" s="164">
        <f t="shared" si="4"/>
        <v>1.0581728211985928</v>
      </c>
      <c r="I90" s="42">
        <f t="shared" si="5"/>
        <v>-260913.24223235733</v>
      </c>
    </row>
    <row r="91" spans="1:9" x14ac:dyDescent="0.25">
      <c r="A91" s="38">
        <f>Données!A91</f>
        <v>5553</v>
      </c>
      <c r="B91" s="27" t="str">
        <f>Données!B91</f>
        <v>Champagne</v>
      </c>
      <c r="C91" s="31">
        <f>Données!Z91</f>
        <v>1061</v>
      </c>
      <c r="D91" s="244">
        <f>Ecrêtage!E91</f>
        <v>36.401451439827909</v>
      </c>
      <c r="E91" s="244">
        <f t="shared" si="6"/>
        <v>9.7701932720965203</v>
      </c>
      <c r="F91" s="244">
        <f>+Données!X91</f>
        <v>65</v>
      </c>
      <c r="G91" s="392">
        <f t="shared" si="7"/>
        <v>-181926.37233273688</v>
      </c>
      <c r="H91" s="164">
        <f t="shared" si="4"/>
        <v>0.96197529199872078</v>
      </c>
      <c r="I91" s="42">
        <f t="shared" si="5"/>
        <v>-175008.67514705256</v>
      </c>
    </row>
    <row r="92" spans="1:9" x14ac:dyDescent="0.25">
      <c r="A92" s="38">
        <f>Données!A92</f>
        <v>5554</v>
      </c>
      <c r="B92" s="27" t="str">
        <f>Données!B92</f>
        <v>Concise</v>
      </c>
      <c r="C92" s="31">
        <f>Données!Z92</f>
        <v>1001</v>
      </c>
      <c r="D92" s="244">
        <f>Ecrêtage!E92</f>
        <v>32.288919328943116</v>
      </c>
      <c r="E92" s="244">
        <f t="shared" si="6"/>
        <v>13.882725382981313</v>
      </c>
      <c r="F92" s="244">
        <f>+Données!X92</f>
        <v>75</v>
      </c>
      <c r="G92" s="392">
        <f t="shared" si="7"/>
        <v>-281406.31419437699</v>
      </c>
      <c r="H92" s="164">
        <f t="shared" si="4"/>
        <v>1.1099714907677547</v>
      </c>
      <c r="I92" s="42">
        <f t="shared" si="5"/>
        <v>-312352.98607779178</v>
      </c>
    </row>
    <row r="93" spans="1:9" x14ac:dyDescent="0.25">
      <c r="A93" s="38">
        <f>Données!A93</f>
        <v>5555</v>
      </c>
      <c r="B93" s="27" t="str">
        <f>Données!B93</f>
        <v>Corcelles-près-Concise</v>
      </c>
      <c r="C93" s="31">
        <f>Données!Z93</f>
        <v>419</v>
      </c>
      <c r="D93" s="244">
        <f>Ecrêtage!E93</f>
        <v>32.436712602089443</v>
      </c>
      <c r="E93" s="244">
        <f t="shared" si="6"/>
        <v>13.734932109834986</v>
      </c>
      <c r="F93" s="244">
        <f>+Données!X93</f>
        <v>69</v>
      </c>
      <c r="G93" s="392">
        <f t="shared" si="7"/>
        <v>-107214.46800140862</v>
      </c>
      <c r="H93" s="164">
        <f t="shared" si="4"/>
        <v>1.0211737715063343</v>
      </c>
      <c r="I93" s="42">
        <f t="shared" si="5"/>
        <v>-109484.60264904363</v>
      </c>
    </row>
    <row r="94" spans="1:9" x14ac:dyDescent="0.25">
      <c r="A94" s="38">
        <f>Données!A94</f>
        <v>5556</v>
      </c>
      <c r="B94" s="27" t="str">
        <f>Données!B94</f>
        <v>Fiez</v>
      </c>
      <c r="C94" s="31">
        <f>Données!Z94</f>
        <v>451</v>
      </c>
      <c r="D94" s="244">
        <f>Ecrêtage!E94</f>
        <v>30.623882321631609</v>
      </c>
      <c r="E94" s="244">
        <f t="shared" si="6"/>
        <v>15.547762390292821</v>
      </c>
      <c r="F94" s="244">
        <f>+Données!X94</f>
        <v>69</v>
      </c>
      <c r="G94" s="392">
        <f t="shared" si="7"/>
        <v>-130634.32081235104</v>
      </c>
      <c r="H94" s="164">
        <f t="shared" si="4"/>
        <v>1.0211737715063343</v>
      </c>
      <c r="I94" s="42">
        <f t="shared" si="5"/>
        <v>-133400.34207211694</v>
      </c>
    </row>
    <row r="95" spans="1:9" x14ac:dyDescent="0.25">
      <c r="A95" s="38">
        <f>Données!A95</f>
        <v>5557</v>
      </c>
      <c r="B95" s="27" t="str">
        <f>Données!B95</f>
        <v>Fontaines-sur-Grandson</v>
      </c>
      <c r="C95" s="31">
        <f>Données!Z95</f>
        <v>219</v>
      </c>
      <c r="D95" s="244">
        <f>Ecrêtage!E95</f>
        <v>26.933549070213743</v>
      </c>
      <c r="E95" s="244">
        <f t="shared" si="6"/>
        <v>19.238095641710686</v>
      </c>
      <c r="F95" s="244">
        <f>+Données!X95</f>
        <v>69</v>
      </c>
      <c r="G95" s="392">
        <f t="shared" si="7"/>
        <v>-78490.85307531037</v>
      </c>
      <c r="H95" s="164">
        <f t="shared" si="4"/>
        <v>1.0211737715063343</v>
      </c>
      <c r="I95" s="42">
        <f t="shared" si="5"/>
        <v>-80152.800463664244</v>
      </c>
    </row>
    <row r="96" spans="1:9" x14ac:dyDescent="0.25">
      <c r="A96" s="38">
        <f>Données!A96</f>
        <v>5559</v>
      </c>
      <c r="B96" s="27" t="str">
        <f>Données!B96</f>
        <v>Giez</v>
      </c>
      <c r="C96" s="31">
        <f>Données!Z96</f>
        <v>414</v>
      </c>
      <c r="D96" s="244">
        <f>Ecrêtage!E96</f>
        <v>41.324735031474162</v>
      </c>
      <c r="E96" s="244">
        <f t="shared" si="6"/>
        <v>4.8469096804502669</v>
      </c>
      <c r="F96" s="244">
        <f>+Données!X96</f>
        <v>66</v>
      </c>
      <c r="G96" s="392">
        <f t="shared" si="7"/>
        <v>-35757.979229328237</v>
      </c>
      <c r="H96" s="164">
        <f t="shared" si="4"/>
        <v>0.97677491187562415</v>
      </c>
      <c r="I96" s="42">
        <f t="shared" si="5"/>
        <v>-34927.497010577485</v>
      </c>
    </row>
    <row r="97" spans="1:9" x14ac:dyDescent="0.25">
      <c r="A97" s="38">
        <f>Données!A97</f>
        <v>5560</v>
      </c>
      <c r="B97" s="27" t="str">
        <f>Données!B97</f>
        <v>Grandevent</v>
      </c>
      <c r="C97" s="31">
        <f>Données!Z97</f>
        <v>226</v>
      </c>
      <c r="D97" s="244">
        <f>Ecrêtage!E97</f>
        <v>27.289980089813707</v>
      </c>
      <c r="E97" s="244">
        <f t="shared" si="6"/>
        <v>18.881664622110723</v>
      </c>
      <c r="F97" s="244">
        <f>+Données!X97</f>
        <v>68</v>
      </c>
      <c r="G97" s="392">
        <f t="shared" si="7"/>
        <v>-78346.823916401365</v>
      </c>
      <c r="H97" s="164">
        <f t="shared" si="4"/>
        <v>1.0063741516294309</v>
      </c>
      <c r="I97" s="42">
        <f t="shared" si="5"/>
        <v>-78846.218451728826</v>
      </c>
    </row>
    <row r="98" spans="1:9" x14ac:dyDescent="0.25">
      <c r="A98" s="38">
        <f>Données!A98</f>
        <v>5561</v>
      </c>
      <c r="B98" s="27" t="str">
        <f>Données!B98</f>
        <v>Grandson</v>
      </c>
      <c r="C98" s="31">
        <f>Données!Z98</f>
        <v>3356</v>
      </c>
      <c r="D98" s="244">
        <f>Ecrêtage!E98</f>
        <v>34.177237923720448</v>
      </c>
      <c r="E98" s="244">
        <f t="shared" si="6"/>
        <v>11.994406788203982</v>
      </c>
      <c r="F98" s="244">
        <f>+Données!X98</f>
        <v>69</v>
      </c>
      <c r="G98" s="392">
        <f t="shared" si="7"/>
        <v>-749917.65964599012</v>
      </c>
      <c r="H98" s="164">
        <f t="shared" si="4"/>
        <v>1.0211737715063343</v>
      </c>
      <c r="I98" s="42">
        <f t="shared" si="5"/>
        <v>-765796.24481989921</v>
      </c>
    </row>
    <row r="99" spans="1:9" x14ac:dyDescent="0.25">
      <c r="A99" s="38">
        <f>Données!A99</f>
        <v>5562</v>
      </c>
      <c r="B99" s="27" t="str">
        <f>Données!B99</f>
        <v>Mauborget</v>
      </c>
      <c r="C99" s="31">
        <f>Données!Z99</f>
        <v>128</v>
      </c>
      <c r="D99" s="244">
        <f>Ecrêtage!E99</f>
        <v>47.159729885366417</v>
      </c>
      <c r="E99" s="244">
        <f t="shared" si="6"/>
        <v>0</v>
      </c>
      <c r="F99" s="244">
        <f>+Données!X99</f>
        <v>70</v>
      </c>
      <c r="G99" s="392">
        <f t="shared" si="7"/>
        <v>0</v>
      </c>
      <c r="H99" s="164">
        <f t="shared" si="4"/>
        <v>1.0359733913832376</v>
      </c>
      <c r="I99" s="42">
        <f t="shared" si="5"/>
        <v>0</v>
      </c>
    </row>
    <row r="100" spans="1:9" x14ac:dyDescent="0.25">
      <c r="A100" s="38">
        <f>Données!A100</f>
        <v>5563</v>
      </c>
      <c r="B100" s="27" t="str">
        <f>Données!B100</f>
        <v>Mutrux</v>
      </c>
      <c r="C100" s="31">
        <f>Données!Z100</f>
        <v>149</v>
      </c>
      <c r="D100" s="244">
        <f>Ecrêtage!E100</f>
        <v>27.338646802456527</v>
      </c>
      <c r="E100" s="244">
        <f t="shared" si="6"/>
        <v>18.832997909467903</v>
      </c>
      <c r="F100" s="244">
        <f>+Données!X100</f>
        <v>80</v>
      </c>
      <c r="G100" s="392">
        <f t="shared" si="7"/>
        <v>-60612.120471831498</v>
      </c>
      <c r="H100" s="164">
        <f t="shared" si="4"/>
        <v>1.1839695901522718</v>
      </c>
      <c r="I100" s="42">
        <f t="shared" si="5"/>
        <v>-71762.907433294458</v>
      </c>
    </row>
    <row r="101" spans="1:9" x14ac:dyDescent="0.25">
      <c r="A101" s="38">
        <f>Données!A101</f>
        <v>5564</v>
      </c>
      <c r="B101" s="27" t="str">
        <f>Données!B101</f>
        <v>Novalles</v>
      </c>
      <c r="C101" s="31">
        <f>Données!Z101</f>
        <v>99</v>
      </c>
      <c r="D101" s="244">
        <f>Ecrêtage!E101</f>
        <v>21.126544059011163</v>
      </c>
      <c r="E101" s="244">
        <f t="shared" si="6"/>
        <v>25.045100652913266</v>
      </c>
      <c r="F101" s="244">
        <f>+Données!X101</f>
        <v>76</v>
      </c>
      <c r="G101" s="392">
        <f t="shared" si="7"/>
        <v>-50878.621074380244</v>
      </c>
      <c r="H101" s="164">
        <f t="shared" si="4"/>
        <v>1.1247711106446581</v>
      </c>
      <c r="I101" s="42">
        <f t="shared" si="5"/>
        <v>-57226.803133899375</v>
      </c>
    </row>
    <row r="102" spans="1:9" x14ac:dyDescent="0.25">
      <c r="A102" s="38">
        <f>Données!A102</f>
        <v>5565</v>
      </c>
      <c r="B102" s="27" t="str">
        <f>Données!B102</f>
        <v>Onnens</v>
      </c>
      <c r="C102" s="31">
        <f>Données!Z102</f>
        <v>505</v>
      </c>
      <c r="D102" s="244">
        <f>Ecrêtage!E102</f>
        <v>38.841143651043424</v>
      </c>
      <c r="E102" s="244">
        <f t="shared" si="6"/>
        <v>7.3305010608810051</v>
      </c>
      <c r="F102" s="244">
        <f>+Données!X102</f>
        <v>63.5</v>
      </c>
      <c r="G102" s="392">
        <f t="shared" si="7"/>
        <v>-63469.127547846438</v>
      </c>
      <c r="H102" s="164">
        <f t="shared" si="4"/>
        <v>0.93977586218336562</v>
      </c>
      <c r="I102" s="42">
        <f t="shared" si="5"/>
        <v>-59646.754063303386</v>
      </c>
    </row>
    <row r="103" spans="1:9" x14ac:dyDescent="0.25">
      <c r="A103" s="38">
        <f>Données!A103</f>
        <v>5566</v>
      </c>
      <c r="B103" s="27" t="str">
        <f>Données!B103</f>
        <v>Provence</v>
      </c>
      <c r="C103" s="31">
        <f>Données!Z103</f>
        <v>392</v>
      </c>
      <c r="D103" s="244">
        <f>Ecrêtage!E103</f>
        <v>19.36823730827215</v>
      </c>
      <c r="E103" s="244">
        <f t="shared" si="6"/>
        <v>26.80340740365228</v>
      </c>
      <c r="F103" s="244">
        <f>+Données!X103</f>
        <v>81</v>
      </c>
      <c r="G103" s="392">
        <f t="shared" si="7"/>
        <v>-229786.68380780716</v>
      </c>
      <c r="H103" s="164">
        <f t="shared" si="4"/>
        <v>1.1987692100291751</v>
      </c>
      <c r="I103" s="42">
        <f t="shared" si="5"/>
        <v>-275461.20142350881</v>
      </c>
    </row>
    <row r="104" spans="1:9" x14ac:dyDescent="0.25">
      <c r="A104" s="38">
        <f>Données!A104</f>
        <v>5568</v>
      </c>
      <c r="B104" s="27" t="str">
        <f>Données!B104</f>
        <v>Sainte-Croix</v>
      </c>
      <c r="C104" s="31">
        <f>Données!Z104</f>
        <v>4917</v>
      </c>
      <c r="D104" s="244">
        <f>Ecrêtage!E104</f>
        <v>21.640851948369772</v>
      </c>
      <c r="E104" s="244">
        <f t="shared" si="6"/>
        <v>24.530792763554658</v>
      </c>
      <c r="F104" s="244">
        <f>+Données!X104</f>
        <v>70</v>
      </c>
      <c r="G104" s="392">
        <f t="shared" si="7"/>
        <v>-2279678.4615477272</v>
      </c>
      <c r="H104" s="164">
        <f t="shared" si="4"/>
        <v>1.0359733913832376</v>
      </c>
      <c r="I104" s="42">
        <f t="shared" si="5"/>
        <v>-2361686.2270729207</v>
      </c>
    </row>
    <row r="105" spans="1:9" x14ac:dyDescent="0.25">
      <c r="A105" s="38">
        <f>Données!A105</f>
        <v>5571</v>
      </c>
      <c r="B105" s="27" t="str">
        <f>Données!B105</f>
        <v>Tévenon</v>
      </c>
      <c r="C105" s="31">
        <f>Données!Z105</f>
        <v>894</v>
      </c>
      <c r="D105" s="244">
        <f>Ecrêtage!E105</f>
        <v>23.91006595686008</v>
      </c>
      <c r="E105" s="244">
        <f t="shared" si="6"/>
        <v>22.261578755064349</v>
      </c>
      <c r="F105" s="244">
        <f>+Données!X105</f>
        <v>71.5</v>
      </c>
      <c r="G105" s="392">
        <f t="shared" si="7"/>
        <v>-384205.24141266645</v>
      </c>
      <c r="H105" s="164">
        <f t="shared" si="4"/>
        <v>1.0581728211985928</v>
      </c>
      <c r="I105" s="42">
        <f t="shared" si="5"/>
        <v>-406555.54422492767</v>
      </c>
    </row>
    <row r="106" spans="1:9" x14ac:dyDescent="0.25">
      <c r="A106" s="38">
        <f>Données!A106</f>
        <v>5581</v>
      </c>
      <c r="B106" s="27" t="str">
        <f>Données!B106</f>
        <v>Belmont-sur-Lausanne</v>
      </c>
      <c r="C106" s="31">
        <f>Données!Z106</f>
        <v>3756</v>
      </c>
      <c r="D106" s="244">
        <f>Ecrêtage!E106</f>
        <v>56.549259727218384</v>
      </c>
      <c r="E106" s="244">
        <f t="shared" si="6"/>
        <v>0</v>
      </c>
      <c r="F106" s="244">
        <f>+Données!X106</f>
        <v>72</v>
      </c>
      <c r="G106" s="392">
        <f t="shared" si="7"/>
        <v>0</v>
      </c>
      <c r="H106" s="164">
        <f t="shared" si="4"/>
        <v>1.0655726311370446</v>
      </c>
      <c r="I106" s="42">
        <f t="shared" si="5"/>
        <v>0</v>
      </c>
    </row>
    <row r="107" spans="1:9" x14ac:dyDescent="0.25">
      <c r="A107" s="38">
        <f>Données!A107</f>
        <v>5582</v>
      </c>
      <c r="B107" s="27" t="str">
        <f>Données!B107</f>
        <v>Cheseaux-sur-Lausanne</v>
      </c>
      <c r="C107" s="31">
        <f>Données!Z107</f>
        <v>4367</v>
      </c>
      <c r="D107" s="244">
        <f>Ecrêtage!E107</f>
        <v>37.47694398867057</v>
      </c>
      <c r="E107" s="244">
        <f t="shared" si="6"/>
        <v>8.6947007232538596</v>
      </c>
      <c r="F107" s="244">
        <f>+Données!X107</f>
        <v>73</v>
      </c>
      <c r="G107" s="392">
        <f t="shared" si="7"/>
        <v>-748383.93133204174</v>
      </c>
      <c r="H107" s="164">
        <f t="shared" si="4"/>
        <v>1.080372251013948</v>
      </c>
      <c r="I107" s="42">
        <f t="shared" si="5"/>
        <v>-808533.23251586582</v>
      </c>
    </row>
    <row r="108" spans="1:9" x14ac:dyDescent="0.25">
      <c r="A108" s="38">
        <f>Données!A108</f>
        <v>5583</v>
      </c>
      <c r="B108" s="27" t="str">
        <f>Données!B108</f>
        <v>Crissier</v>
      </c>
      <c r="C108" s="31">
        <f>Données!Z108</f>
        <v>8700</v>
      </c>
      <c r="D108" s="244">
        <f>Ecrêtage!E108</f>
        <v>42.119467883216991</v>
      </c>
      <c r="E108" s="244">
        <f t="shared" si="6"/>
        <v>4.052176828707438</v>
      </c>
      <c r="F108" s="244">
        <f>+Données!X108</f>
        <v>63.5</v>
      </c>
      <c r="G108" s="392">
        <f t="shared" si="7"/>
        <v>-604428.77403524448</v>
      </c>
      <c r="H108" s="164">
        <f t="shared" si="4"/>
        <v>0.93977586218336562</v>
      </c>
      <c r="I108" s="42">
        <f t="shared" si="5"/>
        <v>-568027.57224740658</v>
      </c>
    </row>
    <row r="109" spans="1:9" x14ac:dyDescent="0.25">
      <c r="A109" s="38">
        <f>Données!A109</f>
        <v>5584</v>
      </c>
      <c r="B109" s="27" t="str">
        <f>Données!B109</f>
        <v>Epalinges</v>
      </c>
      <c r="C109" s="31">
        <f>Données!Z109</f>
        <v>9755</v>
      </c>
      <c r="D109" s="244">
        <f>Ecrêtage!E109</f>
        <v>49.392932287601525</v>
      </c>
      <c r="E109" s="244">
        <f t="shared" si="6"/>
        <v>0</v>
      </c>
      <c r="F109" s="244">
        <f>+Données!X109</f>
        <v>64.5</v>
      </c>
      <c r="G109" s="392">
        <f t="shared" si="7"/>
        <v>0</v>
      </c>
      <c r="H109" s="164">
        <f t="shared" si="4"/>
        <v>0.95457548206026899</v>
      </c>
      <c r="I109" s="42">
        <f t="shared" si="5"/>
        <v>0</v>
      </c>
    </row>
    <row r="110" spans="1:9" x14ac:dyDescent="0.25">
      <c r="A110" s="38">
        <f>Données!A110</f>
        <v>5585</v>
      </c>
      <c r="B110" s="27" t="str">
        <f>Données!B110</f>
        <v>Jouxtens-Mézery</v>
      </c>
      <c r="C110" s="31">
        <f>Données!Z110</f>
        <v>1411</v>
      </c>
      <c r="D110" s="244">
        <f>Ecrêtage!E110</f>
        <v>143.48462923779613</v>
      </c>
      <c r="E110" s="244">
        <f t="shared" si="6"/>
        <v>0</v>
      </c>
      <c r="F110" s="244">
        <f>+Données!X110</f>
        <v>59</v>
      </c>
      <c r="G110" s="392">
        <f t="shared" si="7"/>
        <v>0</v>
      </c>
      <c r="H110" s="164">
        <f t="shared" si="4"/>
        <v>0.87317757273730034</v>
      </c>
      <c r="I110" s="42">
        <f t="shared" si="5"/>
        <v>0</v>
      </c>
    </row>
    <row r="111" spans="1:9" x14ac:dyDescent="0.25">
      <c r="A111" s="38">
        <f>Données!A111</f>
        <v>5586</v>
      </c>
      <c r="B111" s="27" t="str">
        <f>Données!B111</f>
        <v>Lausanne</v>
      </c>
      <c r="C111" s="31">
        <f>Données!Z111</f>
        <v>140430</v>
      </c>
      <c r="D111" s="244">
        <f>Ecrêtage!E111</f>
        <v>43.778866265636751</v>
      </c>
      <c r="E111" s="244">
        <f t="shared" si="6"/>
        <v>2.3927784462876787</v>
      </c>
      <c r="F111" s="244">
        <f>+Données!X111</f>
        <v>78.5</v>
      </c>
      <c r="G111" s="392">
        <f t="shared" si="7"/>
        <v>-7121898.9075121284</v>
      </c>
      <c r="H111" s="164">
        <f t="shared" si="4"/>
        <v>1.1617701603369166</v>
      </c>
      <c r="I111" s="42">
        <f t="shared" si="5"/>
        <v>-8274009.6356836762</v>
      </c>
    </row>
    <row r="112" spans="1:9" x14ac:dyDescent="0.25">
      <c r="A112" s="38">
        <f>Données!A112</f>
        <v>5587</v>
      </c>
      <c r="B112" s="27" t="str">
        <f>Données!B112</f>
        <v>Le Mont-sur-Lausanne</v>
      </c>
      <c r="C112" s="31">
        <f>Données!Z112</f>
        <v>9136</v>
      </c>
      <c r="D112" s="244">
        <f>Ecrêtage!E112</f>
        <v>48.411068835855154</v>
      </c>
      <c r="E112" s="244">
        <f t="shared" si="6"/>
        <v>0</v>
      </c>
      <c r="F112" s="244">
        <f>+Données!X112</f>
        <v>73.5</v>
      </c>
      <c r="G112" s="392">
        <f t="shared" si="7"/>
        <v>0</v>
      </c>
      <c r="H112" s="164">
        <f t="shared" si="4"/>
        <v>1.0877720609523995</v>
      </c>
      <c r="I112" s="42">
        <f t="shared" si="5"/>
        <v>0</v>
      </c>
    </row>
    <row r="113" spans="1:9" x14ac:dyDescent="0.25">
      <c r="A113" s="38">
        <f>Données!A113</f>
        <v>5588</v>
      </c>
      <c r="B113" s="27" t="str">
        <f>Données!B113</f>
        <v>Paudex</v>
      </c>
      <c r="C113" s="31">
        <f>Données!Z113</f>
        <v>1538</v>
      </c>
      <c r="D113" s="244">
        <f>Ecrêtage!E113</f>
        <v>87.987917684540591</v>
      </c>
      <c r="E113" s="244">
        <f t="shared" si="6"/>
        <v>0</v>
      </c>
      <c r="F113" s="244">
        <f>+Données!X113</f>
        <v>66.5</v>
      </c>
      <c r="G113" s="392">
        <f t="shared" si="7"/>
        <v>0</v>
      </c>
      <c r="H113" s="164">
        <f t="shared" si="4"/>
        <v>0.98417472181407584</v>
      </c>
      <c r="I113" s="42">
        <f t="shared" si="5"/>
        <v>0</v>
      </c>
    </row>
    <row r="114" spans="1:9" x14ac:dyDescent="0.25">
      <c r="A114" s="38">
        <f>Données!A114</f>
        <v>5589</v>
      </c>
      <c r="B114" s="27" t="str">
        <f>Données!B114</f>
        <v>Prilly</v>
      </c>
      <c r="C114" s="31">
        <f>Données!Z114</f>
        <v>12383</v>
      </c>
      <c r="D114" s="244">
        <f>Ecrêtage!E114</f>
        <v>36.595289377273893</v>
      </c>
      <c r="E114" s="244">
        <f t="shared" si="6"/>
        <v>9.5763553346505361</v>
      </c>
      <c r="F114" s="244">
        <f>+Données!X114</f>
        <v>72.5</v>
      </c>
      <c r="G114" s="392">
        <f t="shared" si="7"/>
        <v>-2321281.9587332364</v>
      </c>
      <c r="H114" s="164">
        <f t="shared" si="4"/>
        <v>1.0729724410754962</v>
      </c>
      <c r="I114" s="42">
        <f t="shared" si="5"/>
        <v>-2490671.5696865097</v>
      </c>
    </row>
    <row r="115" spans="1:9" x14ac:dyDescent="0.25">
      <c r="A115" s="38">
        <f>Données!A115</f>
        <v>5590</v>
      </c>
      <c r="B115" s="27" t="str">
        <f>Données!B115</f>
        <v>Pully</v>
      </c>
      <c r="C115" s="31">
        <f>Données!Z115</f>
        <v>18688</v>
      </c>
      <c r="D115" s="244">
        <f>Ecrêtage!E115</f>
        <v>78.993589808818868</v>
      </c>
      <c r="E115" s="244">
        <f t="shared" si="6"/>
        <v>0</v>
      </c>
      <c r="F115" s="244">
        <f>+Données!X115</f>
        <v>61</v>
      </c>
      <c r="G115" s="392">
        <f t="shared" si="7"/>
        <v>0</v>
      </c>
      <c r="H115" s="164">
        <f t="shared" si="4"/>
        <v>0.90277681249110719</v>
      </c>
      <c r="I115" s="42">
        <f t="shared" si="5"/>
        <v>0</v>
      </c>
    </row>
    <row r="116" spans="1:9" x14ac:dyDescent="0.25">
      <c r="A116" s="38">
        <f>Données!A116</f>
        <v>5591</v>
      </c>
      <c r="B116" s="27" t="str">
        <f>Données!B116</f>
        <v>Renens</v>
      </c>
      <c r="C116" s="31">
        <f>Données!Z116</f>
        <v>20863</v>
      </c>
      <c r="D116" s="244">
        <f>Ecrêtage!E116</f>
        <v>28.513546971079002</v>
      </c>
      <c r="E116" s="244">
        <f t="shared" si="6"/>
        <v>17.658097740845427</v>
      </c>
      <c r="F116" s="244">
        <f>+Données!X116</f>
        <v>77</v>
      </c>
      <c r="G116" s="392">
        <f t="shared" si="7"/>
        <v>-7659054.5689472975</v>
      </c>
      <c r="H116" s="164">
        <f t="shared" si="4"/>
        <v>1.1395707305215614</v>
      </c>
      <c r="I116" s="42">
        <f t="shared" si="5"/>
        <v>-8728034.4102397747</v>
      </c>
    </row>
    <row r="117" spans="1:9" x14ac:dyDescent="0.25">
      <c r="A117" s="38">
        <f>Données!A117</f>
        <v>5592</v>
      </c>
      <c r="B117" s="27" t="str">
        <f>Données!B117</f>
        <v>Romanel-sur-Lausanne</v>
      </c>
      <c r="C117" s="31">
        <f>Données!Z117</f>
        <v>3247</v>
      </c>
      <c r="D117" s="244">
        <f>Ecrêtage!E117</f>
        <v>37.298311804248144</v>
      </c>
      <c r="E117" s="244">
        <f t="shared" si="6"/>
        <v>8.8733329076762857</v>
      </c>
      <c r="F117" s="244">
        <f>+Données!X117</f>
        <v>70.5</v>
      </c>
      <c r="G117" s="392">
        <f t="shared" si="7"/>
        <v>-548430.93699156598</v>
      </c>
      <c r="H117" s="164">
        <f t="shared" si="4"/>
        <v>1.0433732013216894</v>
      </c>
      <c r="I117" s="42">
        <f t="shared" si="5"/>
        <v>-572218.14243274392</v>
      </c>
    </row>
    <row r="118" spans="1:9" x14ac:dyDescent="0.25">
      <c r="A118" s="38">
        <f>Données!A118</f>
        <v>5601</v>
      </c>
      <c r="B118" s="27" t="str">
        <f>Données!B118</f>
        <v>Chexbres</v>
      </c>
      <c r="C118" s="31">
        <f>Données!Z118</f>
        <v>2251</v>
      </c>
      <c r="D118" s="244">
        <f>Ecrêtage!E118</f>
        <v>43.559591189864065</v>
      </c>
      <c r="E118" s="244">
        <f t="shared" si="6"/>
        <v>2.6120535220603642</v>
      </c>
      <c r="F118" s="244">
        <f>+Données!X118</f>
        <v>67.5</v>
      </c>
      <c r="G118" s="392">
        <f t="shared" si="7"/>
        <v>-107158.12441442737</v>
      </c>
      <c r="H118" s="164">
        <f t="shared" si="4"/>
        <v>0.99897434169097921</v>
      </c>
      <c r="I118" s="42">
        <f t="shared" si="5"/>
        <v>-107048.21679374263</v>
      </c>
    </row>
    <row r="119" spans="1:9" x14ac:dyDescent="0.25">
      <c r="A119" s="38">
        <f>Données!A119</f>
        <v>5604</v>
      </c>
      <c r="B119" s="27" t="str">
        <f>Données!B119</f>
        <v>Forel (Lavaux)</v>
      </c>
      <c r="C119" s="31">
        <f>Données!Z119</f>
        <v>2105</v>
      </c>
      <c r="D119" s="244">
        <f>Ecrêtage!E119</f>
        <v>33.855662838601916</v>
      </c>
      <c r="E119" s="244">
        <f t="shared" si="6"/>
        <v>12.315981873322514</v>
      </c>
      <c r="F119" s="244">
        <f>+Données!X119</f>
        <v>69</v>
      </c>
      <c r="G119" s="392">
        <f t="shared" si="7"/>
        <v>-482985.39254149672</v>
      </c>
      <c r="H119" s="164">
        <f t="shared" si="4"/>
        <v>1.0211737715063343</v>
      </c>
      <c r="I119" s="42">
        <f t="shared" si="5"/>
        <v>-493212.01488406752</v>
      </c>
    </row>
    <row r="120" spans="1:9" x14ac:dyDescent="0.25">
      <c r="A120" s="38">
        <f>Données!A120</f>
        <v>5606</v>
      </c>
      <c r="B120" s="27" t="str">
        <f>Données!B120</f>
        <v>Lutry</v>
      </c>
      <c r="C120" s="31">
        <f>Données!Z120</f>
        <v>10455</v>
      </c>
      <c r="D120" s="244">
        <f>Ecrêtage!E120</f>
        <v>83.614812318637476</v>
      </c>
      <c r="E120" s="244">
        <f t="shared" si="6"/>
        <v>0</v>
      </c>
      <c r="F120" s="244">
        <f>+Données!X120</f>
        <v>54</v>
      </c>
      <c r="G120" s="392">
        <f t="shared" si="7"/>
        <v>0</v>
      </c>
      <c r="H120" s="164">
        <f t="shared" si="4"/>
        <v>0.79917947335278339</v>
      </c>
      <c r="I120" s="42">
        <f t="shared" si="5"/>
        <v>0</v>
      </c>
    </row>
    <row r="121" spans="1:9" x14ac:dyDescent="0.25">
      <c r="A121" s="38">
        <f>Données!A121</f>
        <v>5607</v>
      </c>
      <c r="B121" s="27" t="str">
        <f>Données!B121</f>
        <v>Puidoux</v>
      </c>
      <c r="C121" s="31">
        <f>Données!Z121</f>
        <v>2894</v>
      </c>
      <c r="D121" s="244">
        <f>Ecrêtage!E121</f>
        <v>35.503897350309742</v>
      </c>
      <c r="E121" s="244">
        <f t="shared" si="6"/>
        <v>10.667747361614687</v>
      </c>
      <c r="F121" s="244">
        <f>+Données!X121</f>
        <v>68.5</v>
      </c>
      <c r="G121" s="392">
        <f t="shared" si="7"/>
        <v>-570986.16368916619</v>
      </c>
      <c r="H121" s="164">
        <f t="shared" si="4"/>
        <v>1.0137739615678827</v>
      </c>
      <c r="I121" s="42">
        <f t="shared" si="5"/>
        <v>-578850.9051636135</v>
      </c>
    </row>
    <row r="122" spans="1:9" x14ac:dyDescent="0.25">
      <c r="A122" s="38">
        <f>Données!A122</f>
        <v>5609</v>
      </c>
      <c r="B122" s="27" t="str">
        <f>Données!B122</f>
        <v>Rivaz</v>
      </c>
      <c r="C122" s="31">
        <f>Données!Z122</f>
        <v>337</v>
      </c>
      <c r="D122" s="244">
        <f>Ecrêtage!E122</f>
        <v>47.613324692863458</v>
      </c>
      <c r="E122" s="244">
        <f t="shared" si="6"/>
        <v>0</v>
      </c>
      <c r="F122" s="244">
        <f>+Données!X122</f>
        <v>62</v>
      </c>
      <c r="G122" s="392">
        <f t="shared" si="7"/>
        <v>0</v>
      </c>
      <c r="H122" s="164">
        <f t="shared" si="4"/>
        <v>0.91757643236801056</v>
      </c>
      <c r="I122" s="42">
        <f t="shared" si="5"/>
        <v>0</v>
      </c>
    </row>
    <row r="123" spans="1:9" x14ac:dyDescent="0.25">
      <c r="A123" s="38">
        <f>Données!A123</f>
        <v>5610</v>
      </c>
      <c r="B123" s="27" t="str">
        <f>Données!B123</f>
        <v>St-Saphorin (Lavaux)</v>
      </c>
      <c r="C123" s="31">
        <f>Données!Z123</f>
        <v>388</v>
      </c>
      <c r="D123" s="244">
        <f>Ecrêtage!E123</f>
        <v>49.515635022383698</v>
      </c>
      <c r="E123" s="244">
        <f t="shared" si="6"/>
        <v>0</v>
      </c>
      <c r="F123" s="244">
        <f>+Données!X123</f>
        <v>72</v>
      </c>
      <c r="G123" s="392">
        <f t="shared" si="7"/>
        <v>0</v>
      </c>
      <c r="H123" s="164">
        <f t="shared" si="4"/>
        <v>1.0655726311370446</v>
      </c>
      <c r="I123" s="42">
        <f t="shared" si="5"/>
        <v>0</v>
      </c>
    </row>
    <row r="124" spans="1:9" x14ac:dyDescent="0.25">
      <c r="A124" s="38">
        <f>Données!A124</f>
        <v>5611</v>
      </c>
      <c r="B124" s="27" t="str">
        <f>Données!B124</f>
        <v>Savigny</v>
      </c>
      <c r="C124" s="31">
        <f>Données!Z124</f>
        <v>3348</v>
      </c>
      <c r="D124" s="244">
        <f>Ecrêtage!E124</f>
        <v>40.800835928616742</v>
      </c>
      <c r="E124" s="244">
        <f t="shared" si="6"/>
        <v>5.3708087833076874</v>
      </c>
      <c r="F124" s="244">
        <f>+Données!X124</f>
        <v>69</v>
      </c>
      <c r="G124" s="392">
        <f t="shared" si="7"/>
        <v>-334994.74523535836</v>
      </c>
      <c r="H124" s="164">
        <f t="shared" si="4"/>
        <v>1.0211737715063343</v>
      </c>
      <c r="I124" s="42">
        <f t="shared" si="5"/>
        <v>-342087.84742679453</v>
      </c>
    </row>
    <row r="125" spans="1:9" x14ac:dyDescent="0.25">
      <c r="A125" s="38">
        <f>Données!A125</f>
        <v>5613</v>
      </c>
      <c r="B125" s="27" t="str">
        <f>Données!B125</f>
        <v>Bourg-en-Lavaux</v>
      </c>
      <c r="C125" s="31">
        <f>Données!Z125</f>
        <v>5389</v>
      </c>
      <c r="D125" s="244">
        <f>Ecrêtage!E125</f>
        <v>63.786207655663759</v>
      </c>
      <c r="E125" s="244">
        <f t="shared" si="6"/>
        <v>0</v>
      </c>
      <c r="F125" s="244">
        <f>+Données!X125</f>
        <v>62.5</v>
      </c>
      <c r="G125" s="392">
        <f t="shared" si="7"/>
        <v>0</v>
      </c>
      <c r="H125" s="164">
        <f t="shared" si="4"/>
        <v>0.92497624230646225</v>
      </c>
      <c r="I125" s="42">
        <f t="shared" si="5"/>
        <v>0</v>
      </c>
    </row>
    <row r="126" spans="1:9" x14ac:dyDescent="0.25">
      <c r="A126" s="38">
        <f>Données!A126</f>
        <v>5621</v>
      </c>
      <c r="B126" s="27" t="str">
        <f>Données!B126</f>
        <v>Aclens</v>
      </c>
      <c r="C126" s="31">
        <f>Données!Z126</f>
        <v>528</v>
      </c>
      <c r="D126" s="244">
        <f>Ecrêtage!E126</f>
        <v>61.10456360807953</v>
      </c>
      <c r="E126" s="244">
        <f t="shared" si="6"/>
        <v>0</v>
      </c>
      <c r="F126" s="244">
        <f>+Données!X126</f>
        <v>62</v>
      </c>
      <c r="G126" s="392">
        <f t="shared" si="7"/>
        <v>0</v>
      </c>
      <c r="H126" s="164">
        <f t="shared" si="4"/>
        <v>0.91757643236801056</v>
      </c>
      <c r="I126" s="42">
        <f t="shared" si="5"/>
        <v>0</v>
      </c>
    </row>
    <row r="127" spans="1:9" x14ac:dyDescent="0.25">
      <c r="A127" s="38">
        <f>Données!A127</f>
        <v>5622</v>
      </c>
      <c r="B127" s="27" t="str">
        <f>Données!B127</f>
        <v>Bremblens</v>
      </c>
      <c r="C127" s="31">
        <f>Données!Z127</f>
        <v>583</v>
      </c>
      <c r="D127" s="244">
        <f>Ecrêtage!E127</f>
        <v>47.682407694372571</v>
      </c>
      <c r="E127" s="244">
        <f t="shared" si="6"/>
        <v>0</v>
      </c>
      <c r="F127" s="244">
        <f>+Données!X127</f>
        <v>68</v>
      </c>
      <c r="G127" s="392">
        <f t="shared" si="7"/>
        <v>0</v>
      </c>
      <c r="H127" s="164">
        <f t="shared" si="4"/>
        <v>1.0063741516294309</v>
      </c>
      <c r="I127" s="42">
        <f t="shared" si="5"/>
        <v>0</v>
      </c>
    </row>
    <row r="128" spans="1:9" x14ac:dyDescent="0.25">
      <c r="A128" s="38">
        <f>Données!A128</f>
        <v>5623</v>
      </c>
      <c r="B128" s="27" t="str">
        <f>Données!B128</f>
        <v>Buchillon</v>
      </c>
      <c r="C128" s="31">
        <f>Données!Z128</f>
        <v>686</v>
      </c>
      <c r="D128" s="244">
        <f>Ecrêtage!E128</f>
        <v>137.76272847050907</v>
      </c>
      <c r="E128" s="244">
        <f t="shared" si="6"/>
        <v>0</v>
      </c>
      <c r="F128" s="244">
        <f>+Données!X128</f>
        <v>52</v>
      </c>
      <c r="G128" s="392">
        <f t="shared" si="7"/>
        <v>0</v>
      </c>
      <c r="H128" s="164">
        <f t="shared" si="4"/>
        <v>0.76958023359897654</v>
      </c>
      <c r="I128" s="42">
        <f t="shared" si="5"/>
        <v>0</v>
      </c>
    </row>
    <row r="129" spans="1:9" x14ac:dyDescent="0.25">
      <c r="A129" s="38">
        <f>Données!A129</f>
        <v>5624</v>
      </c>
      <c r="B129" s="27" t="str">
        <f>Données!B129</f>
        <v>Bussigny</v>
      </c>
      <c r="C129" s="31">
        <f>Données!Z129</f>
        <v>9614</v>
      </c>
      <c r="D129" s="244">
        <f>Ecrêtage!E129</f>
        <v>36.500462471352193</v>
      </c>
      <c r="E129" s="244">
        <f t="shared" si="6"/>
        <v>9.6711822405722359</v>
      </c>
      <c r="F129" s="244">
        <f>+Données!X129</f>
        <v>62.5</v>
      </c>
      <c r="G129" s="392">
        <f t="shared" si="7"/>
        <v>-1569016.3397770377</v>
      </c>
      <c r="H129" s="164">
        <f t="shared" si="4"/>
        <v>0.92497624230646225</v>
      </c>
      <c r="I129" s="42">
        <f t="shared" si="5"/>
        <v>-1451302.8380844037</v>
      </c>
    </row>
    <row r="130" spans="1:9" x14ac:dyDescent="0.25">
      <c r="A130" s="38">
        <f>Données!A130</f>
        <v>5627</v>
      </c>
      <c r="B130" s="27" t="str">
        <f>Données!B130</f>
        <v>Chavannes-près-Renens</v>
      </c>
      <c r="C130" s="31">
        <f>Données!Z130</f>
        <v>8487</v>
      </c>
      <c r="D130" s="244">
        <f>Ecrêtage!E130</f>
        <v>19.138223174976027</v>
      </c>
      <c r="E130" s="244">
        <f t="shared" si="6"/>
        <v>27.033421536948403</v>
      </c>
      <c r="F130" s="244">
        <f>+Données!X130</f>
        <v>77.5</v>
      </c>
      <c r="G130" s="392">
        <f t="shared" si="7"/>
        <v>-4800878.1716218973</v>
      </c>
      <c r="H130" s="164">
        <f t="shared" si="4"/>
        <v>1.1469705404600132</v>
      </c>
      <c r="I130" s="42">
        <f t="shared" si="5"/>
        <v>-5506465.831187848</v>
      </c>
    </row>
    <row r="131" spans="1:9" x14ac:dyDescent="0.25">
      <c r="A131" s="38">
        <f>Données!A131</f>
        <v>5628</v>
      </c>
      <c r="B131" s="27" t="str">
        <f>Données!B131</f>
        <v>Chigny</v>
      </c>
      <c r="C131" s="31">
        <f>Données!Z131</f>
        <v>396</v>
      </c>
      <c r="D131" s="244">
        <f>Ecrêtage!E131</f>
        <v>62.178049989583393</v>
      </c>
      <c r="E131" s="244">
        <f t="shared" si="6"/>
        <v>0</v>
      </c>
      <c r="F131" s="244">
        <f>+Données!X131</f>
        <v>62</v>
      </c>
      <c r="G131" s="392">
        <f t="shared" si="7"/>
        <v>0</v>
      </c>
      <c r="H131" s="164">
        <f t="shared" si="4"/>
        <v>0.91757643236801056</v>
      </c>
      <c r="I131" s="42">
        <f t="shared" si="5"/>
        <v>0</v>
      </c>
    </row>
    <row r="132" spans="1:9" x14ac:dyDescent="0.25">
      <c r="A132" s="38">
        <f>Données!A132</f>
        <v>5629</v>
      </c>
      <c r="B132" s="27" t="str">
        <f>Données!B132</f>
        <v>Clarmont</v>
      </c>
      <c r="C132" s="31">
        <f>Données!Z132</f>
        <v>201</v>
      </c>
      <c r="D132" s="244">
        <f>Ecrêtage!E132</f>
        <v>42.391164889315597</v>
      </c>
      <c r="E132" s="244">
        <f t="shared" si="6"/>
        <v>3.7804798226088323</v>
      </c>
      <c r="F132" s="244">
        <f>+Données!X132</f>
        <v>73.5</v>
      </c>
      <c r="G132" s="392">
        <f t="shared" si="7"/>
        <v>-15079.748038014128</v>
      </c>
      <c r="H132" s="164">
        <f t="shared" si="4"/>
        <v>1.0877720609523995</v>
      </c>
      <c r="I132" s="42">
        <f t="shared" si="5"/>
        <v>-16403.32860195353</v>
      </c>
    </row>
    <row r="133" spans="1:9" x14ac:dyDescent="0.25">
      <c r="A133" s="38">
        <f>Données!A133</f>
        <v>5631</v>
      </c>
      <c r="B133" s="27" t="str">
        <f>Données!B133</f>
        <v>Denens</v>
      </c>
      <c r="C133" s="31">
        <f>Données!Z133</f>
        <v>742</v>
      </c>
      <c r="D133" s="244">
        <f>Ecrêtage!E133</f>
        <v>58.549517892017114</v>
      </c>
      <c r="E133" s="244">
        <f t="shared" si="6"/>
        <v>0</v>
      </c>
      <c r="F133" s="244">
        <f>+Données!X133</f>
        <v>68</v>
      </c>
      <c r="G133" s="392">
        <f t="shared" si="7"/>
        <v>0</v>
      </c>
      <c r="H133" s="164">
        <f t="shared" si="4"/>
        <v>1.0063741516294309</v>
      </c>
      <c r="I133" s="42">
        <f t="shared" si="5"/>
        <v>0</v>
      </c>
    </row>
    <row r="134" spans="1:9" x14ac:dyDescent="0.25">
      <c r="A134" s="38">
        <f>Données!A134</f>
        <v>5632</v>
      </c>
      <c r="B134" s="27" t="str">
        <f>Données!B134</f>
        <v>Denges</v>
      </c>
      <c r="C134" s="31">
        <f>Données!Z134</f>
        <v>1730</v>
      </c>
      <c r="D134" s="244">
        <f>Ecrêtage!E134</f>
        <v>44.162576233561083</v>
      </c>
      <c r="E134" s="244">
        <f t="shared" si="6"/>
        <v>2.0090684783633463</v>
      </c>
      <c r="F134" s="244">
        <f>+Données!X134</f>
        <v>62</v>
      </c>
      <c r="G134" s="392">
        <f t="shared" si="7"/>
        <v>-58183.024947098187</v>
      </c>
      <c r="H134" s="164">
        <f t="shared" ref="H134:H197" si="8">F134/$F$306</f>
        <v>0.91757643236801056</v>
      </c>
      <c r="I134" s="42">
        <f t="shared" ref="I134:I197" si="9">G134*H134</f>
        <v>-53387.37245533731</v>
      </c>
    </row>
    <row r="135" spans="1:9" x14ac:dyDescent="0.25">
      <c r="A135" s="38">
        <f>Données!A135</f>
        <v>5633</v>
      </c>
      <c r="B135" s="27" t="str">
        <f>Données!B135</f>
        <v>Echandens</v>
      </c>
      <c r="C135" s="31">
        <f>Données!Z135</f>
        <v>2743</v>
      </c>
      <c r="D135" s="244">
        <f>Ecrêtage!E135</f>
        <v>54.070089680903848</v>
      </c>
      <c r="E135" s="244">
        <f t="shared" ref="E135:E198" si="10">IF($D$306-D135&lt;0,0,$D$306-D135)</f>
        <v>0</v>
      </c>
      <c r="F135" s="244">
        <f>+Données!X135</f>
        <v>60.5</v>
      </c>
      <c r="G135" s="392">
        <f t="shared" ref="G135:G198" si="11">-((C135*E135*F135)*$E$5)</f>
        <v>0</v>
      </c>
      <c r="H135" s="164">
        <f t="shared" si="8"/>
        <v>0.8953770025526554</v>
      </c>
      <c r="I135" s="42">
        <f t="shared" si="9"/>
        <v>0</v>
      </c>
    </row>
    <row r="136" spans="1:9" x14ac:dyDescent="0.25">
      <c r="A136" s="38">
        <f>Données!A136</f>
        <v>5634</v>
      </c>
      <c r="B136" s="27" t="str">
        <f>Données!B136</f>
        <v>Echichens</v>
      </c>
      <c r="C136" s="31">
        <f>Données!Z136</f>
        <v>3127</v>
      </c>
      <c r="D136" s="244">
        <f>Ecrêtage!E136</f>
        <v>52.466304451748542</v>
      </c>
      <c r="E136" s="244">
        <f t="shared" si="10"/>
        <v>0</v>
      </c>
      <c r="F136" s="244">
        <f>+Données!X136</f>
        <v>66</v>
      </c>
      <c r="G136" s="392">
        <f t="shared" si="11"/>
        <v>0</v>
      </c>
      <c r="H136" s="164">
        <f t="shared" si="8"/>
        <v>0.97677491187562415</v>
      </c>
      <c r="I136" s="42">
        <f t="shared" si="9"/>
        <v>0</v>
      </c>
    </row>
    <row r="137" spans="1:9" x14ac:dyDescent="0.25">
      <c r="A137" s="38">
        <f>Données!A137</f>
        <v>5635</v>
      </c>
      <c r="B137" s="27" t="str">
        <f>Données!B137</f>
        <v>Ecublens</v>
      </c>
      <c r="C137" s="31">
        <f>Données!Z137</f>
        <v>13164</v>
      </c>
      <c r="D137" s="244">
        <f>Ecrêtage!E137</f>
        <v>38.146770520077062</v>
      </c>
      <c r="E137" s="244">
        <f t="shared" si="10"/>
        <v>8.0248741918473669</v>
      </c>
      <c r="F137" s="244">
        <f>+Données!X137</f>
        <v>62.5</v>
      </c>
      <c r="G137" s="392">
        <f t="shared" si="11"/>
        <v>-1782665.6151624536</v>
      </c>
      <c r="H137" s="164">
        <f t="shared" si="8"/>
        <v>0.92497624230646225</v>
      </c>
      <c r="I137" s="42">
        <f t="shared" si="9"/>
        <v>-1648923.3420019043</v>
      </c>
    </row>
    <row r="138" spans="1:9" x14ac:dyDescent="0.25">
      <c r="A138" s="38">
        <f>Données!A138</f>
        <v>5636</v>
      </c>
      <c r="B138" s="27" t="str">
        <f>Données!B138</f>
        <v>Etoy</v>
      </c>
      <c r="C138" s="31">
        <f>Données!Z138</f>
        <v>2909</v>
      </c>
      <c r="D138" s="244">
        <f>Ecrêtage!E138</f>
        <v>58.502616717707504</v>
      </c>
      <c r="E138" s="244">
        <f t="shared" si="10"/>
        <v>0</v>
      </c>
      <c r="F138" s="244">
        <f>+Données!X138</f>
        <v>60</v>
      </c>
      <c r="G138" s="392">
        <f t="shared" si="11"/>
        <v>0</v>
      </c>
      <c r="H138" s="164">
        <f t="shared" si="8"/>
        <v>0.88797719261420371</v>
      </c>
      <c r="I138" s="42">
        <f t="shared" si="9"/>
        <v>0</v>
      </c>
    </row>
    <row r="139" spans="1:9" x14ac:dyDescent="0.25">
      <c r="A139" s="38">
        <f>Données!A139</f>
        <v>5637</v>
      </c>
      <c r="B139" s="27" t="str">
        <f>Données!B139</f>
        <v>Lavigny</v>
      </c>
      <c r="C139" s="31">
        <f>Données!Z139</f>
        <v>1008</v>
      </c>
      <c r="D139" s="244">
        <f>Ecrêtage!E139</f>
        <v>40.86414050845687</v>
      </c>
      <c r="E139" s="244">
        <f t="shared" si="10"/>
        <v>5.307504203467559</v>
      </c>
      <c r="F139" s="244">
        <f>+Données!X139</f>
        <v>73</v>
      </c>
      <c r="G139" s="392">
        <f t="shared" si="11"/>
        <v>-105447.79511314836</v>
      </c>
      <c r="H139" s="164">
        <f t="shared" si="8"/>
        <v>1.080372251013948</v>
      </c>
      <c r="I139" s="42">
        <f t="shared" si="9"/>
        <v>-113922.87177084967</v>
      </c>
    </row>
    <row r="140" spans="1:9" x14ac:dyDescent="0.25">
      <c r="A140" s="38">
        <f>Données!A140</f>
        <v>5638</v>
      </c>
      <c r="B140" s="27" t="str">
        <f>Données!B140</f>
        <v>Lonay</v>
      </c>
      <c r="C140" s="31">
        <f>Données!Z140</f>
        <v>2679</v>
      </c>
      <c r="D140" s="244">
        <f>Ecrêtage!E140</f>
        <v>54.300786223231697</v>
      </c>
      <c r="E140" s="244">
        <f t="shared" si="10"/>
        <v>0</v>
      </c>
      <c r="F140" s="244">
        <f>+Données!X140</f>
        <v>55</v>
      </c>
      <c r="G140" s="392">
        <f t="shared" si="11"/>
        <v>0</v>
      </c>
      <c r="H140" s="164">
        <f t="shared" si="8"/>
        <v>0.81397909322968676</v>
      </c>
      <c r="I140" s="42">
        <f t="shared" si="9"/>
        <v>0</v>
      </c>
    </row>
    <row r="141" spans="1:9" x14ac:dyDescent="0.25">
      <c r="A141" s="38">
        <f>Données!A141</f>
        <v>5639</v>
      </c>
      <c r="B141" s="27" t="str">
        <f>Données!B141</f>
        <v>Lully</v>
      </c>
      <c r="C141" s="31">
        <f>Données!Z141</f>
        <v>825</v>
      </c>
      <c r="D141" s="244">
        <f>Ecrêtage!E141</f>
        <v>55.438930352707402</v>
      </c>
      <c r="E141" s="244">
        <f t="shared" si="10"/>
        <v>0</v>
      </c>
      <c r="F141" s="244">
        <f>+Données!X141</f>
        <v>61</v>
      </c>
      <c r="G141" s="392">
        <f t="shared" si="11"/>
        <v>0</v>
      </c>
      <c r="H141" s="164">
        <f t="shared" si="8"/>
        <v>0.90277681249110719</v>
      </c>
      <c r="I141" s="42">
        <f t="shared" si="9"/>
        <v>0</v>
      </c>
    </row>
    <row r="142" spans="1:9" x14ac:dyDescent="0.25">
      <c r="A142" s="38">
        <f>Données!A142</f>
        <v>5640</v>
      </c>
      <c r="B142" s="27" t="str">
        <f>Données!B142</f>
        <v>Lussy-sur-Morges</v>
      </c>
      <c r="C142" s="31">
        <f>Données!Z142</f>
        <v>722</v>
      </c>
      <c r="D142" s="244">
        <f>Ecrêtage!E142</f>
        <v>78.978962261193601</v>
      </c>
      <c r="E142" s="244">
        <f t="shared" si="10"/>
        <v>0</v>
      </c>
      <c r="F142" s="244">
        <f>+Données!X142</f>
        <v>66</v>
      </c>
      <c r="G142" s="392">
        <f t="shared" si="11"/>
        <v>0</v>
      </c>
      <c r="H142" s="164">
        <f t="shared" si="8"/>
        <v>0.97677491187562415</v>
      </c>
      <c r="I142" s="42">
        <f t="shared" si="9"/>
        <v>0</v>
      </c>
    </row>
    <row r="143" spans="1:9" x14ac:dyDescent="0.25">
      <c r="A143" s="38">
        <f>Données!A143</f>
        <v>5642</v>
      </c>
      <c r="B143" s="27" t="str">
        <f>Données!B143</f>
        <v>Morges</v>
      </c>
      <c r="C143" s="31">
        <f>Données!Z143</f>
        <v>16095</v>
      </c>
      <c r="D143" s="244">
        <f>Ecrêtage!E143</f>
        <v>54.211176186607013</v>
      </c>
      <c r="E143" s="244">
        <f t="shared" si="10"/>
        <v>0</v>
      </c>
      <c r="F143" s="244">
        <f>+Données!X143</f>
        <v>67</v>
      </c>
      <c r="G143" s="392">
        <f t="shared" si="11"/>
        <v>0</v>
      </c>
      <c r="H143" s="164">
        <f t="shared" si="8"/>
        <v>0.99157453175252752</v>
      </c>
      <c r="I143" s="42">
        <f t="shared" si="9"/>
        <v>0</v>
      </c>
    </row>
    <row r="144" spans="1:9" x14ac:dyDescent="0.25">
      <c r="A144" s="38">
        <f>Données!A144</f>
        <v>5643</v>
      </c>
      <c r="B144" s="27" t="str">
        <f>Données!B144</f>
        <v>Préverenges</v>
      </c>
      <c r="C144" s="31">
        <f>Données!Z144</f>
        <v>5241</v>
      </c>
      <c r="D144" s="244">
        <f>Ecrêtage!E144</f>
        <v>50.024666207992972</v>
      </c>
      <c r="E144" s="244">
        <f t="shared" si="10"/>
        <v>0</v>
      </c>
      <c r="F144" s="244">
        <f>+Données!X144</f>
        <v>62.5</v>
      </c>
      <c r="G144" s="392">
        <f t="shared" si="11"/>
        <v>0</v>
      </c>
      <c r="H144" s="164">
        <f t="shared" si="8"/>
        <v>0.92497624230646225</v>
      </c>
      <c r="I144" s="42">
        <f t="shared" si="9"/>
        <v>0</v>
      </c>
    </row>
    <row r="145" spans="1:9" x14ac:dyDescent="0.25">
      <c r="A145" s="38">
        <f>Données!A145</f>
        <v>5645</v>
      </c>
      <c r="B145" s="27" t="str">
        <f>Données!B145</f>
        <v>Romanel-sur-Morges</v>
      </c>
      <c r="C145" s="31">
        <f>Données!Z145</f>
        <v>466</v>
      </c>
      <c r="D145" s="244">
        <f>Ecrêtage!E145</f>
        <v>58.608341814362262</v>
      </c>
      <c r="E145" s="244">
        <f t="shared" si="10"/>
        <v>0</v>
      </c>
      <c r="F145" s="244">
        <f>+Données!X145</f>
        <v>56</v>
      </c>
      <c r="G145" s="392">
        <f t="shared" si="11"/>
        <v>0</v>
      </c>
      <c r="H145" s="164">
        <f t="shared" si="8"/>
        <v>0.82877871310659013</v>
      </c>
      <c r="I145" s="42">
        <f t="shared" si="9"/>
        <v>0</v>
      </c>
    </row>
    <row r="146" spans="1:9" x14ac:dyDescent="0.25">
      <c r="A146" s="38">
        <f>Données!A146</f>
        <v>5646</v>
      </c>
      <c r="B146" s="27" t="str">
        <f>Données!B146</f>
        <v>Saint-Prex</v>
      </c>
      <c r="C146" s="31">
        <f>Données!Z146</f>
        <v>5865</v>
      </c>
      <c r="D146" s="244">
        <f>Ecrêtage!E146</f>
        <v>91.535369135901107</v>
      </c>
      <c r="E146" s="244">
        <f t="shared" si="10"/>
        <v>0</v>
      </c>
      <c r="F146" s="244">
        <f>+Données!X146</f>
        <v>55</v>
      </c>
      <c r="G146" s="392">
        <f t="shared" si="11"/>
        <v>0</v>
      </c>
      <c r="H146" s="164">
        <f t="shared" si="8"/>
        <v>0.81397909322968676</v>
      </c>
      <c r="I146" s="42">
        <f t="shared" si="9"/>
        <v>0</v>
      </c>
    </row>
    <row r="147" spans="1:9" x14ac:dyDescent="0.25">
      <c r="A147" s="38">
        <f>Données!A147</f>
        <v>5648</v>
      </c>
      <c r="B147" s="27" t="str">
        <f>Données!B147</f>
        <v>Saint-Sulpice</v>
      </c>
      <c r="C147" s="31">
        <f>Données!Z147</f>
        <v>4909</v>
      </c>
      <c r="D147" s="244">
        <f>Ecrêtage!E147</f>
        <v>80.654321747944664</v>
      </c>
      <c r="E147" s="244">
        <f t="shared" si="10"/>
        <v>0</v>
      </c>
      <c r="F147" s="244">
        <f>+Données!X147</f>
        <v>55</v>
      </c>
      <c r="G147" s="392">
        <f t="shared" si="11"/>
        <v>0</v>
      </c>
      <c r="H147" s="164">
        <f t="shared" si="8"/>
        <v>0.81397909322968676</v>
      </c>
      <c r="I147" s="42">
        <f t="shared" si="9"/>
        <v>0</v>
      </c>
    </row>
    <row r="148" spans="1:9" x14ac:dyDescent="0.25">
      <c r="A148" s="38">
        <f>Données!A148</f>
        <v>5649</v>
      </c>
      <c r="B148" s="27" t="str">
        <f>Données!B148</f>
        <v>Tolochenaz</v>
      </c>
      <c r="C148" s="31">
        <f>Données!Z148</f>
        <v>1889</v>
      </c>
      <c r="D148" s="244">
        <f>Ecrêtage!E148</f>
        <v>104.60542904283193</v>
      </c>
      <c r="E148" s="244">
        <f t="shared" si="10"/>
        <v>0</v>
      </c>
      <c r="F148" s="244">
        <f>+Données!X148</f>
        <v>65</v>
      </c>
      <c r="G148" s="392">
        <f t="shared" si="11"/>
        <v>0</v>
      </c>
      <c r="H148" s="164">
        <f t="shared" si="8"/>
        <v>0.96197529199872078</v>
      </c>
      <c r="I148" s="42">
        <f t="shared" si="9"/>
        <v>0</v>
      </c>
    </row>
    <row r="149" spans="1:9" x14ac:dyDescent="0.25">
      <c r="A149" s="38">
        <f>Données!A149</f>
        <v>5650</v>
      </c>
      <c r="B149" s="27" t="str">
        <f>Données!B149</f>
        <v>Vaux-sur-Morges</v>
      </c>
      <c r="C149" s="31">
        <f>Données!Z149</f>
        <v>194</v>
      </c>
      <c r="D149" s="244">
        <f>Ecrêtage!E149</f>
        <v>324.74380944188653</v>
      </c>
      <c r="E149" s="244">
        <f t="shared" si="10"/>
        <v>0</v>
      </c>
      <c r="F149" s="244">
        <f>+Données!X149</f>
        <v>56</v>
      </c>
      <c r="G149" s="392">
        <f t="shared" si="11"/>
        <v>0</v>
      </c>
      <c r="H149" s="164">
        <f t="shared" si="8"/>
        <v>0.82877871310659013</v>
      </c>
      <c r="I149" s="42">
        <f t="shared" si="9"/>
        <v>0</v>
      </c>
    </row>
    <row r="150" spans="1:9" x14ac:dyDescent="0.25">
      <c r="A150" s="38">
        <f>Données!A150</f>
        <v>5651</v>
      </c>
      <c r="B150" s="27" t="str">
        <f>Données!B150</f>
        <v>Villars-Sainte-Croix</v>
      </c>
      <c r="C150" s="31">
        <f>Données!Z150</f>
        <v>958</v>
      </c>
      <c r="D150" s="244">
        <f>Ecrêtage!E150</f>
        <v>58.047934491354887</v>
      </c>
      <c r="E150" s="244">
        <f t="shared" si="10"/>
        <v>0</v>
      </c>
      <c r="F150" s="244">
        <f>+Données!X150</f>
        <v>60.5</v>
      </c>
      <c r="G150" s="392">
        <f t="shared" si="11"/>
        <v>0</v>
      </c>
      <c r="H150" s="164">
        <f t="shared" si="8"/>
        <v>0.8953770025526554</v>
      </c>
      <c r="I150" s="42">
        <f t="shared" si="9"/>
        <v>0</v>
      </c>
    </row>
    <row r="151" spans="1:9" x14ac:dyDescent="0.25">
      <c r="A151" s="38">
        <f>Données!A151</f>
        <v>5652</v>
      </c>
      <c r="B151" s="27" t="str">
        <f>Données!B151</f>
        <v>Villars-sous-Yens</v>
      </c>
      <c r="C151" s="31">
        <f>Données!Z151</f>
        <v>615</v>
      </c>
      <c r="D151" s="244">
        <f>Ecrêtage!E151</f>
        <v>41.715684159145702</v>
      </c>
      <c r="E151" s="244">
        <f t="shared" si="10"/>
        <v>4.4559605527787269</v>
      </c>
      <c r="F151" s="244">
        <f>+Données!X151</f>
        <v>76</v>
      </c>
      <c r="G151" s="392">
        <f t="shared" si="11"/>
        <v>-56233.330983956985</v>
      </c>
      <c r="H151" s="164">
        <f t="shared" si="8"/>
        <v>1.1247711106446581</v>
      </c>
      <c r="I151" s="42">
        <f t="shared" si="9"/>
        <v>-63249.626146073962</v>
      </c>
    </row>
    <row r="152" spans="1:9" x14ac:dyDescent="0.25">
      <c r="A152" s="38">
        <f>Données!A152</f>
        <v>5653</v>
      </c>
      <c r="B152" s="27" t="str">
        <f>Données!B152</f>
        <v>Vufflens-le-Château</v>
      </c>
      <c r="C152" s="31">
        <f>Données!Z152</f>
        <v>870</v>
      </c>
      <c r="D152" s="244">
        <f>Ecrêtage!E152</f>
        <v>79.042458875088428</v>
      </c>
      <c r="E152" s="244">
        <f t="shared" si="10"/>
        <v>0</v>
      </c>
      <c r="F152" s="244">
        <f>+Données!X152</f>
        <v>58.5</v>
      </c>
      <c r="G152" s="392">
        <f t="shared" si="11"/>
        <v>0</v>
      </c>
      <c r="H152" s="164">
        <f t="shared" si="8"/>
        <v>0.86577776279884866</v>
      </c>
      <c r="I152" s="42">
        <f t="shared" si="9"/>
        <v>0</v>
      </c>
    </row>
    <row r="153" spans="1:9" x14ac:dyDescent="0.25">
      <c r="A153" s="38">
        <f>Données!A153</f>
        <v>5654</v>
      </c>
      <c r="B153" s="27" t="str">
        <f>Données!B153</f>
        <v>Vullierens</v>
      </c>
      <c r="C153" s="31">
        <f>Données!Z153</f>
        <v>542</v>
      </c>
      <c r="D153" s="244">
        <f>Ecrêtage!E153</f>
        <v>35.544845007387622</v>
      </c>
      <c r="E153" s="244">
        <f t="shared" si="10"/>
        <v>10.626799704536808</v>
      </c>
      <c r="F153" s="244">
        <f>+Données!X153</f>
        <v>76</v>
      </c>
      <c r="G153" s="392">
        <f t="shared" si="11"/>
        <v>-118189.56602590565</v>
      </c>
      <c r="H153" s="164">
        <f t="shared" si="8"/>
        <v>1.1247711106446581</v>
      </c>
      <c r="I153" s="42">
        <f t="shared" si="9"/>
        <v>-132936.20944556803</v>
      </c>
    </row>
    <row r="154" spans="1:9" x14ac:dyDescent="0.25">
      <c r="A154" s="38">
        <f>Données!A154</f>
        <v>5655</v>
      </c>
      <c r="B154" s="27" t="str">
        <f>Données!B154</f>
        <v>Yens</v>
      </c>
      <c r="C154" s="31">
        <f>Données!Z154</f>
        <v>1480</v>
      </c>
      <c r="D154" s="244">
        <f>Ecrêtage!E154</f>
        <v>61.385413528776525</v>
      </c>
      <c r="E154" s="244">
        <f t="shared" si="10"/>
        <v>0</v>
      </c>
      <c r="F154" s="244">
        <f>+Données!X154</f>
        <v>71.5</v>
      </c>
      <c r="G154" s="392">
        <f t="shared" si="11"/>
        <v>0</v>
      </c>
      <c r="H154" s="164">
        <f t="shared" si="8"/>
        <v>1.0581728211985928</v>
      </c>
      <c r="I154" s="42">
        <f t="shared" si="9"/>
        <v>0</v>
      </c>
    </row>
    <row r="155" spans="1:9" x14ac:dyDescent="0.25">
      <c r="A155" s="38">
        <f>Données!A155</f>
        <v>5656</v>
      </c>
      <c r="B155" s="27" t="str">
        <f>Données!B155</f>
        <v>Hautemorges</v>
      </c>
      <c r="C155" s="31">
        <f>Données!Z155</f>
        <v>4101</v>
      </c>
      <c r="D155" s="244">
        <f>Ecrêtage!E155</f>
        <v>39.257512920233367</v>
      </c>
      <c r="E155" s="244">
        <f t="shared" si="10"/>
        <v>6.9141317916910623</v>
      </c>
      <c r="F155" s="244">
        <f>+Données!X155</f>
        <v>74.06</v>
      </c>
      <c r="G155" s="392">
        <f t="shared" si="11"/>
        <v>-566989.3411074857</v>
      </c>
      <c r="H155" s="164">
        <f t="shared" si="8"/>
        <v>1.0960598480834656</v>
      </c>
      <c r="I155" s="42">
        <f t="shared" si="9"/>
        <v>-621454.25107921497</v>
      </c>
    </row>
    <row r="156" spans="1:9" x14ac:dyDescent="0.25">
      <c r="A156" s="38">
        <f>Données!A156</f>
        <v>5661</v>
      </c>
      <c r="B156" s="27" t="str">
        <f>Données!B156</f>
        <v>Boulens</v>
      </c>
      <c r="C156" s="31">
        <f>Données!Z156</f>
        <v>369</v>
      </c>
      <c r="D156" s="244">
        <f>Ecrêtage!E156</f>
        <v>27.544243064564338</v>
      </c>
      <c r="E156" s="244">
        <f t="shared" si="10"/>
        <v>18.627401647360092</v>
      </c>
      <c r="F156" s="244">
        <f>+Données!X156</f>
        <v>71.5</v>
      </c>
      <c r="G156" s="392">
        <f t="shared" si="11"/>
        <v>-132693.13386804375</v>
      </c>
      <c r="H156" s="164">
        <f t="shared" si="8"/>
        <v>1.0581728211985928</v>
      </c>
      <c r="I156" s="42">
        <f t="shared" si="9"/>
        <v>-140412.26781883038</v>
      </c>
    </row>
    <row r="157" spans="1:9" x14ac:dyDescent="0.25">
      <c r="A157" s="38">
        <f>Données!A157</f>
        <v>5663</v>
      </c>
      <c r="B157" s="27" t="str">
        <f>Données!B157</f>
        <v>Bussy-sur-Moudon</v>
      </c>
      <c r="C157" s="31">
        <f>Données!Z157</f>
        <v>219</v>
      </c>
      <c r="D157" s="244">
        <f>Ecrêtage!E157</f>
        <v>24.688474361813253</v>
      </c>
      <c r="E157" s="244">
        <f t="shared" si="10"/>
        <v>21.483170350111177</v>
      </c>
      <c r="F157" s="244">
        <f>+Données!X157</f>
        <v>80</v>
      </c>
      <c r="G157" s="392">
        <f t="shared" si="11"/>
        <v>-101623.98902416592</v>
      </c>
      <c r="H157" s="164">
        <f t="shared" si="8"/>
        <v>1.1839695901522718</v>
      </c>
      <c r="I157" s="42">
        <f t="shared" si="9"/>
        <v>-120319.71263458069</v>
      </c>
    </row>
    <row r="158" spans="1:9" x14ac:dyDescent="0.25">
      <c r="A158" s="38">
        <f>Données!A158</f>
        <v>5665</v>
      </c>
      <c r="B158" s="27" t="str">
        <f>Données!B158</f>
        <v>Chavannes-sur-Moudon</v>
      </c>
      <c r="C158" s="31">
        <f>Données!Z158</f>
        <v>223</v>
      </c>
      <c r="D158" s="244">
        <f>Ecrêtage!E158</f>
        <v>30.64916628205259</v>
      </c>
      <c r="E158" s="244">
        <f t="shared" si="10"/>
        <v>15.522478429871839</v>
      </c>
      <c r="F158" s="244">
        <f>+Données!X158</f>
        <v>73</v>
      </c>
      <c r="G158" s="392">
        <f t="shared" si="11"/>
        <v>-68226.415117168595</v>
      </c>
      <c r="H158" s="164">
        <f t="shared" si="8"/>
        <v>1.080372251013948</v>
      </c>
      <c r="I158" s="42">
        <f t="shared" si="9"/>
        <v>-73709.925678747488</v>
      </c>
    </row>
    <row r="159" spans="1:9" x14ac:dyDescent="0.25">
      <c r="A159" s="38">
        <f>Données!A159</f>
        <v>5669</v>
      </c>
      <c r="B159" s="27" t="str">
        <f>Données!B159</f>
        <v>Curtilles</v>
      </c>
      <c r="C159" s="31">
        <f>Données!Z159</f>
        <v>301</v>
      </c>
      <c r="D159" s="244">
        <f>Ecrêtage!E159</f>
        <v>34.169414381270627</v>
      </c>
      <c r="E159" s="244">
        <f t="shared" si="10"/>
        <v>12.002230330653802</v>
      </c>
      <c r="F159" s="244">
        <f>+Données!X159</f>
        <v>73</v>
      </c>
      <c r="G159" s="392">
        <f t="shared" si="11"/>
        <v>-71205.75190497312</v>
      </c>
      <c r="H159" s="164">
        <f t="shared" si="8"/>
        <v>1.080372251013948</v>
      </c>
      <c r="I159" s="42">
        <f t="shared" si="9"/>
        <v>-76928.718470716529</v>
      </c>
    </row>
    <row r="160" spans="1:9" x14ac:dyDescent="0.25">
      <c r="A160" s="38">
        <f>Données!A160</f>
        <v>5671</v>
      </c>
      <c r="B160" s="27" t="str">
        <f>Données!B160</f>
        <v>Dompierre</v>
      </c>
      <c r="C160" s="31">
        <f>Données!Z160</f>
        <v>245</v>
      </c>
      <c r="D160" s="244">
        <f>Ecrêtage!E160</f>
        <v>24.624866320681409</v>
      </c>
      <c r="E160" s="244">
        <f t="shared" si="10"/>
        <v>21.54677839124302</v>
      </c>
      <c r="F160" s="244">
        <f>+Données!X160</f>
        <v>78</v>
      </c>
      <c r="G160" s="392">
        <f t="shared" si="11"/>
        <v>-111174.91246529661</v>
      </c>
      <c r="H160" s="164">
        <f t="shared" si="8"/>
        <v>1.1543703503984648</v>
      </c>
      <c r="I160" s="42">
        <f t="shared" si="9"/>
        <v>-128337.02265808311</v>
      </c>
    </row>
    <row r="161" spans="1:9" x14ac:dyDescent="0.25">
      <c r="A161" s="38">
        <f>Données!A161</f>
        <v>5673</v>
      </c>
      <c r="B161" s="27" t="str">
        <f>Données!B161</f>
        <v>Hermenches</v>
      </c>
      <c r="C161" s="31">
        <f>Données!Z161</f>
        <v>384</v>
      </c>
      <c r="D161" s="244">
        <f>Ecrêtage!E161</f>
        <v>27.703137377744039</v>
      </c>
      <c r="E161" s="244">
        <f t="shared" si="10"/>
        <v>18.468507334180391</v>
      </c>
      <c r="F161" s="244">
        <f>+Données!X161</f>
        <v>73.5</v>
      </c>
      <c r="G161" s="392">
        <f t="shared" si="11"/>
        <v>-140738.890769975</v>
      </c>
      <c r="H161" s="164">
        <f t="shared" si="8"/>
        <v>1.0877720609523995</v>
      </c>
      <c r="I161" s="42">
        <f t="shared" si="9"/>
        <v>-153091.83326901036</v>
      </c>
    </row>
    <row r="162" spans="1:9" x14ac:dyDescent="0.25">
      <c r="A162" s="38">
        <f>Données!A162</f>
        <v>5674</v>
      </c>
      <c r="B162" s="27" t="str">
        <f>Données!B162</f>
        <v>Lovatens</v>
      </c>
      <c r="C162" s="31">
        <f>Données!Z162</f>
        <v>142</v>
      </c>
      <c r="D162" s="244">
        <f>Ecrêtage!E162</f>
        <v>24.159627844990709</v>
      </c>
      <c r="E162" s="244">
        <f t="shared" si="10"/>
        <v>22.01201686693372</v>
      </c>
      <c r="F162" s="244">
        <f>+Données!X162</f>
        <v>75</v>
      </c>
      <c r="G162" s="392">
        <f t="shared" si="11"/>
        <v>-63295.554500867918</v>
      </c>
      <c r="H162" s="164">
        <f t="shared" si="8"/>
        <v>1.1099714907677547</v>
      </c>
      <c r="I162" s="42">
        <f t="shared" si="9"/>
        <v>-70256.260988300026</v>
      </c>
    </row>
    <row r="163" spans="1:9" x14ac:dyDescent="0.25">
      <c r="A163" s="38">
        <f>Données!A163</f>
        <v>5675</v>
      </c>
      <c r="B163" s="27" t="str">
        <f>Données!B163</f>
        <v>Lucens</v>
      </c>
      <c r="C163" s="31">
        <f>Données!Z163</f>
        <v>4309</v>
      </c>
      <c r="D163" s="244">
        <f>Ecrêtage!E163</f>
        <v>22.499898579634575</v>
      </c>
      <c r="E163" s="244">
        <f t="shared" si="10"/>
        <v>23.671746132289854</v>
      </c>
      <c r="F163" s="244">
        <f>+Données!X163</f>
        <v>67.5</v>
      </c>
      <c r="G163" s="392">
        <f t="shared" si="11"/>
        <v>-1858978.3231815742</v>
      </c>
      <c r="H163" s="164">
        <f t="shared" si="8"/>
        <v>0.99897434169097921</v>
      </c>
      <c r="I163" s="42">
        <f t="shared" si="9"/>
        <v>-1857071.6466181136</v>
      </c>
    </row>
    <row r="164" spans="1:9" x14ac:dyDescent="0.25">
      <c r="A164" s="38">
        <f>Données!A164</f>
        <v>5678</v>
      </c>
      <c r="B164" s="27" t="str">
        <f>Données!B164</f>
        <v>Moudon</v>
      </c>
      <c r="C164" s="31">
        <f>Données!Z164</f>
        <v>6109</v>
      </c>
      <c r="D164" s="244">
        <f>Ecrêtage!E164</f>
        <v>20.438976847432418</v>
      </c>
      <c r="E164" s="244">
        <f t="shared" si="10"/>
        <v>25.732667864492011</v>
      </c>
      <c r="F164" s="244">
        <f>+Données!X164</f>
        <v>72.5</v>
      </c>
      <c r="G164" s="392">
        <f t="shared" si="11"/>
        <v>-3077206.9907903569</v>
      </c>
      <c r="H164" s="164">
        <f t="shared" si="8"/>
        <v>1.0729724410754962</v>
      </c>
      <c r="I164" s="42">
        <f t="shared" si="9"/>
        <v>-3301758.2966029109</v>
      </c>
    </row>
    <row r="165" spans="1:9" x14ac:dyDescent="0.25">
      <c r="A165" s="38">
        <f>Données!A165</f>
        <v>5680</v>
      </c>
      <c r="B165" s="27" t="str">
        <f>Données!B165</f>
        <v>Ogens</v>
      </c>
      <c r="C165" s="31">
        <f>Données!Z165</f>
        <v>301</v>
      </c>
      <c r="D165" s="244">
        <f>Ecrêtage!E165</f>
        <v>28.817823071604934</v>
      </c>
      <c r="E165" s="244">
        <f t="shared" si="10"/>
        <v>17.353821640319495</v>
      </c>
      <c r="F165" s="244">
        <f>+Données!X165</f>
        <v>78</v>
      </c>
      <c r="G165" s="392">
        <f t="shared" si="11"/>
        <v>-110006.91660728371</v>
      </c>
      <c r="H165" s="164">
        <f t="shared" si="8"/>
        <v>1.1543703503984648</v>
      </c>
      <c r="I165" s="42">
        <f t="shared" si="9"/>
        <v>-126988.7228702048</v>
      </c>
    </row>
    <row r="166" spans="1:9" x14ac:dyDescent="0.25">
      <c r="A166" s="38">
        <f>Données!A166</f>
        <v>5683</v>
      </c>
      <c r="B166" s="27" t="str">
        <f>Données!B166</f>
        <v>Prévonloup</v>
      </c>
      <c r="C166" s="31">
        <f>Données!Z166</f>
        <v>202</v>
      </c>
      <c r="D166" s="244">
        <f>Ecrêtage!E166</f>
        <v>24.805211334926597</v>
      </c>
      <c r="E166" s="244">
        <f t="shared" si="10"/>
        <v>21.366433376997833</v>
      </c>
      <c r="F166" s="244">
        <f>+Données!X166</f>
        <v>72.5</v>
      </c>
      <c r="G166" s="392">
        <f t="shared" si="11"/>
        <v>-84486.082537655981</v>
      </c>
      <c r="H166" s="164">
        <f t="shared" si="8"/>
        <v>1.0729724410754962</v>
      </c>
      <c r="I166" s="42">
        <f t="shared" si="9"/>
        <v>-90651.238217334583</v>
      </c>
    </row>
    <row r="167" spans="1:9" x14ac:dyDescent="0.25">
      <c r="A167" s="38">
        <f>Données!A167</f>
        <v>5684</v>
      </c>
      <c r="B167" s="27" t="str">
        <f>Données!B167</f>
        <v>Rossenges</v>
      </c>
      <c r="C167" s="31">
        <f>Données!Z167</f>
        <v>84</v>
      </c>
      <c r="D167" s="244">
        <f>Ecrêtage!E167</f>
        <v>51.611550000000015</v>
      </c>
      <c r="E167" s="244">
        <f t="shared" si="10"/>
        <v>0</v>
      </c>
      <c r="F167" s="244">
        <f>+Données!X167</f>
        <v>75</v>
      </c>
      <c r="G167" s="392">
        <f t="shared" si="11"/>
        <v>0</v>
      </c>
      <c r="H167" s="164">
        <f t="shared" si="8"/>
        <v>1.1099714907677547</v>
      </c>
      <c r="I167" s="42">
        <f t="shared" si="9"/>
        <v>0</v>
      </c>
    </row>
    <row r="168" spans="1:9" x14ac:dyDescent="0.25">
      <c r="A168" s="38">
        <f>Données!A168</f>
        <v>5688</v>
      </c>
      <c r="B168" s="27" t="str">
        <f>Données!B168</f>
        <v>Syens</v>
      </c>
      <c r="C168" s="31">
        <f>Données!Z168</f>
        <v>156</v>
      </c>
      <c r="D168" s="244">
        <f>Ecrêtage!E168</f>
        <v>32.634278636725981</v>
      </c>
      <c r="E168" s="244">
        <f t="shared" si="10"/>
        <v>13.537366075198449</v>
      </c>
      <c r="F168" s="244">
        <f>+Données!X168</f>
        <v>75.599999999999994</v>
      </c>
      <c r="G168" s="392">
        <f t="shared" si="11"/>
        <v>-43106.655747004319</v>
      </c>
      <c r="H168" s="164">
        <f t="shared" si="8"/>
        <v>1.1188512626938967</v>
      </c>
      <c r="I168" s="42">
        <f t="shared" si="9"/>
        <v>-48229.936213046902</v>
      </c>
    </row>
    <row r="169" spans="1:9" x14ac:dyDescent="0.25">
      <c r="A169" s="38">
        <f>Données!A169</f>
        <v>5690</v>
      </c>
      <c r="B169" s="27" t="str">
        <f>Données!B169</f>
        <v>Villars-le-Comte</v>
      </c>
      <c r="C169" s="31">
        <f>Données!Z169</f>
        <v>120</v>
      </c>
      <c r="D169" s="244">
        <f>Ecrêtage!E169</f>
        <v>29.030462817876682</v>
      </c>
      <c r="E169" s="244">
        <f t="shared" si="10"/>
        <v>17.141181894047747</v>
      </c>
      <c r="F169" s="244">
        <f>+Données!X169</f>
        <v>70</v>
      </c>
      <c r="G169" s="392">
        <f t="shared" si="11"/>
        <v>-38876.200535700293</v>
      </c>
      <c r="H169" s="164">
        <f t="shared" si="8"/>
        <v>1.0359733913832376</v>
      </c>
      <c r="I169" s="42">
        <f t="shared" si="9"/>
        <v>-40274.709313064275</v>
      </c>
    </row>
    <row r="170" spans="1:9" x14ac:dyDescent="0.25">
      <c r="A170" s="38">
        <f>Données!A170</f>
        <v>5692</v>
      </c>
      <c r="B170" s="27" t="str">
        <f>Données!B170</f>
        <v>Vucherens</v>
      </c>
      <c r="C170" s="31">
        <f>Données!Z170</f>
        <v>617</v>
      </c>
      <c r="D170" s="244">
        <f>Ecrêtage!E170</f>
        <v>29.304319938878454</v>
      </c>
      <c r="E170" s="244">
        <f t="shared" si="10"/>
        <v>16.867324773045976</v>
      </c>
      <c r="F170" s="244">
        <f>+Données!X170</f>
        <v>77</v>
      </c>
      <c r="G170" s="392">
        <f t="shared" si="11"/>
        <v>-216364.42781351318</v>
      </c>
      <c r="H170" s="164">
        <f t="shared" si="8"/>
        <v>1.1395707305215614</v>
      </c>
      <c r="I170" s="42">
        <f t="shared" si="9"/>
        <v>-246562.56906232485</v>
      </c>
    </row>
    <row r="171" spans="1:9" x14ac:dyDescent="0.25">
      <c r="A171" s="38">
        <f>Données!A171</f>
        <v>5693</v>
      </c>
      <c r="B171" s="27" t="str">
        <f>Données!B171</f>
        <v>Montanaire</v>
      </c>
      <c r="C171" s="31">
        <f>Données!Z171</f>
        <v>2782</v>
      </c>
      <c r="D171" s="244">
        <f>Ecrêtage!E171</f>
        <v>25.560486810825754</v>
      </c>
      <c r="E171" s="244">
        <f t="shared" si="10"/>
        <v>20.611157901098675</v>
      </c>
      <c r="F171" s="244">
        <f>+Données!X171</f>
        <v>72</v>
      </c>
      <c r="G171" s="392">
        <f t="shared" si="11"/>
        <v>-1114694.2904998506</v>
      </c>
      <c r="H171" s="164">
        <f t="shared" si="8"/>
        <v>1.0655726311370446</v>
      </c>
      <c r="I171" s="42">
        <f t="shared" si="9"/>
        <v>-1187787.7280413669</v>
      </c>
    </row>
    <row r="172" spans="1:9" x14ac:dyDescent="0.25">
      <c r="A172" s="38">
        <f>Données!A172</f>
        <v>5701</v>
      </c>
      <c r="B172" s="27" t="str">
        <f>Données!B172</f>
        <v>Arnex-sur-Nyon</v>
      </c>
      <c r="C172" s="31">
        <f>Données!Z172</f>
        <v>240</v>
      </c>
      <c r="D172" s="244">
        <f>Ecrêtage!E172</f>
        <v>52.407051201086105</v>
      </c>
      <c r="E172" s="244">
        <f t="shared" si="10"/>
        <v>0</v>
      </c>
      <c r="F172" s="244">
        <f>+Données!X172</f>
        <v>70</v>
      </c>
      <c r="G172" s="392">
        <f t="shared" si="11"/>
        <v>0</v>
      </c>
      <c r="H172" s="164">
        <f t="shared" si="8"/>
        <v>1.0359733913832376</v>
      </c>
      <c r="I172" s="42">
        <f t="shared" si="9"/>
        <v>0</v>
      </c>
    </row>
    <row r="173" spans="1:9" x14ac:dyDescent="0.25">
      <c r="A173" s="38">
        <f>Données!A173</f>
        <v>5702</v>
      </c>
      <c r="B173" s="27" t="str">
        <f>Données!B173</f>
        <v>Arzier-Le Muids</v>
      </c>
      <c r="C173" s="31">
        <f>Données!Z173</f>
        <v>2912</v>
      </c>
      <c r="D173" s="244">
        <f>Ecrêtage!E173</f>
        <v>57.595577873072465</v>
      </c>
      <c r="E173" s="244">
        <f t="shared" si="10"/>
        <v>0</v>
      </c>
      <c r="F173" s="244">
        <f>+Données!X173</f>
        <v>64</v>
      </c>
      <c r="G173" s="392">
        <f t="shared" si="11"/>
        <v>0</v>
      </c>
      <c r="H173" s="164">
        <f t="shared" si="8"/>
        <v>0.9471756721218173</v>
      </c>
      <c r="I173" s="42">
        <f t="shared" si="9"/>
        <v>0</v>
      </c>
    </row>
    <row r="174" spans="1:9" x14ac:dyDescent="0.25">
      <c r="A174" s="38">
        <f>Données!A174</f>
        <v>5703</v>
      </c>
      <c r="B174" s="27" t="str">
        <f>Données!B174</f>
        <v>Bassins</v>
      </c>
      <c r="C174" s="31">
        <f>Données!Z174</f>
        <v>1475</v>
      </c>
      <c r="D174" s="244">
        <f>Ecrêtage!E174</f>
        <v>45.347106243942228</v>
      </c>
      <c r="E174" s="244">
        <f t="shared" si="10"/>
        <v>0.82453846798220098</v>
      </c>
      <c r="F174" s="244">
        <f>+Données!X174</f>
        <v>72.5</v>
      </c>
      <c r="G174" s="392">
        <f t="shared" si="11"/>
        <v>-23807.002253358587</v>
      </c>
      <c r="H174" s="164">
        <f t="shared" si="8"/>
        <v>1.0729724410754962</v>
      </c>
      <c r="I174" s="42">
        <f t="shared" si="9"/>
        <v>-25544.257322476002</v>
      </c>
    </row>
    <row r="175" spans="1:9" x14ac:dyDescent="0.25">
      <c r="A175" s="38">
        <f>Données!A175</f>
        <v>5704</v>
      </c>
      <c r="B175" s="27" t="str">
        <f>Données!B175</f>
        <v>Begnins</v>
      </c>
      <c r="C175" s="31">
        <f>Données!Z175</f>
        <v>1928</v>
      </c>
      <c r="D175" s="244">
        <f>Ecrêtage!E175</f>
        <v>73.40769007379231</v>
      </c>
      <c r="E175" s="244">
        <f t="shared" si="10"/>
        <v>0</v>
      </c>
      <c r="F175" s="244">
        <f>+Données!X175</f>
        <v>62.5</v>
      </c>
      <c r="G175" s="392">
        <f t="shared" si="11"/>
        <v>0</v>
      </c>
      <c r="H175" s="164">
        <f t="shared" si="8"/>
        <v>0.92497624230646225</v>
      </c>
      <c r="I175" s="42">
        <f t="shared" si="9"/>
        <v>0</v>
      </c>
    </row>
    <row r="176" spans="1:9" x14ac:dyDescent="0.25">
      <c r="A176" s="38">
        <f>Données!A176</f>
        <v>5705</v>
      </c>
      <c r="B176" s="27" t="str">
        <f>Données!B176</f>
        <v>Bogis-Bossey</v>
      </c>
      <c r="C176" s="31">
        <f>Données!Z176</f>
        <v>835</v>
      </c>
      <c r="D176" s="244">
        <f>Ecrêtage!E176</f>
        <v>67.237573074676817</v>
      </c>
      <c r="E176" s="244">
        <f t="shared" si="10"/>
        <v>0</v>
      </c>
      <c r="F176" s="244">
        <f>+Données!X176</f>
        <v>74.5</v>
      </c>
      <c r="G176" s="392">
        <f t="shared" si="11"/>
        <v>0</v>
      </c>
      <c r="H176" s="164">
        <f t="shared" si="8"/>
        <v>1.1025716808293029</v>
      </c>
      <c r="I176" s="42">
        <f t="shared" si="9"/>
        <v>0</v>
      </c>
    </row>
    <row r="177" spans="1:9" x14ac:dyDescent="0.25">
      <c r="A177" s="38">
        <f>Données!A177</f>
        <v>5706</v>
      </c>
      <c r="B177" s="27" t="str">
        <f>Données!B177</f>
        <v>Borex</v>
      </c>
      <c r="C177" s="31">
        <f>Données!Z177</f>
        <v>1157</v>
      </c>
      <c r="D177" s="244">
        <f>Ecrêtage!E177</f>
        <v>72.654739419854721</v>
      </c>
      <c r="E177" s="244">
        <f t="shared" si="10"/>
        <v>0</v>
      </c>
      <c r="F177" s="244">
        <f>+Données!X177</f>
        <v>57</v>
      </c>
      <c r="G177" s="392">
        <f t="shared" si="11"/>
        <v>0</v>
      </c>
      <c r="H177" s="164">
        <f t="shared" si="8"/>
        <v>0.84357833298349361</v>
      </c>
      <c r="I177" s="42">
        <f t="shared" si="9"/>
        <v>0</v>
      </c>
    </row>
    <row r="178" spans="1:9" x14ac:dyDescent="0.25">
      <c r="A178" s="38">
        <f>Données!A178</f>
        <v>5707</v>
      </c>
      <c r="B178" s="27" t="str">
        <f>Données!B178</f>
        <v>Chavannes-de-Bogis</v>
      </c>
      <c r="C178" s="31">
        <f>Données!Z178</f>
        <v>1329</v>
      </c>
      <c r="D178" s="244">
        <f>Ecrêtage!E178</f>
        <v>61.505380441807148</v>
      </c>
      <c r="E178" s="244">
        <f t="shared" si="10"/>
        <v>0</v>
      </c>
      <c r="F178" s="244">
        <f>+Données!X178</f>
        <v>58</v>
      </c>
      <c r="G178" s="392">
        <f t="shared" si="11"/>
        <v>0</v>
      </c>
      <c r="H178" s="164">
        <f t="shared" si="8"/>
        <v>0.85837795286039698</v>
      </c>
      <c r="I178" s="42">
        <f t="shared" si="9"/>
        <v>0</v>
      </c>
    </row>
    <row r="179" spans="1:9" x14ac:dyDescent="0.25">
      <c r="A179" s="38">
        <f>Données!A179</f>
        <v>5708</v>
      </c>
      <c r="B179" s="27" t="str">
        <f>Données!B179</f>
        <v>Chavannes-des-Bois</v>
      </c>
      <c r="C179" s="31">
        <f>Données!Z179</f>
        <v>1013</v>
      </c>
      <c r="D179" s="244">
        <f>Ecrêtage!E179</f>
        <v>66.383209772652862</v>
      </c>
      <c r="E179" s="244">
        <f t="shared" si="10"/>
        <v>0</v>
      </c>
      <c r="F179" s="244">
        <f>+Données!X179</f>
        <v>68</v>
      </c>
      <c r="G179" s="392">
        <f t="shared" si="11"/>
        <v>0</v>
      </c>
      <c r="H179" s="164">
        <f t="shared" si="8"/>
        <v>1.0063741516294309</v>
      </c>
      <c r="I179" s="42">
        <f t="shared" si="9"/>
        <v>0</v>
      </c>
    </row>
    <row r="180" spans="1:9" x14ac:dyDescent="0.25">
      <c r="A180" s="38">
        <f>Données!A180</f>
        <v>5709</v>
      </c>
      <c r="B180" s="27" t="str">
        <f>Données!B180</f>
        <v>Chéserex</v>
      </c>
      <c r="C180" s="31">
        <f>Données!Z180</f>
        <v>1248</v>
      </c>
      <c r="D180" s="244">
        <f>Ecrêtage!E180</f>
        <v>78.015659538246936</v>
      </c>
      <c r="E180" s="244">
        <f t="shared" si="10"/>
        <v>0</v>
      </c>
      <c r="F180" s="244">
        <f>+Données!X180</f>
        <v>57</v>
      </c>
      <c r="G180" s="392">
        <f t="shared" si="11"/>
        <v>0</v>
      </c>
      <c r="H180" s="164">
        <f t="shared" si="8"/>
        <v>0.84357833298349361</v>
      </c>
      <c r="I180" s="42">
        <f t="shared" si="9"/>
        <v>0</v>
      </c>
    </row>
    <row r="181" spans="1:9" x14ac:dyDescent="0.25">
      <c r="A181" s="38">
        <f>Données!A181</f>
        <v>5710</v>
      </c>
      <c r="B181" s="27" t="str">
        <f>Données!B181</f>
        <v>Coinsins</v>
      </c>
      <c r="C181" s="31">
        <f>Données!Z181</f>
        <v>509</v>
      </c>
      <c r="D181" s="244">
        <f>Ecrêtage!E181</f>
        <v>80.726576619001762</v>
      </c>
      <c r="E181" s="244">
        <f t="shared" si="10"/>
        <v>0</v>
      </c>
      <c r="F181" s="244">
        <f>+Données!X181</f>
        <v>51</v>
      </c>
      <c r="G181" s="392">
        <f t="shared" si="11"/>
        <v>0</v>
      </c>
      <c r="H181" s="164">
        <f t="shared" si="8"/>
        <v>0.75478061372207317</v>
      </c>
      <c r="I181" s="42">
        <f t="shared" si="9"/>
        <v>0</v>
      </c>
    </row>
    <row r="182" spans="1:9" x14ac:dyDescent="0.25">
      <c r="A182" s="38">
        <f>Données!A182</f>
        <v>5711</v>
      </c>
      <c r="B182" s="27" t="str">
        <f>Données!B182</f>
        <v>Commugny</v>
      </c>
      <c r="C182" s="31">
        <f>Données!Z182</f>
        <v>2997</v>
      </c>
      <c r="D182" s="244">
        <f>Ecrêtage!E182</f>
        <v>84.334762467989933</v>
      </c>
      <c r="E182" s="244">
        <f t="shared" si="10"/>
        <v>0</v>
      </c>
      <c r="F182" s="244">
        <f>+Données!X182</f>
        <v>55.5</v>
      </c>
      <c r="G182" s="392">
        <f t="shared" si="11"/>
        <v>0</v>
      </c>
      <c r="H182" s="164">
        <f t="shared" si="8"/>
        <v>0.82137890316813844</v>
      </c>
      <c r="I182" s="42">
        <f t="shared" si="9"/>
        <v>0</v>
      </c>
    </row>
    <row r="183" spans="1:9" x14ac:dyDescent="0.25">
      <c r="A183" s="38">
        <f>Données!A183</f>
        <v>5712</v>
      </c>
      <c r="B183" s="27" t="str">
        <f>Données!B183</f>
        <v>Coppet</v>
      </c>
      <c r="C183" s="31">
        <f>Données!Z183</f>
        <v>3247</v>
      </c>
      <c r="D183" s="244">
        <f>Ecrêtage!E183</f>
        <v>117.6276176036496</v>
      </c>
      <c r="E183" s="244">
        <f t="shared" si="10"/>
        <v>0</v>
      </c>
      <c r="F183" s="244">
        <f>+Données!X183</f>
        <v>53</v>
      </c>
      <c r="G183" s="392">
        <f t="shared" si="11"/>
        <v>0</v>
      </c>
      <c r="H183" s="164">
        <f t="shared" si="8"/>
        <v>0.78437985347588002</v>
      </c>
      <c r="I183" s="42">
        <f t="shared" si="9"/>
        <v>0</v>
      </c>
    </row>
    <row r="184" spans="1:9" x14ac:dyDescent="0.25">
      <c r="A184" s="38">
        <f>Données!A184</f>
        <v>5713</v>
      </c>
      <c r="B184" s="27" t="str">
        <f>Données!B184</f>
        <v>Crans-près-Céligny</v>
      </c>
      <c r="C184" s="31">
        <f>Données!Z184</f>
        <v>2340</v>
      </c>
      <c r="D184" s="244">
        <f>Ecrêtage!E184</f>
        <v>131.90414764919154</v>
      </c>
      <c r="E184" s="244">
        <f t="shared" si="10"/>
        <v>0</v>
      </c>
      <c r="F184" s="244">
        <f>+Données!X184</f>
        <v>56</v>
      </c>
      <c r="G184" s="392">
        <f t="shared" si="11"/>
        <v>0</v>
      </c>
      <c r="H184" s="164">
        <f t="shared" si="8"/>
        <v>0.82877871310659013</v>
      </c>
      <c r="I184" s="42">
        <f t="shared" si="9"/>
        <v>0</v>
      </c>
    </row>
    <row r="185" spans="1:9" x14ac:dyDescent="0.25">
      <c r="A185" s="38">
        <f>Données!A185</f>
        <v>5714</v>
      </c>
      <c r="B185" s="27" t="str">
        <f>Données!B185</f>
        <v>Crassier</v>
      </c>
      <c r="C185" s="31">
        <f>Données!Z185</f>
        <v>1174</v>
      </c>
      <c r="D185" s="244">
        <f>Ecrêtage!E185</f>
        <v>45.626597479707385</v>
      </c>
      <c r="E185" s="244">
        <f t="shared" si="10"/>
        <v>0.5450472322170441</v>
      </c>
      <c r="F185" s="244">
        <f>+Données!X185</f>
        <v>68</v>
      </c>
      <c r="G185" s="392">
        <f t="shared" si="11"/>
        <v>-11748.296873434789</v>
      </c>
      <c r="H185" s="164">
        <f t="shared" si="8"/>
        <v>1.0063741516294309</v>
      </c>
      <c r="I185" s="42">
        <f t="shared" si="9"/>
        <v>-11823.182299093631</v>
      </c>
    </row>
    <row r="186" spans="1:9" x14ac:dyDescent="0.25">
      <c r="A186" s="38">
        <f>Données!A186</f>
        <v>5715</v>
      </c>
      <c r="B186" s="27" t="str">
        <f>Données!B186</f>
        <v>Duillier</v>
      </c>
      <c r="C186" s="31">
        <f>Données!Z186</f>
        <v>1128</v>
      </c>
      <c r="D186" s="244">
        <f>Ecrêtage!E186</f>
        <v>54.576364057270467</v>
      </c>
      <c r="E186" s="244">
        <f t="shared" si="10"/>
        <v>0</v>
      </c>
      <c r="F186" s="244">
        <f>+Données!X186</f>
        <v>66</v>
      </c>
      <c r="G186" s="392">
        <f t="shared" si="11"/>
        <v>0</v>
      </c>
      <c r="H186" s="164">
        <f t="shared" si="8"/>
        <v>0.97677491187562415</v>
      </c>
      <c r="I186" s="42">
        <f t="shared" si="9"/>
        <v>0</v>
      </c>
    </row>
    <row r="187" spans="1:9" x14ac:dyDescent="0.25">
      <c r="A187" s="38">
        <f>Données!A187</f>
        <v>5716</v>
      </c>
      <c r="B187" s="27" t="str">
        <f>Données!B187</f>
        <v>Eysins</v>
      </c>
      <c r="C187" s="31">
        <f>Données!Z187</f>
        <v>1740</v>
      </c>
      <c r="D187" s="244">
        <f>Ecrêtage!E187</f>
        <v>176.75248010966459</v>
      </c>
      <c r="E187" s="244">
        <f t="shared" si="10"/>
        <v>0</v>
      </c>
      <c r="F187" s="244">
        <f>+Données!X187</f>
        <v>59.5</v>
      </c>
      <c r="G187" s="392">
        <f t="shared" si="11"/>
        <v>0</v>
      </c>
      <c r="H187" s="164">
        <f t="shared" si="8"/>
        <v>0.88057738267575203</v>
      </c>
      <c r="I187" s="42">
        <f t="shared" si="9"/>
        <v>0</v>
      </c>
    </row>
    <row r="188" spans="1:9" x14ac:dyDescent="0.25">
      <c r="A188" s="38">
        <f>Données!A188</f>
        <v>5717</v>
      </c>
      <c r="B188" s="27" t="str">
        <f>Données!B188</f>
        <v>Founex</v>
      </c>
      <c r="C188" s="31">
        <f>Données!Z188</f>
        <v>3834</v>
      </c>
      <c r="D188" s="244">
        <f>Ecrêtage!E188</f>
        <v>100.8764662230959</v>
      </c>
      <c r="E188" s="244">
        <f t="shared" si="10"/>
        <v>0</v>
      </c>
      <c r="F188" s="244">
        <f>+Données!X188</f>
        <v>57</v>
      </c>
      <c r="G188" s="392">
        <f t="shared" si="11"/>
        <v>0</v>
      </c>
      <c r="H188" s="164">
        <f t="shared" si="8"/>
        <v>0.84357833298349361</v>
      </c>
      <c r="I188" s="42">
        <f t="shared" si="9"/>
        <v>0</v>
      </c>
    </row>
    <row r="189" spans="1:9" x14ac:dyDescent="0.25">
      <c r="A189" s="38">
        <f>Données!A189</f>
        <v>5718</v>
      </c>
      <c r="B189" s="27" t="str">
        <f>Données!B189</f>
        <v>Genolier</v>
      </c>
      <c r="C189" s="31">
        <f>Données!Z189</f>
        <v>1996</v>
      </c>
      <c r="D189" s="244">
        <f>Ecrêtage!E189</f>
        <v>122.72307454530645</v>
      </c>
      <c r="E189" s="244">
        <f t="shared" si="10"/>
        <v>0</v>
      </c>
      <c r="F189" s="244">
        <f>+Données!X189</f>
        <v>55</v>
      </c>
      <c r="G189" s="392">
        <f t="shared" si="11"/>
        <v>0</v>
      </c>
      <c r="H189" s="164">
        <f t="shared" si="8"/>
        <v>0.81397909322968676</v>
      </c>
      <c r="I189" s="42">
        <f t="shared" si="9"/>
        <v>0</v>
      </c>
    </row>
    <row r="190" spans="1:9" x14ac:dyDescent="0.25">
      <c r="A190" s="38">
        <f>Données!A190</f>
        <v>5719</v>
      </c>
      <c r="B190" s="27" t="str">
        <f>Données!B190</f>
        <v>Gingins</v>
      </c>
      <c r="C190" s="31">
        <f>Données!Z190</f>
        <v>1257</v>
      </c>
      <c r="D190" s="244">
        <f>Ecrêtage!E190</f>
        <v>115.81623645588265</v>
      </c>
      <c r="E190" s="244">
        <f t="shared" si="10"/>
        <v>0</v>
      </c>
      <c r="F190" s="244">
        <f>+Données!X190</f>
        <v>57</v>
      </c>
      <c r="G190" s="392">
        <f t="shared" si="11"/>
        <v>0</v>
      </c>
      <c r="H190" s="164">
        <f t="shared" si="8"/>
        <v>0.84357833298349361</v>
      </c>
      <c r="I190" s="42">
        <f t="shared" si="9"/>
        <v>0</v>
      </c>
    </row>
    <row r="191" spans="1:9" x14ac:dyDescent="0.25">
      <c r="A191" s="38">
        <f>Données!A191</f>
        <v>5720</v>
      </c>
      <c r="B191" s="27" t="str">
        <f>Données!B191</f>
        <v>Givrins</v>
      </c>
      <c r="C191" s="31">
        <f>Données!Z191</f>
        <v>1031</v>
      </c>
      <c r="D191" s="244">
        <f>Ecrêtage!E191</f>
        <v>81.627043387602171</v>
      </c>
      <c r="E191" s="244">
        <f t="shared" si="10"/>
        <v>0</v>
      </c>
      <c r="F191" s="244">
        <f>+Données!X191</f>
        <v>67</v>
      </c>
      <c r="G191" s="392">
        <f t="shared" si="11"/>
        <v>0</v>
      </c>
      <c r="H191" s="164">
        <f t="shared" si="8"/>
        <v>0.99157453175252752</v>
      </c>
      <c r="I191" s="42">
        <f t="shared" si="9"/>
        <v>0</v>
      </c>
    </row>
    <row r="192" spans="1:9" x14ac:dyDescent="0.25">
      <c r="A192" s="38">
        <f>Données!A192</f>
        <v>5721</v>
      </c>
      <c r="B192" s="27" t="str">
        <f>Données!B192</f>
        <v>Gland</v>
      </c>
      <c r="C192" s="31">
        <f>Données!Z192</f>
        <v>13243</v>
      </c>
      <c r="D192" s="244">
        <f>Ecrêtage!E192</f>
        <v>49.063986586618682</v>
      </c>
      <c r="E192" s="244">
        <f t="shared" si="10"/>
        <v>0</v>
      </c>
      <c r="F192" s="244">
        <f>+Données!X192</f>
        <v>61</v>
      </c>
      <c r="G192" s="392">
        <f t="shared" si="11"/>
        <v>0</v>
      </c>
      <c r="H192" s="164">
        <f t="shared" si="8"/>
        <v>0.90277681249110719</v>
      </c>
      <c r="I192" s="42">
        <f t="shared" si="9"/>
        <v>0</v>
      </c>
    </row>
    <row r="193" spans="1:9" x14ac:dyDescent="0.25">
      <c r="A193" s="38">
        <f>Données!A193</f>
        <v>5722</v>
      </c>
      <c r="B193" s="27" t="str">
        <f>Données!B193</f>
        <v>Grens</v>
      </c>
      <c r="C193" s="31">
        <f>Données!Z193</f>
        <v>405</v>
      </c>
      <c r="D193" s="244">
        <f>Ecrêtage!E193</f>
        <v>63.01735302544963</v>
      </c>
      <c r="E193" s="244">
        <f t="shared" si="10"/>
        <v>0</v>
      </c>
      <c r="F193" s="244">
        <f>+Données!X193</f>
        <v>62</v>
      </c>
      <c r="G193" s="392">
        <f t="shared" si="11"/>
        <v>0</v>
      </c>
      <c r="H193" s="164">
        <f t="shared" si="8"/>
        <v>0.91757643236801056</v>
      </c>
      <c r="I193" s="42">
        <f t="shared" si="9"/>
        <v>0</v>
      </c>
    </row>
    <row r="194" spans="1:9" x14ac:dyDescent="0.25">
      <c r="A194" s="38">
        <f>Données!A194</f>
        <v>5723</v>
      </c>
      <c r="B194" s="27" t="str">
        <f>Données!B194</f>
        <v>Mies</v>
      </c>
      <c r="C194" s="31">
        <f>Données!Z194</f>
        <v>2172</v>
      </c>
      <c r="D194" s="244">
        <f>Ecrêtage!E194</f>
        <v>91.008768329455663</v>
      </c>
      <c r="E194" s="244">
        <f t="shared" si="10"/>
        <v>0</v>
      </c>
      <c r="F194" s="244">
        <f>+Données!X194</f>
        <v>52</v>
      </c>
      <c r="G194" s="392">
        <f t="shared" si="11"/>
        <v>0</v>
      </c>
      <c r="H194" s="164">
        <f t="shared" si="8"/>
        <v>0.76958023359897654</v>
      </c>
      <c r="I194" s="42">
        <f t="shared" si="9"/>
        <v>0</v>
      </c>
    </row>
    <row r="195" spans="1:9" x14ac:dyDescent="0.25">
      <c r="A195" s="38">
        <f>Données!A195</f>
        <v>5724</v>
      </c>
      <c r="B195" s="27" t="str">
        <f>Données!B195</f>
        <v>Nyon</v>
      </c>
      <c r="C195" s="31">
        <f>Données!Z195</f>
        <v>21743</v>
      </c>
      <c r="D195" s="244">
        <f>Ecrêtage!E195</f>
        <v>64.980158819284156</v>
      </c>
      <c r="E195" s="244">
        <f t="shared" si="10"/>
        <v>0</v>
      </c>
      <c r="F195" s="244">
        <f>+Données!X195</f>
        <v>61</v>
      </c>
      <c r="G195" s="392">
        <f t="shared" si="11"/>
        <v>0</v>
      </c>
      <c r="H195" s="164">
        <f t="shared" si="8"/>
        <v>0.90277681249110719</v>
      </c>
      <c r="I195" s="42">
        <f t="shared" si="9"/>
        <v>0</v>
      </c>
    </row>
    <row r="196" spans="1:9" x14ac:dyDescent="0.25">
      <c r="A196" s="38">
        <f>Données!A196</f>
        <v>5725</v>
      </c>
      <c r="B196" s="27" t="str">
        <f>Données!B196</f>
        <v>Prangins</v>
      </c>
      <c r="C196" s="31">
        <f>Données!Z196</f>
        <v>4101</v>
      </c>
      <c r="D196" s="244">
        <f>Ecrêtage!E196</f>
        <v>76.182982943962415</v>
      </c>
      <c r="E196" s="244">
        <f t="shared" si="10"/>
        <v>0</v>
      </c>
      <c r="F196" s="244">
        <f>+Données!X196</f>
        <v>55</v>
      </c>
      <c r="G196" s="392">
        <f t="shared" si="11"/>
        <v>0</v>
      </c>
      <c r="H196" s="164">
        <f t="shared" si="8"/>
        <v>0.81397909322968676</v>
      </c>
      <c r="I196" s="42">
        <f t="shared" si="9"/>
        <v>0</v>
      </c>
    </row>
    <row r="197" spans="1:9" x14ac:dyDescent="0.25">
      <c r="A197" s="38">
        <f>Données!A197</f>
        <v>5726</v>
      </c>
      <c r="B197" s="27" t="str">
        <f>Données!B197</f>
        <v>La Rippe</v>
      </c>
      <c r="C197" s="31">
        <f>Données!Z197</f>
        <v>1131</v>
      </c>
      <c r="D197" s="244">
        <f>Ecrêtage!E197</f>
        <v>58.633911719392884</v>
      </c>
      <c r="E197" s="244">
        <f t="shared" si="10"/>
        <v>0</v>
      </c>
      <c r="F197" s="244">
        <f>+Données!X197</f>
        <v>65</v>
      </c>
      <c r="G197" s="392">
        <f t="shared" si="11"/>
        <v>0</v>
      </c>
      <c r="H197" s="164">
        <f t="shared" si="8"/>
        <v>0.96197529199872078</v>
      </c>
      <c r="I197" s="42">
        <f t="shared" si="9"/>
        <v>0</v>
      </c>
    </row>
    <row r="198" spans="1:9" x14ac:dyDescent="0.25">
      <c r="A198" s="38">
        <f>Données!A198</f>
        <v>5727</v>
      </c>
      <c r="B198" s="27" t="str">
        <f>Données!B198</f>
        <v>Saint-Cergue</v>
      </c>
      <c r="C198" s="31">
        <f>Données!Z198</f>
        <v>2674</v>
      </c>
      <c r="D198" s="244">
        <f>Ecrêtage!E198</f>
        <v>39.307764793558484</v>
      </c>
      <c r="E198" s="244">
        <f t="shared" si="10"/>
        <v>6.8638799183659458</v>
      </c>
      <c r="F198" s="244">
        <f>+Données!X198</f>
        <v>66</v>
      </c>
      <c r="G198" s="392">
        <f t="shared" si="11"/>
        <v>-327068.54554848187</v>
      </c>
      <c r="H198" s="164">
        <f t="shared" ref="H198:H261" si="12">F198/$F$306</f>
        <v>0.97677491187562415</v>
      </c>
      <c r="I198" s="42">
        <f t="shared" ref="I198:I261" si="13">G198*H198</f>
        <v>-319472.34975540696</v>
      </c>
    </row>
    <row r="199" spans="1:9" x14ac:dyDescent="0.25">
      <c r="A199" s="38">
        <f>Données!A199</f>
        <v>5728</v>
      </c>
      <c r="B199" s="27" t="str">
        <f>Données!B199</f>
        <v>Signy-Avenex</v>
      </c>
      <c r="C199" s="31">
        <f>Données!Z199</f>
        <v>581</v>
      </c>
      <c r="D199" s="244">
        <f>Ecrêtage!E199</f>
        <v>84.388150475022357</v>
      </c>
      <c r="E199" s="244">
        <f t="shared" ref="E199:E262" si="14">IF($D$306-D199&lt;0,0,$D$306-D199)</f>
        <v>0</v>
      </c>
      <c r="F199" s="244">
        <f>+Données!X199</f>
        <v>58</v>
      </c>
      <c r="G199" s="392">
        <f t="shared" ref="G199:G262" si="15">-((C199*E199*F199)*$E$5)</f>
        <v>0</v>
      </c>
      <c r="H199" s="164">
        <f t="shared" si="12"/>
        <v>0.85837795286039698</v>
      </c>
      <c r="I199" s="42">
        <f t="shared" si="13"/>
        <v>0</v>
      </c>
    </row>
    <row r="200" spans="1:9" x14ac:dyDescent="0.25">
      <c r="A200" s="38">
        <f>Données!A200</f>
        <v>5729</v>
      </c>
      <c r="B200" s="27" t="str">
        <f>Données!B200</f>
        <v>Tannay</v>
      </c>
      <c r="C200" s="31">
        <f>Données!Z200</f>
        <v>1636</v>
      </c>
      <c r="D200" s="244">
        <f>Ecrêtage!E200</f>
        <v>79.893589174947138</v>
      </c>
      <c r="E200" s="244">
        <f t="shared" si="14"/>
        <v>0</v>
      </c>
      <c r="F200" s="244">
        <f>+Données!X200</f>
        <v>60.5</v>
      </c>
      <c r="G200" s="392">
        <f t="shared" si="15"/>
        <v>0</v>
      </c>
      <c r="H200" s="164">
        <f t="shared" si="12"/>
        <v>0.8953770025526554</v>
      </c>
      <c r="I200" s="42">
        <f t="shared" si="13"/>
        <v>0</v>
      </c>
    </row>
    <row r="201" spans="1:9" x14ac:dyDescent="0.25">
      <c r="A201" s="38">
        <f>Données!A201</f>
        <v>5730</v>
      </c>
      <c r="B201" s="27" t="str">
        <f>Données!B201</f>
        <v>Trélex</v>
      </c>
      <c r="C201" s="31">
        <f>Données!Z201</f>
        <v>1445</v>
      </c>
      <c r="D201" s="244">
        <f>Ecrêtage!E201</f>
        <v>77.256602138470654</v>
      </c>
      <c r="E201" s="244">
        <f t="shared" si="14"/>
        <v>0</v>
      </c>
      <c r="F201" s="244">
        <f>+Données!X201</f>
        <v>55.5</v>
      </c>
      <c r="G201" s="392">
        <f t="shared" si="15"/>
        <v>0</v>
      </c>
      <c r="H201" s="164">
        <f t="shared" si="12"/>
        <v>0.82137890316813844</v>
      </c>
      <c r="I201" s="42">
        <f t="shared" si="13"/>
        <v>0</v>
      </c>
    </row>
    <row r="202" spans="1:9" x14ac:dyDescent="0.25">
      <c r="A202" s="38">
        <f>Données!A202</f>
        <v>5731</v>
      </c>
      <c r="B202" s="27" t="str">
        <f>Données!B202</f>
        <v>Le Vaud</v>
      </c>
      <c r="C202" s="31">
        <f>Données!Z202</f>
        <v>1366</v>
      </c>
      <c r="D202" s="244">
        <f>Ecrêtage!E202</f>
        <v>46.807681520622509</v>
      </c>
      <c r="E202" s="244">
        <f t="shared" si="14"/>
        <v>0</v>
      </c>
      <c r="F202" s="244">
        <f>+Données!X202</f>
        <v>74</v>
      </c>
      <c r="G202" s="392">
        <f t="shared" si="15"/>
        <v>0</v>
      </c>
      <c r="H202" s="164">
        <f t="shared" si="12"/>
        <v>1.0951718708908513</v>
      </c>
      <c r="I202" s="42">
        <f t="shared" si="13"/>
        <v>0</v>
      </c>
    </row>
    <row r="203" spans="1:9" x14ac:dyDescent="0.25">
      <c r="A203" s="38">
        <f>Données!A203</f>
        <v>5732</v>
      </c>
      <c r="B203" s="27" t="str">
        <f>Données!B203</f>
        <v>Vich</v>
      </c>
      <c r="C203" s="31">
        <f>Données!Z203</f>
        <v>1156</v>
      </c>
      <c r="D203" s="244">
        <f>Ecrêtage!E203</f>
        <v>61.416417126532238</v>
      </c>
      <c r="E203" s="244">
        <f t="shared" si="14"/>
        <v>0</v>
      </c>
      <c r="F203" s="244">
        <f>+Données!X203</f>
        <v>63</v>
      </c>
      <c r="G203" s="392">
        <f t="shared" si="15"/>
        <v>0</v>
      </c>
      <c r="H203" s="164">
        <f t="shared" si="12"/>
        <v>0.93237605224491393</v>
      </c>
      <c r="I203" s="42">
        <f t="shared" si="13"/>
        <v>0</v>
      </c>
    </row>
    <row r="204" spans="1:9" x14ac:dyDescent="0.25">
      <c r="A204" s="38">
        <f>Données!A204</f>
        <v>5741</v>
      </c>
      <c r="B204" s="27" t="str">
        <f>Données!B204</f>
        <v>L'Abergement</v>
      </c>
      <c r="C204" s="31">
        <f>Données!Z204</f>
        <v>256</v>
      </c>
      <c r="D204" s="244">
        <f>Ecrêtage!E204</f>
        <v>28.779131943065149</v>
      </c>
      <c r="E204" s="244">
        <f t="shared" si="14"/>
        <v>17.39251276885928</v>
      </c>
      <c r="F204" s="244">
        <f>+Données!X204</f>
        <v>81</v>
      </c>
      <c r="G204" s="392">
        <f t="shared" si="15"/>
        <v>-97375.809089267845</v>
      </c>
      <c r="H204" s="164">
        <f t="shared" si="12"/>
        <v>1.1987692100291751</v>
      </c>
      <c r="I204" s="42">
        <f t="shared" si="13"/>
        <v>-116731.12173789338</v>
      </c>
    </row>
    <row r="205" spans="1:9" x14ac:dyDescent="0.25">
      <c r="A205" s="38">
        <f>Données!A205</f>
        <v>5742</v>
      </c>
      <c r="B205" s="27" t="str">
        <f>Données!B205</f>
        <v>Agiez</v>
      </c>
      <c r="C205" s="31">
        <f>Données!Z205</f>
        <v>377</v>
      </c>
      <c r="D205" s="244">
        <f>Ecrêtage!E205</f>
        <v>23.764552369543583</v>
      </c>
      <c r="E205" s="244">
        <f t="shared" si="14"/>
        <v>22.407092342380846</v>
      </c>
      <c r="F205" s="244">
        <f>+Données!X205</f>
        <v>76</v>
      </c>
      <c r="G205" s="392">
        <f t="shared" si="15"/>
        <v>-173342.16264435192</v>
      </c>
      <c r="H205" s="164">
        <f t="shared" si="12"/>
        <v>1.1247711106446581</v>
      </c>
      <c r="I205" s="42">
        <f t="shared" si="13"/>
        <v>-194970.25679903466</v>
      </c>
    </row>
    <row r="206" spans="1:9" x14ac:dyDescent="0.25">
      <c r="A206" s="38">
        <f>Données!A206</f>
        <v>5743</v>
      </c>
      <c r="B206" s="27" t="str">
        <f>Données!B206</f>
        <v>Arnex-sur-Orbe</v>
      </c>
      <c r="C206" s="31">
        <f>Données!Z206</f>
        <v>637</v>
      </c>
      <c r="D206" s="244">
        <f>Ecrêtage!E206</f>
        <v>32.254306923440453</v>
      </c>
      <c r="E206" s="244">
        <f t="shared" si="14"/>
        <v>13.917337788483977</v>
      </c>
      <c r="F206" s="244">
        <f>+Données!X206</f>
        <v>71</v>
      </c>
      <c r="G206" s="392">
        <f t="shared" si="15"/>
        <v>-169948.64776313651</v>
      </c>
      <c r="H206" s="164">
        <f t="shared" si="12"/>
        <v>1.050773011260141</v>
      </c>
      <c r="I206" s="42">
        <f t="shared" si="13"/>
        <v>-178577.45236965996</v>
      </c>
    </row>
    <row r="207" spans="1:9" x14ac:dyDescent="0.25">
      <c r="A207" s="38">
        <f>Données!A207</f>
        <v>5744</v>
      </c>
      <c r="B207" s="27" t="str">
        <f>Données!B207</f>
        <v>Ballaigues</v>
      </c>
      <c r="C207" s="31">
        <f>Données!Z207</f>
        <v>1143</v>
      </c>
      <c r="D207" s="244">
        <f>Ecrêtage!E207</f>
        <v>35.164242823307113</v>
      </c>
      <c r="E207" s="244">
        <f t="shared" si="14"/>
        <v>11.007401888617316</v>
      </c>
      <c r="F207" s="244">
        <f>+Données!X207</f>
        <v>65</v>
      </c>
      <c r="G207" s="392">
        <f t="shared" si="15"/>
        <v>-220804.62929500235</v>
      </c>
      <c r="H207" s="164">
        <f t="shared" si="12"/>
        <v>0.96197529199872078</v>
      </c>
      <c r="I207" s="42">
        <f t="shared" si="13"/>
        <v>-212408.59774072919</v>
      </c>
    </row>
    <row r="208" spans="1:9" x14ac:dyDescent="0.25">
      <c r="A208" s="38">
        <f>Données!A208</f>
        <v>5745</v>
      </c>
      <c r="B208" s="27" t="str">
        <f>Données!B208</f>
        <v>Baulmes</v>
      </c>
      <c r="C208" s="31">
        <f>Données!Z208</f>
        <v>1074</v>
      </c>
      <c r="D208" s="244">
        <f>Ecrêtage!E208</f>
        <v>24.975426617379288</v>
      </c>
      <c r="E208" s="244">
        <f t="shared" si="14"/>
        <v>21.196218094545141</v>
      </c>
      <c r="F208" s="244">
        <f>+Données!X208</f>
        <v>76.5</v>
      </c>
      <c r="G208" s="392">
        <f t="shared" si="15"/>
        <v>-470205.6682137993</v>
      </c>
      <c r="H208" s="164">
        <f t="shared" si="12"/>
        <v>1.1321709205831099</v>
      </c>
      <c r="I208" s="42">
        <f t="shared" si="13"/>
        <v>-532353.18424501352</v>
      </c>
    </row>
    <row r="209" spans="1:9" x14ac:dyDescent="0.25">
      <c r="A209" s="38">
        <f>Données!A209</f>
        <v>5746</v>
      </c>
      <c r="B209" s="27" t="str">
        <f>Données!B209</f>
        <v>Bavois</v>
      </c>
      <c r="C209" s="31">
        <f>Données!Z209</f>
        <v>994</v>
      </c>
      <c r="D209" s="244">
        <f>Ecrêtage!E209</f>
        <v>30.648464347229453</v>
      </c>
      <c r="E209" s="244">
        <f t="shared" si="14"/>
        <v>15.523180364694976</v>
      </c>
      <c r="F209" s="244">
        <f>+Données!X209</f>
        <v>73</v>
      </c>
      <c r="G209" s="392">
        <f t="shared" si="15"/>
        <v>-304126.11367820919</v>
      </c>
      <c r="H209" s="164">
        <f t="shared" si="12"/>
        <v>1.080372251013948</v>
      </c>
      <c r="I209" s="42">
        <f t="shared" si="13"/>
        <v>-328569.41402665072</v>
      </c>
    </row>
    <row r="210" spans="1:9" x14ac:dyDescent="0.25">
      <c r="A210" s="38">
        <f>Données!A210</f>
        <v>5747</v>
      </c>
      <c r="B210" s="27" t="str">
        <f>Données!B210</f>
        <v>Bofflens</v>
      </c>
      <c r="C210" s="31">
        <f>Données!Z210</f>
        <v>206</v>
      </c>
      <c r="D210" s="244">
        <f>Ecrêtage!E210</f>
        <v>27.195394951949822</v>
      </c>
      <c r="E210" s="244">
        <f t="shared" si="14"/>
        <v>18.976249759974607</v>
      </c>
      <c r="F210" s="244">
        <f>+Données!X210</f>
        <v>69</v>
      </c>
      <c r="G210" s="392">
        <f t="shared" si="15"/>
        <v>-72826.671803835357</v>
      </c>
      <c r="H210" s="164">
        <f t="shared" si="12"/>
        <v>1.0211737715063343</v>
      </c>
      <c r="I210" s="42">
        <f t="shared" si="13"/>
        <v>-74368.687112176558</v>
      </c>
    </row>
    <row r="211" spans="1:9" x14ac:dyDescent="0.25">
      <c r="A211" s="38">
        <f>Données!A211</f>
        <v>5748</v>
      </c>
      <c r="B211" s="27" t="str">
        <f>Données!B211</f>
        <v>Bretonnières</v>
      </c>
      <c r="C211" s="31">
        <f>Données!Z211</f>
        <v>268</v>
      </c>
      <c r="D211" s="244">
        <f>Ecrêtage!E211</f>
        <v>21.600312551487882</v>
      </c>
      <c r="E211" s="244">
        <f t="shared" si="14"/>
        <v>24.571332160436548</v>
      </c>
      <c r="F211" s="244">
        <f>+Données!X211</f>
        <v>70.5</v>
      </c>
      <c r="G211" s="392">
        <f t="shared" si="15"/>
        <v>-125347.7024566078</v>
      </c>
      <c r="H211" s="164">
        <f t="shared" si="12"/>
        <v>1.0433732013216894</v>
      </c>
      <c r="I211" s="42">
        <f t="shared" si="13"/>
        <v>-130784.43359046947</v>
      </c>
    </row>
    <row r="212" spans="1:9" x14ac:dyDescent="0.25">
      <c r="A212" s="38">
        <f>Données!A212</f>
        <v>5749</v>
      </c>
      <c r="B212" s="27" t="str">
        <f>Données!B212</f>
        <v>Chavornay</v>
      </c>
      <c r="C212" s="31">
        <f>Données!Z212</f>
        <v>5227</v>
      </c>
      <c r="D212" s="244">
        <f>Ecrêtage!E212</f>
        <v>26.905709226732299</v>
      </c>
      <c r="E212" s="244">
        <f t="shared" si="14"/>
        <v>19.265935485192131</v>
      </c>
      <c r="F212" s="244">
        <f>+Données!X212</f>
        <v>70.5</v>
      </c>
      <c r="G212" s="392">
        <f t="shared" si="15"/>
        <v>-1916882.4574082247</v>
      </c>
      <c r="H212" s="164">
        <f t="shared" si="12"/>
        <v>1.0433732013216894</v>
      </c>
      <c r="I212" s="42">
        <f t="shared" si="13"/>
        <v>-2000023.7861434063</v>
      </c>
    </row>
    <row r="213" spans="1:9" x14ac:dyDescent="0.25">
      <c r="A213" s="38">
        <f>Données!A213</f>
        <v>5750</v>
      </c>
      <c r="B213" s="27" t="str">
        <f>Données!B213</f>
        <v>Les Clées</v>
      </c>
      <c r="C213" s="31">
        <f>Données!Z213</f>
        <v>187</v>
      </c>
      <c r="D213" s="244">
        <f>Ecrêtage!E213</f>
        <v>32.289020721925134</v>
      </c>
      <c r="E213" s="244">
        <f t="shared" si="14"/>
        <v>13.882623989999296</v>
      </c>
      <c r="F213" s="244">
        <f>+Données!X213</f>
        <v>80</v>
      </c>
      <c r="G213" s="392">
        <f t="shared" si="15"/>
        <v>-56074.694820405151</v>
      </c>
      <c r="H213" s="164">
        <f t="shared" si="12"/>
        <v>1.1839695901522718</v>
      </c>
      <c r="I213" s="42">
        <f t="shared" si="13"/>
        <v>-66390.733444428799</v>
      </c>
    </row>
    <row r="214" spans="1:9" x14ac:dyDescent="0.25">
      <c r="A214" s="38">
        <f>Données!A214</f>
        <v>5752</v>
      </c>
      <c r="B214" s="27" t="str">
        <f>Données!B214</f>
        <v>Croy</v>
      </c>
      <c r="C214" s="31">
        <f>Données!Z214</f>
        <v>397</v>
      </c>
      <c r="D214" s="244">
        <f>Ecrêtage!E214</f>
        <v>23.711556960352372</v>
      </c>
      <c r="E214" s="244">
        <f t="shared" si="14"/>
        <v>22.460087751572058</v>
      </c>
      <c r="F214" s="244">
        <f>+Données!X214</f>
        <v>74</v>
      </c>
      <c r="G214" s="392">
        <f t="shared" si="15"/>
        <v>-178154.76365073468</v>
      </c>
      <c r="H214" s="164">
        <f t="shared" si="12"/>
        <v>1.0951718708908513</v>
      </c>
      <c r="I214" s="42">
        <f t="shared" si="13"/>
        <v>-195110.08581549252</v>
      </c>
    </row>
    <row r="215" spans="1:9" x14ac:dyDescent="0.25">
      <c r="A215" s="38">
        <f>Données!A215</f>
        <v>5754</v>
      </c>
      <c r="B215" s="27" t="str">
        <f>Données!B215</f>
        <v>Juriens</v>
      </c>
      <c r="C215" s="31">
        <f>Données!Z215</f>
        <v>336</v>
      </c>
      <c r="D215" s="244">
        <f>Ecrêtage!E215</f>
        <v>23.938265461693657</v>
      </c>
      <c r="E215" s="244">
        <f t="shared" si="14"/>
        <v>22.233379250230772</v>
      </c>
      <c r="F215" s="244">
        <f>+Données!X215</f>
        <v>79</v>
      </c>
      <c r="G215" s="392">
        <f t="shared" si="15"/>
        <v>-159343.96108089393</v>
      </c>
      <c r="H215" s="164">
        <f t="shared" si="12"/>
        <v>1.1691699702753682</v>
      </c>
      <c r="I215" s="42">
        <f t="shared" si="13"/>
        <v>-186300.17424050817</v>
      </c>
    </row>
    <row r="216" spans="1:9" x14ac:dyDescent="0.25">
      <c r="A216" s="38">
        <f>Données!A216</f>
        <v>5755</v>
      </c>
      <c r="B216" s="27" t="str">
        <f>Données!B216</f>
        <v>Lignerolle</v>
      </c>
      <c r="C216" s="31">
        <f>Données!Z216</f>
        <v>435</v>
      </c>
      <c r="D216" s="244">
        <f>Ecrêtage!E216</f>
        <v>20.811874220479492</v>
      </c>
      <c r="E216" s="244">
        <f t="shared" si="14"/>
        <v>25.359770491444937</v>
      </c>
      <c r="F216" s="244">
        <f>+Données!X216</f>
        <v>78.5</v>
      </c>
      <c r="G216" s="392">
        <f t="shared" si="15"/>
        <v>-233812.64597128634</v>
      </c>
      <c r="H216" s="164">
        <f t="shared" si="12"/>
        <v>1.1617701603369166</v>
      </c>
      <c r="I216" s="42">
        <f t="shared" si="13"/>
        <v>-271636.55519886006</v>
      </c>
    </row>
    <row r="217" spans="1:9" x14ac:dyDescent="0.25">
      <c r="A217" s="38">
        <f>Données!A217</f>
        <v>5756</v>
      </c>
      <c r="B217" s="27" t="str">
        <f>Données!B217</f>
        <v>Montcherand</v>
      </c>
      <c r="C217" s="31">
        <f>Données!Z217</f>
        <v>506</v>
      </c>
      <c r="D217" s="244">
        <f>Ecrêtage!E217</f>
        <v>31.132496454153191</v>
      </c>
      <c r="E217" s="244">
        <f t="shared" si="14"/>
        <v>15.039148257771238</v>
      </c>
      <c r="F217" s="244">
        <f>+Données!X217</f>
        <v>72</v>
      </c>
      <c r="G217" s="392">
        <f t="shared" si="15"/>
        <v>-147934.68731832289</v>
      </c>
      <c r="H217" s="164">
        <f t="shared" si="12"/>
        <v>1.0655726311370446</v>
      </c>
      <c r="I217" s="42">
        <f t="shared" si="13"/>
        <v>-157635.1540022213</v>
      </c>
    </row>
    <row r="218" spans="1:9" x14ac:dyDescent="0.25">
      <c r="A218" s="38">
        <f>Données!A218</f>
        <v>5757</v>
      </c>
      <c r="B218" s="27" t="str">
        <f>Données!B218</f>
        <v>Orbe</v>
      </c>
      <c r="C218" s="31">
        <f>Données!Z218</f>
        <v>7124</v>
      </c>
      <c r="D218" s="244">
        <f>Ecrêtage!E218</f>
        <v>28.56221414333465</v>
      </c>
      <c r="E218" s="244">
        <f t="shared" si="14"/>
        <v>17.609430568589779</v>
      </c>
      <c r="F218" s="244">
        <f>+Données!X218</f>
        <v>75.5</v>
      </c>
      <c r="G218" s="392">
        <f t="shared" si="15"/>
        <v>-2557289.7570103654</v>
      </c>
      <c r="H218" s="164">
        <f t="shared" si="12"/>
        <v>1.1173713007062065</v>
      </c>
      <c r="I218" s="42">
        <f t="shared" si="13"/>
        <v>-2857442.1820733305</v>
      </c>
    </row>
    <row r="219" spans="1:9" x14ac:dyDescent="0.25">
      <c r="A219" s="38">
        <f>Données!A219</f>
        <v>5758</v>
      </c>
      <c r="B219" s="27" t="str">
        <f>Données!B219</f>
        <v>La Praz</v>
      </c>
      <c r="C219" s="31">
        <f>Données!Z219</f>
        <v>175</v>
      </c>
      <c r="D219" s="244">
        <f>Ecrêtage!E219</f>
        <v>24.638531880193081</v>
      </c>
      <c r="E219" s="244">
        <f t="shared" si="14"/>
        <v>21.533112831731348</v>
      </c>
      <c r="F219" s="244">
        <f>+Données!X219</f>
        <v>83</v>
      </c>
      <c r="G219" s="392">
        <f t="shared" si="15"/>
        <v>-84447.485247842415</v>
      </c>
      <c r="H219" s="164">
        <f t="shared" si="12"/>
        <v>1.2283684497829819</v>
      </c>
      <c r="I219" s="42">
        <f t="shared" si="13"/>
        <v>-103732.62654196341</v>
      </c>
    </row>
    <row r="220" spans="1:9" x14ac:dyDescent="0.25">
      <c r="A220" s="38">
        <f>Données!A220</f>
        <v>5759</v>
      </c>
      <c r="B220" s="27" t="str">
        <f>Données!B220</f>
        <v>Premier</v>
      </c>
      <c r="C220" s="31">
        <f>Données!Z220</f>
        <v>218</v>
      </c>
      <c r="D220" s="244">
        <f>Ecrêtage!E220</f>
        <v>24.345154059338185</v>
      </c>
      <c r="E220" s="244">
        <f t="shared" si="14"/>
        <v>21.826490652586244</v>
      </c>
      <c r="F220" s="244">
        <f>+Données!X220</f>
        <v>79.5</v>
      </c>
      <c r="G220" s="392">
        <f t="shared" si="15"/>
        <v>-102134.22556499251</v>
      </c>
      <c r="H220" s="164">
        <f t="shared" si="12"/>
        <v>1.17656978021382</v>
      </c>
      <c r="I220" s="42">
        <f t="shared" si="13"/>
        <v>-120168.04332531194</v>
      </c>
    </row>
    <row r="221" spans="1:9" x14ac:dyDescent="0.25">
      <c r="A221" s="38">
        <f>Données!A221</f>
        <v>5760</v>
      </c>
      <c r="B221" s="27" t="str">
        <f>Données!B221</f>
        <v>Rances</v>
      </c>
      <c r="C221" s="31">
        <f>Données!Z221</f>
        <v>513</v>
      </c>
      <c r="D221" s="244">
        <f>Ecrêtage!E221</f>
        <v>25.000402097121988</v>
      </c>
      <c r="E221" s="244">
        <f t="shared" si="14"/>
        <v>21.171242614802441</v>
      </c>
      <c r="F221" s="244">
        <f>+Données!X221</f>
        <v>76.5</v>
      </c>
      <c r="G221" s="392">
        <f t="shared" si="15"/>
        <v>-224330.8043150859</v>
      </c>
      <c r="H221" s="164">
        <f t="shared" si="12"/>
        <v>1.1321709205831099</v>
      </c>
      <c r="I221" s="42">
        <f t="shared" si="13"/>
        <v>-253980.81323656027</v>
      </c>
    </row>
    <row r="222" spans="1:9" x14ac:dyDescent="0.25">
      <c r="A222" s="38">
        <f>Données!A222</f>
        <v>5761</v>
      </c>
      <c r="B222" s="27" t="str">
        <f>Données!B222</f>
        <v>Romainmôtier-Envy</v>
      </c>
      <c r="C222" s="31">
        <f>Données!Z222</f>
        <v>525</v>
      </c>
      <c r="D222" s="244">
        <f>Ecrêtage!E222</f>
        <v>23.11194458955492</v>
      </c>
      <c r="E222" s="244">
        <f t="shared" si="14"/>
        <v>23.05970012236951</v>
      </c>
      <c r="F222" s="244">
        <f>+Données!X222</f>
        <v>81</v>
      </c>
      <c r="G222" s="392">
        <f t="shared" si="15"/>
        <v>-264765.71188001614</v>
      </c>
      <c r="H222" s="164">
        <f t="shared" si="12"/>
        <v>1.1987692100291751</v>
      </c>
      <c r="I222" s="42">
        <f t="shared" si="13"/>
        <v>-317392.98327321914</v>
      </c>
    </row>
    <row r="223" spans="1:9" x14ac:dyDescent="0.25">
      <c r="A223" s="38">
        <f>Données!A223</f>
        <v>5762</v>
      </c>
      <c r="B223" s="27" t="str">
        <f>Données!B223</f>
        <v>Sergey</v>
      </c>
      <c r="C223" s="31">
        <f>Données!Z223</f>
        <v>145</v>
      </c>
      <c r="D223" s="244">
        <f>Ecrêtage!E223</f>
        <v>26.013611671804973</v>
      </c>
      <c r="E223" s="244">
        <f t="shared" si="14"/>
        <v>20.158033040119456</v>
      </c>
      <c r="F223" s="244">
        <f>+Données!X223</f>
        <v>78</v>
      </c>
      <c r="G223" s="392">
        <f t="shared" si="15"/>
        <v>-61556.585494612795</v>
      </c>
      <c r="H223" s="164">
        <f t="shared" si="12"/>
        <v>1.1543703503984648</v>
      </c>
      <c r="I223" s="42">
        <f t="shared" si="13"/>
        <v>-71059.097166749227</v>
      </c>
    </row>
    <row r="224" spans="1:9" x14ac:dyDescent="0.25">
      <c r="A224" s="38">
        <f>Données!A224</f>
        <v>5763</v>
      </c>
      <c r="B224" s="27" t="str">
        <f>Données!B224</f>
        <v>Valeyres-sous-Rances</v>
      </c>
      <c r="C224" s="31">
        <f>Données!Z224</f>
        <v>609</v>
      </c>
      <c r="D224" s="244">
        <f>Ecrêtage!E224</f>
        <v>33.581081815910672</v>
      </c>
      <c r="E224" s="244">
        <f t="shared" si="14"/>
        <v>12.590562896013758</v>
      </c>
      <c r="F224" s="244">
        <f>+Données!X224</f>
        <v>68</v>
      </c>
      <c r="G224" s="392">
        <f t="shared" si="15"/>
        <v>-140778.10547542488</v>
      </c>
      <c r="H224" s="164">
        <f t="shared" si="12"/>
        <v>1.0063741516294309</v>
      </c>
      <c r="I224" s="42">
        <f t="shared" si="13"/>
        <v>-141675.44646582924</v>
      </c>
    </row>
    <row r="225" spans="1:9" x14ac:dyDescent="0.25">
      <c r="A225" s="38">
        <f>Données!A225</f>
        <v>5764</v>
      </c>
      <c r="B225" s="27" t="str">
        <f>Données!B225</f>
        <v>Vallorbe</v>
      </c>
      <c r="C225" s="31">
        <f>Données!Z225</f>
        <v>3874</v>
      </c>
      <c r="D225" s="244">
        <f>Ecrêtage!E225</f>
        <v>21.736901815389693</v>
      </c>
      <c r="E225" s="244">
        <f t="shared" si="14"/>
        <v>24.434742896534736</v>
      </c>
      <c r="F225" s="244">
        <f>+Données!X225</f>
        <v>71.5</v>
      </c>
      <c r="G225" s="392">
        <f t="shared" si="15"/>
        <v>-1827415.0448065947</v>
      </c>
      <c r="H225" s="164">
        <f t="shared" si="12"/>
        <v>1.0581728211985928</v>
      </c>
      <c r="I225" s="42">
        <f t="shared" si="13"/>
        <v>-1933720.9334637471</v>
      </c>
    </row>
    <row r="226" spans="1:9" x14ac:dyDescent="0.25">
      <c r="A226" s="38">
        <f>Données!A226</f>
        <v>5765</v>
      </c>
      <c r="B226" s="27" t="str">
        <f>Données!B226</f>
        <v>Vaulion</v>
      </c>
      <c r="C226" s="31">
        <f>Données!Z226</f>
        <v>506</v>
      </c>
      <c r="D226" s="244">
        <f>Ecrêtage!E226</f>
        <v>22.359868448166949</v>
      </c>
      <c r="E226" s="244">
        <f t="shared" si="14"/>
        <v>23.81177626375748</v>
      </c>
      <c r="F226" s="244">
        <f>+Données!X226</f>
        <v>81</v>
      </c>
      <c r="G226" s="392">
        <f t="shared" si="15"/>
        <v>-263506.35472551832</v>
      </c>
      <c r="H226" s="164">
        <f t="shared" si="12"/>
        <v>1.1987692100291751</v>
      </c>
      <c r="I226" s="42">
        <f t="shared" si="13"/>
        <v>-315883.30469197722</v>
      </c>
    </row>
    <row r="227" spans="1:9" x14ac:dyDescent="0.25">
      <c r="A227" s="38">
        <f>Données!A227</f>
        <v>5766</v>
      </c>
      <c r="B227" s="27" t="str">
        <f>Données!B227</f>
        <v>Vuiteboeuf</v>
      </c>
      <c r="C227" s="31">
        <f>Données!Z227</f>
        <v>584</v>
      </c>
      <c r="D227" s="244">
        <f>Ecrêtage!E227</f>
        <v>27.380839324096449</v>
      </c>
      <c r="E227" s="244">
        <f t="shared" si="14"/>
        <v>18.79080538782798</v>
      </c>
      <c r="F227" s="244">
        <f>+Données!X227</f>
        <v>77</v>
      </c>
      <c r="G227" s="392">
        <f t="shared" si="15"/>
        <v>-228145.93290355912</v>
      </c>
      <c r="H227" s="164">
        <f t="shared" si="12"/>
        <v>1.1395707305215614</v>
      </c>
      <c r="I227" s="42">
        <f t="shared" si="13"/>
        <v>-259988.42742443201</v>
      </c>
    </row>
    <row r="228" spans="1:9" x14ac:dyDescent="0.25">
      <c r="A228" s="38">
        <f>Données!A228</f>
        <v>5785</v>
      </c>
      <c r="B228" s="27" t="str">
        <f>Données!B228</f>
        <v>Corcelles-le-Jorat</v>
      </c>
      <c r="C228" s="31">
        <f>Données!Z228</f>
        <v>451</v>
      </c>
      <c r="D228" s="244">
        <f>Ecrêtage!E228</f>
        <v>38.815928378553686</v>
      </c>
      <c r="E228" s="244">
        <f t="shared" si="14"/>
        <v>7.3557163333707436</v>
      </c>
      <c r="F228" s="244">
        <f>+Données!X228</f>
        <v>77</v>
      </c>
      <c r="G228" s="392">
        <f t="shared" si="15"/>
        <v>-68969.329499420783</v>
      </c>
      <c r="H228" s="164">
        <f t="shared" si="12"/>
        <v>1.1395707305215614</v>
      </c>
      <c r="I228" s="42">
        <f t="shared" si="13"/>
        <v>-78595.429201237217</v>
      </c>
    </row>
    <row r="229" spans="1:9" x14ac:dyDescent="0.25">
      <c r="A229" s="38">
        <f>Données!A229</f>
        <v>5790</v>
      </c>
      <c r="B229" s="27" t="str">
        <f>Données!B229</f>
        <v>Maracon</v>
      </c>
      <c r="C229" s="31">
        <f>Données!Z229</f>
        <v>538</v>
      </c>
      <c r="D229" s="244">
        <f>Ecrêtage!E229</f>
        <v>24.89910590263105</v>
      </c>
      <c r="E229" s="244">
        <f t="shared" si="14"/>
        <v>21.27253880929338</v>
      </c>
      <c r="F229" s="244">
        <f>+Données!X229</f>
        <v>74.5</v>
      </c>
      <c r="G229" s="392">
        <f t="shared" si="15"/>
        <v>-230208.64956412776</v>
      </c>
      <c r="H229" s="164">
        <f t="shared" si="12"/>
        <v>1.1025716808293029</v>
      </c>
      <c r="I229" s="42">
        <f t="shared" si="13"/>
        <v>-253821.5376913643</v>
      </c>
    </row>
    <row r="230" spans="1:9" x14ac:dyDescent="0.25">
      <c r="A230" s="38">
        <f>Données!A230</f>
        <v>5792</v>
      </c>
      <c r="B230" s="27" t="str">
        <f>Données!B230</f>
        <v>Montpreveyres</v>
      </c>
      <c r="C230" s="31">
        <f>Données!Z230</f>
        <v>653</v>
      </c>
      <c r="D230" s="244">
        <f>Ecrêtage!E230</f>
        <v>26.96533920967854</v>
      </c>
      <c r="E230" s="244">
        <f t="shared" si="14"/>
        <v>19.20630550224589</v>
      </c>
      <c r="F230" s="244">
        <f>+Données!X230</f>
        <v>75</v>
      </c>
      <c r="G230" s="392">
        <f t="shared" si="15"/>
        <v>-253969.77923257297</v>
      </c>
      <c r="H230" s="164">
        <f t="shared" si="12"/>
        <v>1.1099714907677547</v>
      </c>
      <c r="I230" s="42">
        <f t="shared" si="13"/>
        <v>-281899.21446473658</v>
      </c>
    </row>
    <row r="231" spans="1:9" x14ac:dyDescent="0.25">
      <c r="A231" s="38">
        <f>Données!A231</f>
        <v>5798</v>
      </c>
      <c r="B231" s="27" t="str">
        <f>Données!B231</f>
        <v>Ropraz</v>
      </c>
      <c r="C231" s="31">
        <f>Données!Z231</f>
        <v>528</v>
      </c>
      <c r="D231" s="244">
        <f>Ecrêtage!E231</f>
        <v>29.842908643391016</v>
      </c>
      <c r="E231" s="244">
        <f t="shared" si="14"/>
        <v>16.328736068533413</v>
      </c>
      <c r="F231" s="244">
        <f>+Données!X231</f>
        <v>77.5</v>
      </c>
      <c r="G231" s="392">
        <f t="shared" si="15"/>
        <v>-180406.4075795846</v>
      </c>
      <c r="H231" s="164">
        <f t="shared" si="12"/>
        <v>1.1469705404600132</v>
      </c>
      <c r="I231" s="42">
        <f t="shared" si="13"/>
        <v>-206920.83480400557</v>
      </c>
    </row>
    <row r="232" spans="1:9" x14ac:dyDescent="0.25">
      <c r="A232" s="38">
        <f>Données!A232</f>
        <v>5799</v>
      </c>
      <c r="B232" s="27" t="str">
        <f>Données!B232</f>
        <v>Servion</v>
      </c>
      <c r="C232" s="31">
        <f>Données!Z232</f>
        <v>2076</v>
      </c>
      <c r="D232" s="244">
        <f>Ecrêtage!E232</f>
        <v>33.419606969844246</v>
      </c>
      <c r="E232" s="244">
        <f t="shared" si="14"/>
        <v>12.752037742080184</v>
      </c>
      <c r="F232" s="244">
        <f>+Données!X232</f>
        <v>69</v>
      </c>
      <c r="G232" s="392">
        <f t="shared" si="15"/>
        <v>-493196.28146816418</v>
      </c>
      <c r="H232" s="164">
        <f t="shared" si="12"/>
        <v>1.0211737715063343</v>
      </c>
      <c r="I232" s="42">
        <f t="shared" si="13"/>
        <v>-503639.10683974478</v>
      </c>
    </row>
    <row r="233" spans="1:9" x14ac:dyDescent="0.25">
      <c r="A233" s="38">
        <f>Données!A233</f>
        <v>5803</v>
      </c>
      <c r="B233" s="27" t="str">
        <f>Données!B233</f>
        <v>Vulliens</v>
      </c>
      <c r="C233" s="31">
        <f>Données!Z233</f>
        <v>624</v>
      </c>
      <c r="D233" s="244">
        <f>Ecrêtage!E233</f>
        <v>30.25365595479083</v>
      </c>
      <c r="E233" s="244">
        <f t="shared" si="14"/>
        <v>15.9179887571336</v>
      </c>
      <c r="F233" s="244">
        <f>+Données!X233</f>
        <v>76</v>
      </c>
      <c r="G233" s="392">
        <f t="shared" si="15"/>
        <v>-203821.56868094206</v>
      </c>
      <c r="H233" s="164">
        <f t="shared" si="12"/>
        <v>1.1247711106446581</v>
      </c>
      <c r="I233" s="42">
        <f t="shared" si="13"/>
        <v>-229252.61217859967</v>
      </c>
    </row>
    <row r="234" spans="1:9" x14ac:dyDescent="0.25">
      <c r="A234" s="38">
        <f>Données!A234</f>
        <v>5804</v>
      </c>
      <c r="B234" s="27" t="str">
        <f>Données!B234</f>
        <v>Jorat-Menthue</v>
      </c>
      <c r="C234" s="31">
        <f>Données!Z234</f>
        <v>1602</v>
      </c>
      <c r="D234" s="244">
        <f>Ecrêtage!E234</f>
        <v>29.135731842298739</v>
      </c>
      <c r="E234" s="244">
        <f t="shared" si="14"/>
        <v>17.03591286962569</v>
      </c>
      <c r="F234" s="244">
        <f>+Données!X234</f>
        <v>70.5</v>
      </c>
      <c r="G234" s="392">
        <f t="shared" si="15"/>
        <v>-519494.31956026674</v>
      </c>
      <c r="H234" s="164">
        <f t="shared" si="12"/>
        <v>1.0433732013216894</v>
      </c>
      <c r="I234" s="42">
        <f t="shared" si="13"/>
        <v>-542026.45126802824</v>
      </c>
    </row>
    <row r="235" spans="1:9" x14ac:dyDescent="0.25">
      <c r="A235" s="38">
        <f>Données!A235</f>
        <v>5805</v>
      </c>
      <c r="B235" s="27" t="str">
        <f>Données!B235</f>
        <v>Oron</v>
      </c>
      <c r="C235" s="31">
        <f>Données!Z235</f>
        <v>6052</v>
      </c>
      <c r="D235" s="244">
        <f>Ecrêtage!E235</f>
        <v>28.479954271580983</v>
      </c>
      <c r="E235" s="244">
        <f t="shared" si="14"/>
        <v>17.691690440343447</v>
      </c>
      <c r="F235" s="244">
        <f>+Données!X235</f>
        <v>69.239999999999995</v>
      </c>
      <c r="G235" s="392">
        <f t="shared" si="15"/>
        <v>-2001654.302615891</v>
      </c>
      <c r="H235" s="164">
        <f t="shared" si="12"/>
        <v>1.024725680276791</v>
      </c>
      <c r="I235" s="42">
        <f t="shared" si="13"/>
        <v>-2051146.5669270346</v>
      </c>
    </row>
    <row r="236" spans="1:9" x14ac:dyDescent="0.25">
      <c r="A236" s="38">
        <f>Données!A236</f>
        <v>5806</v>
      </c>
      <c r="B236" s="27" t="str">
        <f>Données!B236</f>
        <v>Jorat-Mézières</v>
      </c>
      <c r="C236" s="31">
        <f>Données!Z236</f>
        <v>2966</v>
      </c>
      <c r="D236" s="244">
        <f>Ecrêtage!E236</f>
        <v>30.694653763693701</v>
      </c>
      <c r="E236" s="244">
        <f t="shared" si="14"/>
        <v>15.476990948230728</v>
      </c>
      <c r="F236" s="244">
        <f>+Données!X236</f>
        <v>73</v>
      </c>
      <c r="G236" s="392">
        <f t="shared" si="15"/>
        <v>-904782.72405483562</v>
      </c>
      <c r="H236" s="164">
        <f t="shared" si="12"/>
        <v>1.080372251013948</v>
      </c>
      <c r="I236" s="42">
        <f t="shared" si="13"/>
        <v>-977502.14826565445</v>
      </c>
    </row>
    <row r="237" spans="1:9" x14ac:dyDescent="0.25">
      <c r="A237" s="38">
        <f>Données!A237</f>
        <v>5812</v>
      </c>
      <c r="B237" s="27" t="str">
        <f>Données!B237</f>
        <v>Champtauroz</v>
      </c>
      <c r="C237" s="31">
        <f>Données!Z237</f>
        <v>144</v>
      </c>
      <c r="D237" s="244">
        <f>Ecrêtage!E237</f>
        <v>17.42436056998557</v>
      </c>
      <c r="E237" s="244">
        <f t="shared" si="14"/>
        <v>28.747284141938859</v>
      </c>
      <c r="F237" s="244">
        <f>+Données!X237</f>
        <v>77</v>
      </c>
      <c r="G237" s="392">
        <f t="shared" si="15"/>
        <v>-86062.469372770895</v>
      </c>
      <c r="H237" s="164">
        <f t="shared" si="12"/>
        <v>1.1395707305215614</v>
      </c>
      <c r="I237" s="42">
        <f t="shared" si="13"/>
        <v>-98074.271093618037</v>
      </c>
    </row>
    <row r="238" spans="1:9" x14ac:dyDescent="0.25">
      <c r="A238" s="38">
        <f>Données!A238</f>
        <v>5813</v>
      </c>
      <c r="B238" s="27" t="str">
        <f>Données!B238</f>
        <v>Chevroux</v>
      </c>
      <c r="C238" s="31">
        <f>Données!Z238</f>
        <v>495</v>
      </c>
      <c r="D238" s="244">
        <f>Ecrêtage!E238</f>
        <v>30.652904655691923</v>
      </c>
      <c r="E238" s="244">
        <f t="shared" si="14"/>
        <v>15.518740056232506</v>
      </c>
      <c r="F238" s="244">
        <f>+Données!X238</f>
        <v>68.5</v>
      </c>
      <c r="G238" s="392">
        <f t="shared" si="15"/>
        <v>-142074.45318330999</v>
      </c>
      <c r="H238" s="164">
        <f t="shared" si="12"/>
        <v>1.0137739615678827</v>
      </c>
      <c r="I238" s="42">
        <f t="shared" si="13"/>
        <v>-144031.38124123486</v>
      </c>
    </row>
    <row r="239" spans="1:9" x14ac:dyDescent="0.25">
      <c r="A239" s="38">
        <f>Données!A239</f>
        <v>5816</v>
      </c>
      <c r="B239" s="27" t="str">
        <f>Données!B239</f>
        <v>Corcelles-près-Payerne</v>
      </c>
      <c r="C239" s="31">
        <f>Données!Z239</f>
        <v>2681</v>
      </c>
      <c r="D239" s="244">
        <f>Ecrêtage!E239</f>
        <v>22.564081117397652</v>
      </c>
      <c r="E239" s="244">
        <f t="shared" si="14"/>
        <v>23.607563594526777</v>
      </c>
      <c r="F239" s="244">
        <f>+Données!X239</f>
        <v>68.5</v>
      </c>
      <c r="G239" s="392">
        <f t="shared" si="15"/>
        <v>-1170583.2835531516</v>
      </c>
      <c r="H239" s="164">
        <f t="shared" si="12"/>
        <v>1.0137739615678827</v>
      </c>
      <c r="I239" s="42">
        <f t="shared" si="13"/>
        <v>-1186706.8527128187</v>
      </c>
    </row>
    <row r="240" spans="1:9" x14ac:dyDescent="0.25">
      <c r="A240" s="38">
        <f>Données!A240</f>
        <v>5817</v>
      </c>
      <c r="B240" s="27" t="str">
        <f>Données!B240</f>
        <v>Grandcour</v>
      </c>
      <c r="C240" s="31">
        <f>Données!Z240</f>
        <v>967</v>
      </c>
      <c r="D240" s="244">
        <f>Ecrêtage!E240</f>
        <v>22.597965064124541</v>
      </c>
      <c r="E240" s="244">
        <f t="shared" si="14"/>
        <v>23.573679647799889</v>
      </c>
      <c r="F240" s="244">
        <f>+Données!X240</f>
        <v>73.5</v>
      </c>
      <c r="G240" s="392">
        <f t="shared" si="15"/>
        <v>-452381.62341443944</v>
      </c>
      <c r="H240" s="164">
        <f t="shared" si="12"/>
        <v>1.0877720609523995</v>
      </c>
      <c r="I240" s="42">
        <f t="shared" si="13"/>
        <v>-492088.09083851706</v>
      </c>
    </row>
    <row r="241" spans="1:9" x14ac:dyDescent="0.25">
      <c r="A241" s="38">
        <f>Données!A241</f>
        <v>5819</v>
      </c>
      <c r="B241" s="27" t="str">
        <f>Données!B241</f>
        <v>Henniez</v>
      </c>
      <c r="C241" s="31">
        <f>Données!Z241</f>
        <v>396</v>
      </c>
      <c r="D241" s="244">
        <f>Ecrêtage!E241</f>
        <v>28.895221080114403</v>
      </c>
      <c r="E241" s="244">
        <f t="shared" si="14"/>
        <v>17.276423631810026</v>
      </c>
      <c r="F241" s="244">
        <f>+Données!X241</f>
        <v>69</v>
      </c>
      <c r="G241" s="392">
        <f t="shared" si="15"/>
        <v>-127456.46981520584</v>
      </c>
      <c r="H241" s="164">
        <f t="shared" si="12"/>
        <v>1.0211737715063343</v>
      </c>
      <c r="I241" s="42">
        <f t="shared" si="13"/>
        <v>-130155.203984077</v>
      </c>
    </row>
    <row r="242" spans="1:9" x14ac:dyDescent="0.25">
      <c r="A242" s="38">
        <f>Données!A242</f>
        <v>5821</v>
      </c>
      <c r="B242" s="27" t="str">
        <f>Données!B242</f>
        <v>Missy</v>
      </c>
      <c r="C242" s="31">
        <f>Données!Z242</f>
        <v>368</v>
      </c>
      <c r="D242" s="244">
        <f>Ecrêtage!E242</f>
        <v>21.390081967381981</v>
      </c>
      <c r="E242" s="244">
        <f t="shared" si="14"/>
        <v>24.781562744542448</v>
      </c>
      <c r="F242" s="244">
        <f>+Données!X242</f>
        <v>72</v>
      </c>
      <c r="G242" s="392">
        <f t="shared" si="15"/>
        <v>-177285.31734943713</v>
      </c>
      <c r="H242" s="164">
        <f t="shared" si="12"/>
        <v>1.0655726311370446</v>
      </c>
      <c r="I242" s="42">
        <f t="shared" si="13"/>
        <v>-188910.38207000567</v>
      </c>
    </row>
    <row r="243" spans="1:9" x14ac:dyDescent="0.25">
      <c r="A243" s="38">
        <f>Données!A243</f>
        <v>5822</v>
      </c>
      <c r="B243" s="27" t="str">
        <f>Données!B243</f>
        <v>Payerne</v>
      </c>
      <c r="C243" s="31">
        <f>Données!Z243</f>
        <v>10108</v>
      </c>
      <c r="D243" s="244">
        <f>Ecrêtage!E243</f>
        <v>23.49919796667502</v>
      </c>
      <c r="E243" s="244">
        <f t="shared" si="14"/>
        <v>22.67244674524941</v>
      </c>
      <c r="F243" s="244">
        <f>+Données!X243</f>
        <v>73</v>
      </c>
      <c r="G243" s="392">
        <f t="shared" si="15"/>
        <v>-4517001.6374263363</v>
      </c>
      <c r="H243" s="164">
        <f t="shared" si="12"/>
        <v>1.080372251013948</v>
      </c>
      <c r="I243" s="42">
        <f t="shared" si="13"/>
        <v>-4880043.2268599793</v>
      </c>
    </row>
    <row r="244" spans="1:9" x14ac:dyDescent="0.25">
      <c r="A244" s="38">
        <f>Données!A244</f>
        <v>5827</v>
      </c>
      <c r="B244" s="27" t="str">
        <f>Données!B244</f>
        <v>Trey</v>
      </c>
      <c r="C244" s="31">
        <f>Données!Z244</f>
        <v>302</v>
      </c>
      <c r="D244" s="244">
        <f>Ecrêtage!E244</f>
        <v>20.391735545300239</v>
      </c>
      <c r="E244" s="244">
        <f t="shared" si="14"/>
        <v>25.77990916662419</v>
      </c>
      <c r="F244" s="244">
        <f>+Données!X244</f>
        <v>78</v>
      </c>
      <c r="G244" s="392">
        <f t="shared" si="15"/>
        <v>-163963.31588882985</v>
      </c>
      <c r="H244" s="164">
        <f t="shared" si="12"/>
        <v>1.1543703503984648</v>
      </c>
      <c r="I244" s="42">
        <f t="shared" si="13"/>
        <v>-189274.39041508269</v>
      </c>
    </row>
    <row r="245" spans="1:9" x14ac:dyDescent="0.25">
      <c r="A245" s="38">
        <f>Données!A245</f>
        <v>5828</v>
      </c>
      <c r="B245" s="27" t="str">
        <f>Données!B245</f>
        <v>Treytorrens (Payerne)</v>
      </c>
      <c r="C245" s="31">
        <f>Données!Z245</f>
        <v>114</v>
      </c>
      <c r="D245" s="244">
        <f>Ecrêtage!E245</f>
        <v>20.074599693678639</v>
      </c>
      <c r="E245" s="244">
        <f t="shared" si="14"/>
        <v>26.09704501824579</v>
      </c>
      <c r="F245" s="244">
        <f>+Données!X245</f>
        <v>84</v>
      </c>
      <c r="G245" s="392">
        <f t="shared" si="15"/>
        <v>-67474.431835574855</v>
      </c>
      <c r="H245" s="164">
        <f t="shared" si="12"/>
        <v>1.2431680696598852</v>
      </c>
      <c r="I245" s="42">
        <f t="shared" si="13"/>
        <v>-83882.059176429102</v>
      </c>
    </row>
    <row r="246" spans="1:9" x14ac:dyDescent="0.25">
      <c r="A246" s="38">
        <f>Données!A246</f>
        <v>5830</v>
      </c>
      <c r="B246" s="27" t="str">
        <f>Données!B246</f>
        <v>Villarzel</v>
      </c>
      <c r="C246" s="31">
        <f>Données!Z246</f>
        <v>477</v>
      </c>
      <c r="D246" s="244">
        <f>Ecrêtage!E246</f>
        <v>26.141243807123669</v>
      </c>
      <c r="E246" s="244">
        <f t="shared" si="14"/>
        <v>20.030400904800761</v>
      </c>
      <c r="F246" s="244">
        <f>+Données!X246</f>
        <v>77</v>
      </c>
      <c r="G246" s="392">
        <f t="shared" si="15"/>
        <v>-198638.08060475532</v>
      </c>
      <c r="H246" s="164">
        <f t="shared" si="12"/>
        <v>1.1395707305215614</v>
      </c>
      <c r="I246" s="42">
        <f t="shared" si="13"/>
        <v>-226362.14262416182</v>
      </c>
    </row>
    <row r="247" spans="1:9" x14ac:dyDescent="0.25">
      <c r="A247" s="38">
        <f>Données!A247</f>
        <v>5831</v>
      </c>
      <c r="B247" s="27" t="str">
        <f>Données!B247</f>
        <v>Valbroye</v>
      </c>
      <c r="C247" s="31">
        <f>Données!Z247</f>
        <v>3373</v>
      </c>
      <c r="D247" s="244">
        <f>Ecrêtage!E247</f>
        <v>24.825752343894539</v>
      </c>
      <c r="E247" s="244">
        <f t="shared" si="14"/>
        <v>21.34589236802989</v>
      </c>
      <c r="F247" s="244">
        <f>+Données!X247</f>
        <v>70.5</v>
      </c>
      <c r="G247" s="392">
        <f t="shared" si="15"/>
        <v>-1370514.1935134393</v>
      </c>
      <c r="H247" s="164">
        <f t="shared" si="12"/>
        <v>1.0433732013216894</v>
      </c>
      <c r="I247" s="42">
        <f t="shared" si="13"/>
        <v>-1429957.7815429305</v>
      </c>
    </row>
    <row r="248" spans="1:9" x14ac:dyDescent="0.25">
      <c r="A248" s="38">
        <f>Données!A248</f>
        <v>5841</v>
      </c>
      <c r="B248" s="27" t="str">
        <f>Données!B248</f>
        <v>Château-d'Oex</v>
      </c>
      <c r="C248" s="31">
        <f>Données!Z248</f>
        <v>3494</v>
      </c>
      <c r="D248" s="244">
        <f>Ecrêtage!E248</f>
        <v>31.089750958382378</v>
      </c>
      <c r="E248" s="244">
        <f t="shared" si="14"/>
        <v>15.081893753542051</v>
      </c>
      <c r="F248" s="244">
        <f>+Données!X248</f>
        <v>81.5</v>
      </c>
      <c r="G248" s="392">
        <f t="shared" si="15"/>
        <v>-1159578.4897311449</v>
      </c>
      <c r="H248" s="164">
        <f t="shared" si="12"/>
        <v>1.2061690199676267</v>
      </c>
      <c r="I248" s="42">
        <f t="shared" si="13"/>
        <v>-1398647.6505345558</v>
      </c>
    </row>
    <row r="249" spans="1:9" x14ac:dyDescent="0.25">
      <c r="A249" s="38">
        <f>Données!A249</f>
        <v>5842</v>
      </c>
      <c r="B249" s="27" t="str">
        <f>Données!B249</f>
        <v>Rossinière</v>
      </c>
      <c r="C249" s="31">
        <f>Données!Z249</f>
        <v>537</v>
      </c>
      <c r="D249" s="244">
        <f>Ecrêtage!E249</f>
        <v>27.010778670902905</v>
      </c>
      <c r="E249" s="244">
        <f t="shared" si="14"/>
        <v>19.160866041021524</v>
      </c>
      <c r="F249" s="244">
        <f>+Données!X249</f>
        <v>81</v>
      </c>
      <c r="G249" s="392">
        <f t="shared" si="15"/>
        <v>-225028.85135030458</v>
      </c>
      <c r="H249" s="164">
        <f t="shared" si="12"/>
        <v>1.1987692100291751</v>
      </c>
      <c r="I249" s="42">
        <f t="shared" si="13"/>
        <v>-269757.6583669773</v>
      </c>
    </row>
    <row r="250" spans="1:9" x14ac:dyDescent="0.25">
      <c r="A250" s="38">
        <f>Données!A250</f>
        <v>5843</v>
      </c>
      <c r="B250" s="27" t="str">
        <f>Données!B250</f>
        <v>Rougemont</v>
      </c>
      <c r="C250" s="31">
        <f>Données!Z250</f>
        <v>863</v>
      </c>
      <c r="D250" s="244">
        <f>Ecrêtage!E250</f>
        <v>116.39982788264291</v>
      </c>
      <c r="E250" s="244">
        <f t="shared" si="14"/>
        <v>0</v>
      </c>
      <c r="F250" s="244">
        <f>+Données!X250</f>
        <v>74</v>
      </c>
      <c r="G250" s="392">
        <f t="shared" si="15"/>
        <v>0</v>
      </c>
      <c r="H250" s="164">
        <f t="shared" si="12"/>
        <v>1.0951718708908513</v>
      </c>
      <c r="I250" s="42">
        <f t="shared" si="13"/>
        <v>0</v>
      </c>
    </row>
    <row r="251" spans="1:9" x14ac:dyDescent="0.25">
      <c r="A251" s="38">
        <f>Données!A251</f>
        <v>5851</v>
      </c>
      <c r="B251" s="27" t="str">
        <f>Données!B251</f>
        <v>Allaman</v>
      </c>
      <c r="C251" s="31">
        <f>Données!Z251</f>
        <v>443</v>
      </c>
      <c r="D251" s="244">
        <f>Ecrêtage!E251</f>
        <v>54.807708983414742</v>
      </c>
      <c r="E251" s="244">
        <f t="shared" si="14"/>
        <v>0</v>
      </c>
      <c r="F251" s="244">
        <f>+Données!X251</f>
        <v>60</v>
      </c>
      <c r="G251" s="392">
        <f t="shared" si="15"/>
        <v>0</v>
      </c>
      <c r="H251" s="164">
        <f t="shared" si="12"/>
        <v>0.88797719261420371</v>
      </c>
      <c r="I251" s="42">
        <f t="shared" si="13"/>
        <v>0</v>
      </c>
    </row>
    <row r="252" spans="1:9" x14ac:dyDescent="0.25">
      <c r="A252" s="38">
        <f>Données!A252</f>
        <v>5852</v>
      </c>
      <c r="B252" s="27" t="str">
        <f>Données!B252</f>
        <v>Bursinel</v>
      </c>
      <c r="C252" s="31">
        <f>Données!Z252</f>
        <v>491</v>
      </c>
      <c r="D252" s="244">
        <f>Ecrêtage!E252</f>
        <v>82.895500445523624</v>
      </c>
      <c r="E252" s="244">
        <f t="shared" si="14"/>
        <v>0</v>
      </c>
      <c r="F252" s="244">
        <f>+Données!X252</f>
        <v>65.5</v>
      </c>
      <c r="G252" s="392">
        <f t="shared" si="15"/>
        <v>0</v>
      </c>
      <c r="H252" s="164">
        <f t="shared" si="12"/>
        <v>0.96937510193717247</v>
      </c>
      <c r="I252" s="42">
        <f t="shared" si="13"/>
        <v>0</v>
      </c>
    </row>
    <row r="253" spans="1:9" x14ac:dyDescent="0.25">
      <c r="A253" s="38">
        <f>Données!A253</f>
        <v>5853</v>
      </c>
      <c r="B253" s="27" t="str">
        <f>Données!B253</f>
        <v>Bursins</v>
      </c>
      <c r="C253" s="31">
        <f>Données!Z253</f>
        <v>773</v>
      </c>
      <c r="D253" s="244">
        <f>Ecrêtage!E253</f>
        <v>54.330154578461155</v>
      </c>
      <c r="E253" s="244">
        <f t="shared" si="14"/>
        <v>0</v>
      </c>
      <c r="F253" s="244">
        <f>+Données!X253</f>
        <v>71</v>
      </c>
      <c r="G253" s="392">
        <f t="shared" si="15"/>
        <v>0</v>
      </c>
      <c r="H253" s="164">
        <f t="shared" si="12"/>
        <v>1.050773011260141</v>
      </c>
      <c r="I253" s="42">
        <f t="shared" si="13"/>
        <v>0</v>
      </c>
    </row>
    <row r="254" spans="1:9" x14ac:dyDescent="0.25">
      <c r="A254" s="38">
        <f>Données!A254</f>
        <v>5854</v>
      </c>
      <c r="B254" s="27" t="str">
        <f>Données!B254</f>
        <v>Burtigny</v>
      </c>
      <c r="C254" s="31">
        <f>Données!Z254</f>
        <v>404</v>
      </c>
      <c r="D254" s="244">
        <f>Ecrêtage!E254</f>
        <v>26.690327165793846</v>
      </c>
      <c r="E254" s="244">
        <f t="shared" si="14"/>
        <v>19.481317546130583</v>
      </c>
      <c r="F254" s="244">
        <f>+Données!X254</f>
        <v>80</v>
      </c>
      <c r="G254" s="392">
        <f t="shared" si="15"/>
        <v>-170001.76943455395</v>
      </c>
      <c r="H254" s="164">
        <f t="shared" si="12"/>
        <v>1.1839695901522718</v>
      </c>
      <c r="I254" s="42">
        <f t="shared" si="13"/>
        <v>-201276.92528258983</v>
      </c>
    </row>
    <row r="255" spans="1:9" x14ac:dyDescent="0.25">
      <c r="A255" s="38">
        <f>Données!A255</f>
        <v>5855</v>
      </c>
      <c r="B255" s="27" t="str">
        <f>Données!B255</f>
        <v>Dully</v>
      </c>
      <c r="C255" s="31">
        <f>Données!Z255</f>
        <v>628</v>
      </c>
      <c r="D255" s="244">
        <f>Ecrêtage!E255</f>
        <v>156.25920994557876</v>
      </c>
      <c r="E255" s="244">
        <f t="shared" si="14"/>
        <v>0</v>
      </c>
      <c r="F255" s="244">
        <f>+Données!X255</f>
        <v>49</v>
      </c>
      <c r="G255" s="392">
        <f t="shared" si="15"/>
        <v>0</v>
      </c>
      <c r="H255" s="164">
        <f t="shared" si="12"/>
        <v>0.72518137396826643</v>
      </c>
      <c r="I255" s="42">
        <f t="shared" si="13"/>
        <v>0</v>
      </c>
    </row>
    <row r="256" spans="1:9" x14ac:dyDescent="0.25">
      <c r="A256" s="38">
        <f>Données!A256</f>
        <v>5856</v>
      </c>
      <c r="B256" s="27" t="str">
        <f>Données!B256</f>
        <v>Essertines-sur-Rolle</v>
      </c>
      <c r="C256" s="31">
        <f>Données!Z256</f>
        <v>740</v>
      </c>
      <c r="D256" s="244">
        <f>Ecrêtage!E256</f>
        <v>48.258349455516836</v>
      </c>
      <c r="E256" s="244">
        <f t="shared" si="14"/>
        <v>0</v>
      </c>
      <c r="F256" s="244">
        <f>+Données!X256</f>
        <v>66.5</v>
      </c>
      <c r="G256" s="392">
        <f t="shared" si="15"/>
        <v>0</v>
      </c>
      <c r="H256" s="164">
        <f t="shared" si="12"/>
        <v>0.98417472181407584</v>
      </c>
      <c r="I256" s="42">
        <f t="shared" si="13"/>
        <v>0</v>
      </c>
    </row>
    <row r="257" spans="1:9" x14ac:dyDescent="0.25">
      <c r="A257" s="38">
        <f>Données!A257</f>
        <v>5857</v>
      </c>
      <c r="B257" s="27" t="str">
        <f>Données!B257</f>
        <v>Gilly</v>
      </c>
      <c r="C257" s="31">
        <f>Données!Z257</f>
        <v>1428</v>
      </c>
      <c r="D257" s="244">
        <f>Ecrêtage!E257</f>
        <v>57.520006297092472</v>
      </c>
      <c r="E257" s="244">
        <f t="shared" si="14"/>
        <v>0</v>
      </c>
      <c r="F257" s="244">
        <f>+Données!X257</f>
        <v>64.5</v>
      </c>
      <c r="G257" s="392">
        <f t="shared" si="15"/>
        <v>0</v>
      </c>
      <c r="H257" s="164">
        <f t="shared" si="12"/>
        <v>0.95457548206026899</v>
      </c>
      <c r="I257" s="42">
        <f t="shared" si="13"/>
        <v>0</v>
      </c>
    </row>
    <row r="258" spans="1:9" x14ac:dyDescent="0.25">
      <c r="A258" s="38">
        <f>Données!A258</f>
        <v>5858</v>
      </c>
      <c r="B258" s="27" t="str">
        <f>Données!B258</f>
        <v>Luins</v>
      </c>
      <c r="C258" s="31">
        <f>Données!Z258</f>
        <v>619</v>
      </c>
      <c r="D258" s="244">
        <f>Ecrêtage!E258</f>
        <v>65.0685624334658</v>
      </c>
      <c r="E258" s="244">
        <f t="shared" si="14"/>
        <v>0</v>
      </c>
      <c r="F258" s="244">
        <f>+Données!X258</f>
        <v>58.5</v>
      </c>
      <c r="G258" s="392">
        <f t="shared" si="15"/>
        <v>0</v>
      </c>
      <c r="H258" s="164">
        <f t="shared" si="12"/>
        <v>0.86577776279884866</v>
      </c>
      <c r="I258" s="42">
        <f t="shared" si="13"/>
        <v>0</v>
      </c>
    </row>
    <row r="259" spans="1:9" x14ac:dyDescent="0.25">
      <c r="A259" s="38">
        <f>Données!A259</f>
        <v>5859</v>
      </c>
      <c r="B259" s="27" t="str">
        <f>Données!B259</f>
        <v>Mont-sur-Rolle</v>
      </c>
      <c r="C259" s="31">
        <f>Données!Z259</f>
        <v>2646</v>
      </c>
      <c r="D259" s="244">
        <f>Ecrêtage!E259</f>
        <v>55.344165397072487</v>
      </c>
      <c r="E259" s="244">
        <f t="shared" si="14"/>
        <v>0</v>
      </c>
      <c r="F259" s="244">
        <f>+Données!X259</f>
        <v>63.5</v>
      </c>
      <c r="G259" s="392">
        <f t="shared" si="15"/>
        <v>0</v>
      </c>
      <c r="H259" s="164">
        <f t="shared" si="12"/>
        <v>0.93977586218336562</v>
      </c>
      <c r="I259" s="42">
        <f t="shared" si="13"/>
        <v>0</v>
      </c>
    </row>
    <row r="260" spans="1:9" x14ac:dyDescent="0.25">
      <c r="A260" s="38">
        <f>Données!A260</f>
        <v>5860</v>
      </c>
      <c r="B260" s="27" t="str">
        <f>Données!B260</f>
        <v>Perroy</v>
      </c>
      <c r="C260" s="31">
        <f>Données!Z260</f>
        <v>1518</v>
      </c>
      <c r="D260" s="244">
        <f>Ecrêtage!E260</f>
        <v>72.591756104574841</v>
      </c>
      <c r="E260" s="244">
        <f t="shared" si="14"/>
        <v>0</v>
      </c>
      <c r="F260" s="244">
        <f>+Données!X260</f>
        <v>58.5</v>
      </c>
      <c r="G260" s="392">
        <f t="shared" si="15"/>
        <v>0</v>
      </c>
      <c r="H260" s="164">
        <f t="shared" si="12"/>
        <v>0.86577776279884866</v>
      </c>
      <c r="I260" s="42">
        <f t="shared" si="13"/>
        <v>0</v>
      </c>
    </row>
    <row r="261" spans="1:9" x14ac:dyDescent="0.25">
      <c r="A261" s="38">
        <f>Données!A261</f>
        <v>5861</v>
      </c>
      <c r="B261" s="27" t="str">
        <f>Données!B261</f>
        <v>Rolle</v>
      </c>
      <c r="C261" s="31">
        <f>Données!Z261</f>
        <v>6259</v>
      </c>
      <c r="D261" s="244">
        <f>Ecrêtage!E261</f>
        <v>106.05931185134891</v>
      </c>
      <c r="E261" s="244">
        <f t="shared" si="14"/>
        <v>0</v>
      </c>
      <c r="F261" s="244">
        <f>+Données!X261</f>
        <v>59.5</v>
      </c>
      <c r="G261" s="392">
        <f t="shared" si="15"/>
        <v>0</v>
      </c>
      <c r="H261" s="164">
        <f t="shared" si="12"/>
        <v>0.88057738267575203</v>
      </c>
      <c r="I261" s="42">
        <f t="shared" si="13"/>
        <v>0</v>
      </c>
    </row>
    <row r="262" spans="1:9" x14ac:dyDescent="0.25">
      <c r="A262" s="38">
        <f>Données!A262</f>
        <v>5862</v>
      </c>
      <c r="B262" s="27" t="str">
        <f>Données!B262</f>
        <v>Tartegnin</v>
      </c>
      <c r="C262" s="31">
        <f>Données!Z262</f>
        <v>236</v>
      </c>
      <c r="D262" s="244">
        <f>Ecrêtage!E262</f>
        <v>34.296487022840921</v>
      </c>
      <c r="E262" s="244">
        <f t="shared" si="14"/>
        <v>11.875157689083508</v>
      </c>
      <c r="F262" s="244">
        <f>+Données!X262</f>
        <v>79</v>
      </c>
      <c r="G262" s="392">
        <f t="shared" si="15"/>
        <v>-59778.11878792369</v>
      </c>
      <c r="H262" s="164">
        <f t="shared" ref="H262:H305" si="16">F262/$F$306</f>
        <v>1.1691699702753682</v>
      </c>
      <c r="I262" s="42">
        <f t="shared" ref="I262:I305" si="17">G262*H262</f>
        <v>-69890.781366394163</v>
      </c>
    </row>
    <row r="263" spans="1:9" x14ac:dyDescent="0.25">
      <c r="A263" s="38">
        <f>Données!A263</f>
        <v>5863</v>
      </c>
      <c r="B263" s="27" t="str">
        <f>Données!B263</f>
        <v>Vinzel</v>
      </c>
      <c r="C263" s="31">
        <f>Données!Z263</f>
        <v>385</v>
      </c>
      <c r="D263" s="244">
        <f>Ecrêtage!E263</f>
        <v>56.940835949054929</v>
      </c>
      <c r="E263" s="244">
        <f t="shared" ref="E263:E305" si="18">IF($D$306-D263&lt;0,0,$D$306-D263)</f>
        <v>0</v>
      </c>
      <c r="F263" s="244">
        <f>+Données!X263</f>
        <v>67</v>
      </c>
      <c r="G263" s="392">
        <f t="shared" ref="G263:G305" si="19">-((C263*E263*F263)*$E$5)</f>
        <v>0</v>
      </c>
      <c r="H263" s="164">
        <f t="shared" si="16"/>
        <v>0.99157453175252752</v>
      </c>
      <c r="I263" s="42">
        <f t="shared" si="17"/>
        <v>0</v>
      </c>
    </row>
    <row r="264" spans="1:9" x14ac:dyDescent="0.25">
      <c r="A264" s="38">
        <f>Données!A264</f>
        <v>5871</v>
      </c>
      <c r="B264" s="27" t="str">
        <f>Données!B264</f>
        <v>L'Abbaye</v>
      </c>
      <c r="C264" s="31">
        <f>Données!Z264</f>
        <v>1473</v>
      </c>
      <c r="D264" s="244">
        <f>Ecrêtage!E264</f>
        <v>33.594219063099338</v>
      </c>
      <c r="E264" s="244">
        <f t="shared" si="18"/>
        <v>12.577425648825091</v>
      </c>
      <c r="F264" s="244">
        <f>+Données!X264</f>
        <v>77.56</v>
      </c>
      <c r="G264" s="392">
        <f t="shared" si="19"/>
        <v>-387968.14657384029</v>
      </c>
      <c r="H264" s="164">
        <f t="shared" si="16"/>
        <v>1.1478585176526275</v>
      </c>
      <c r="I264" s="42">
        <f t="shared" si="17"/>
        <v>-445332.54162268562</v>
      </c>
    </row>
    <row r="265" spans="1:9" x14ac:dyDescent="0.25">
      <c r="A265" s="38">
        <f>Données!A265</f>
        <v>5872</v>
      </c>
      <c r="B265" s="27" t="str">
        <f>Données!B265</f>
        <v>Le Chenit</v>
      </c>
      <c r="C265" s="31">
        <f>Données!Z265</f>
        <v>4600</v>
      </c>
      <c r="D265" s="244">
        <f>Ecrêtage!E265</f>
        <v>50.891048963607872</v>
      </c>
      <c r="E265" s="244">
        <f t="shared" si="18"/>
        <v>0</v>
      </c>
      <c r="F265" s="244">
        <f>+Données!X265</f>
        <v>66.95</v>
      </c>
      <c r="G265" s="392">
        <f t="shared" si="19"/>
        <v>0</v>
      </c>
      <c r="H265" s="164">
        <f t="shared" si="16"/>
        <v>0.99083455075868243</v>
      </c>
      <c r="I265" s="42">
        <f t="shared" si="17"/>
        <v>0</v>
      </c>
    </row>
    <row r="266" spans="1:9" x14ac:dyDescent="0.25">
      <c r="A266" s="38">
        <f>Données!A266</f>
        <v>5873</v>
      </c>
      <c r="B266" s="27" t="str">
        <f>Données!B266</f>
        <v>Le Lieu</v>
      </c>
      <c r="C266" s="31">
        <f>Données!Z266</f>
        <v>888</v>
      </c>
      <c r="D266" s="244">
        <f>Ecrêtage!E266</f>
        <v>34.248468079081604</v>
      </c>
      <c r="E266" s="244">
        <f t="shared" si="18"/>
        <v>11.923176632842825</v>
      </c>
      <c r="F266" s="244">
        <f>+Données!X266</f>
        <v>70</v>
      </c>
      <c r="G266" s="392">
        <f t="shared" si="19"/>
        <v>-200109.05806432772</v>
      </c>
      <c r="H266" s="164">
        <f t="shared" si="16"/>
        <v>1.0359733913832376</v>
      </c>
      <c r="I266" s="42">
        <f t="shared" si="17"/>
        <v>-207307.65952940681</v>
      </c>
    </row>
    <row r="267" spans="1:9" x14ac:dyDescent="0.25">
      <c r="A267" s="38">
        <f>Données!A267</f>
        <v>5882</v>
      </c>
      <c r="B267" s="27" t="str">
        <f>Données!B267</f>
        <v>Chardonne</v>
      </c>
      <c r="C267" s="31">
        <f>Données!Z267</f>
        <v>3093</v>
      </c>
      <c r="D267" s="244">
        <f>Ecrêtage!E267</f>
        <v>57.869464933245425</v>
      </c>
      <c r="E267" s="244">
        <f t="shared" si="18"/>
        <v>0</v>
      </c>
      <c r="F267" s="244">
        <f>+Données!X267</f>
        <v>68</v>
      </c>
      <c r="G267" s="392">
        <f t="shared" si="19"/>
        <v>0</v>
      </c>
      <c r="H267" s="164">
        <f t="shared" si="16"/>
        <v>1.0063741516294309</v>
      </c>
      <c r="I267" s="42">
        <f t="shared" si="17"/>
        <v>0</v>
      </c>
    </row>
    <row r="268" spans="1:9" x14ac:dyDescent="0.25">
      <c r="A268" s="38">
        <f>Données!A268</f>
        <v>5883</v>
      </c>
      <c r="B268" s="27" t="str">
        <f>Données!B268</f>
        <v>Corseaux</v>
      </c>
      <c r="C268" s="31">
        <f>Données!Z268</f>
        <v>2311</v>
      </c>
      <c r="D268" s="244">
        <f>Ecrêtage!E268</f>
        <v>72.624383293728073</v>
      </c>
      <c r="E268" s="244">
        <f t="shared" si="18"/>
        <v>0</v>
      </c>
      <c r="F268" s="244">
        <f>+Données!X268</f>
        <v>67.5</v>
      </c>
      <c r="G268" s="392">
        <f t="shared" si="19"/>
        <v>0</v>
      </c>
      <c r="H268" s="164">
        <f t="shared" si="16"/>
        <v>0.99897434169097921</v>
      </c>
      <c r="I268" s="42">
        <f t="shared" si="17"/>
        <v>0</v>
      </c>
    </row>
    <row r="269" spans="1:9" x14ac:dyDescent="0.25">
      <c r="A269" s="38">
        <f>Données!A269</f>
        <v>5884</v>
      </c>
      <c r="B269" s="27" t="str">
        <f>Données!B269</f>
        <v>Corsier-sur-Vevey</v>
      </c>
      <c r="C269" s="31">
        <f>Données!Z269</f>
        <v>3420</v>
      </c>
      <c r="D269" s="244">
        <f>Ecrêtage!E269</f>
        <v>35.690286552624833</v>
      </c>
      <c r="E269" s="244">
        <f t="shared" si="18"/>
        <v>10.481358159299596</v>
      </c>
      <c r="F269" s="244">
        <f>+Données!X269</f>
        <v>66</v>
      </c>
      <c r="G269" s="392">
        <f t="shared" si="19"/>
        <v>-638780.08420361823</v>
      </c>
      <c r="H269" s="164">
        <f t="shared" si="16"/>
        <v>0.97677491187562415</v>
      </c>
      <c r="I269" s="42">
        <f t="shared" si="17"/>
        <v>-623944.36045589298</v>
      </c>
    </row>
    <row r="270" spans="1:9" x14ac:dyDescent="0.25">
      <c r="A270" s="38">
        <f>Données!A270</f>
        <v>5885</v>
      </c>
      <c r="B270" s="27" t="str">
        <f>Données!B270</f>
        <v>Jongny</v>
      </c>
      <c r="C270" s="31">
        <f>Données!Z270</f>
        <v>1670</v>
      </c>
      <c r="D270" s="244">
        <f>Ecrêtage!E270</f>
        <v>50.958770698151589</v>
      </c>
      <c r="E270" s="244">
        <f t="shared" si="18"/>
        <v>0</v>
      </c>
      <c r="F270" s="244">
        <f>+Données!X270</f>
        <v>69.5</v>
      </c>
      <c r="G270" s="392">
        <f t="shared" si="19"/>
        <v>0</v>
      </c>
      <c r="H270" s="164">
        <f t="shared" si="16"/>
        <v>1.0285735814447861</v>
      </c>
      <c r="I270" s="42">
        <f t="shared" si="17"/>
        <v>0</v>
      </c>
    </row>
    <row r="271" spans="1:9" x14ac:dyDescent="0.25">
      <c r="A271" s="38">
        <f>Données!A271</f>
        <v>5886</v>
      </c>
      <c r="B271" s="27" t="str">
        <f>Données!B271</f>
        <v>Montreux</v>
      </c>
      <c r="C271" s="31">
        <f>Données!Z271</f>
        <v>26180</v>
      </c>
      <c r="D271" s="244">
        <f>Ecrêtage!E271</f>
        <v>41.865914578153692</v>
      </c>
      <c r="E271" s="244">
        <f t="shared" si="18"/>
        <v>4.3057301337707372</v>
      </c>
      <c r="F271" s="244">
        <f>+Données!X271</f>
        <v>65</v>
      </c>
      <c r="G271" s="392">
        <f t="shared" si="19"/>
        <v>-1978306.461532169</v>
      </c>
      <c r="H271" s="164">
        <f t="shared" si="16"/>
        <v>0.96197529199872078</v>
      </c>
      <c r="I271" s="42">
        <f t="shared" si="17"/>
        <v>-1903081.9359953643</v>
      </c>
    </row>
    <row r="272" spans="1:9" x14ac:dyDescent="0.25">
      <c r="A272" s="38">
        <f>Données!A272</f>
        <v>5889</v>
      </c>
      <c r="B272" s="27" t="str">
        <f>Données!B272</f>
        <v>La Tour-de-Peilz</v>
      </c>
      <c r="C272" s="31">
        <f>Données!Z272</f>
        <v>12088</v>
      </c>
      <c r="D272" s="244">
        <f>Ecrêtage!E272</f>
        <v>55.796162009927926</v>
      </c>
      <c r="E272" s="244">
        <f t="shared" si="18"/>
        <v>0</v>
      </c>
      <c r="F272" s="244">
        <f>+Données!X272</f>
        <v>64</v>
      </c>
      <c r="G272" s="392">
        <f t="shared" si="19"/>
        <v>0</v>
      </c>
      <c r="H272" s="164">
        <f t="shared" si="16"/>
        <v>0.9471756721218173</v>
      </c>
      <c r="I272" s="42">
        <f t="shared" si="17"/>
        <v>0</v>
      </c>
    </row>
    <row r="273" spans="1:9" x14ac:dyDescent="0.25">
      <c r="A273" s="38">
        <f>Données!A273</f>
        <v>5890</v>
      </c>
      <c r="B273" s="27" t="str">
        <f>Données!B273</f>
        <v>Vevey</v>
      </c>
      <c r="C273" s="31">
        <f>Données!Z273</f>
        <v>19780</v>
      </c>
      <c r="D273" s="244">
        <f>Ecrêtage!E273</f>
        <v>43.421357455852345</v>
      </c>
      <c r="E273" s="244">
        <f t="shared" si="18"/>
        <v>2.7502872560720846</v>
      </c>
      <c r="F273" s="244">
        <f>+Données!X273</f>
        <v>74.5</v>
      </c>
      <c r="G273" s="392">
        <f t="shared" si="19"/>
        <v>-1094269.7169235039</v>
      </c>
      <c r="H273" s="164">
        <f t="shared" si="16"/>
        <v>1.1025716808293029</v>
      </c>
      <c r="I273" s="42">
        <f t="shared" si="17"/>
        <v>-1206510.8010689532</v>
      </c>
    </row>
    <row r="274" spans="1:9" x14ac:dyDescent="0.25">
      <c r="A274" s="38">
        <f>Données!A274</f>
        <v>5891</v>
      </c>
      <c r="B274" s="27" t="str">
        <f>Données!B274</f>
        <v>Veytaux</v>
      </c>
      <c r="C274" s="31">
        <f>Données!Z274</f>
        <v>956</v>
      </c>
      <c r="D274" s="244">
        <f>Ecrêtage!E274</f>
        <v>45.962780187998298</v>
      </c>
      <c r="E274" s="244">
        <f t="shared" si="18"/>
        <v>0.20886452392613108</v>
      </c>
      <c r="F274" s="244">
        <f>+Données!X274</f>
        <v>69.5</v>
      </c>
      <c r="G274" s="392">
        <f t="shared" si="19"/>
        <v>-3746.8917086490005</v>
      </c>
      <c r="H274" s="164">
        <f t="shared" si="16"/>
        <v>1.0285735814447861</v>
      </c>
      <c r="I274" s="42">
        <f t="shared" si="17"/>
        <v>-3853.9538240508764</v>
      </c>
    </row>
    <row r="275" spans="1:9" x14ac:dyDescent="0.25">
      <c r="A275" s="38">
        <f>Données!A275</f>
        <v>5892</v>
      </c>
      <c r="B275" s="27" t="str">
        <f>Données!B275</f>
        <v>Blonay-Saint-Légier</v>
      </c>
      <c r="C275" s="31">
        <f>Données!Z275</f>
        <v>11737</v>
      </c>
      <c r="D275" s="244">
        <f>Ecrêtage!E275</f>
        <v>59.059058585668922</v>
      </c>
      <c r="E275" s="244">
        <f t="shared" si="18"/>
        <v>0</v>
      </c>
      <c r="F275" s="244">
        <f>+Données!X275</f>
        <v>68.5</v>
      </c>
      <c r="G275" s="392">
        <f t="shared" si="19"/>
        <v>0</v>
      </c>
      <c r="H275" s="164">
        <f t="shared" si="16"/>
        <v>1.0137739615678827</v>
      </c>
      <c r="I275" s="42">
        <f t="shared" si="17"/>
        <v>0</v>
      </c>
    </row>
    <row r="276" spans="1:9" x14ac:dyDescent="0.25">
      <c r="A276" s="38">
        <f>Données!A276</f>
        <v>5902</v>
      </c>
      <c r="B276" s="27" t="str">
        <f>Données!B276</f>
        <v>Belmont-sur-Yverdon</v>
      </c>
      <c r="C276" s="31">
        <f>Données!Z276</f>
        <v>396</v>
      </c>
      <c r="D276" s="244">
        <f>Ecrêtage!E276</f>
        <v>29.591090719606793</v>
      </c>
      <c r="E276" s="244">
        <f t="shared" si="18"/>
        <v>16.580553992317636</v>
      </c>
      <c r="F276" s="244">
        <f>+Données!X276</f>
        <v>70</v>
      </c>
      <c r="G276" s="392">
        <f t="shared" si="19"/>
        <v>-124095.49830010213</v>
      </c>
      <c r="H276" s="164">
        <f t="shared" si="16"/>
        <v>1.0359733913832376</v>
      </c>
      <c r="I276" s="42">
        <f t="shared" si="17"/>
        <v>-128559.63422934961</v>
      </c>
    </row>
    <row r="277" spans="1:9" x14ac:dyDescent="0.25">
      <c r="A277" s="38">
        <f>Données!A277</f>
        <v>5903</v>
      </c>
      <c r="B277" s="27" t="str">
        <f>Données!B277</f>
        <v>Bioley-Magnoux</v>
      </c>
      <c r="C277" s="31">
        <f>Données!Z277</f>
        <v>230</v>
      </c>
      <c r="D277" s="244">
        <f>Ecrêtage!E277</f>
        <v>21.842540804002759</v>
      </c>
      <c r="E277" s="244">
        <f t="shared" si="18"/>
        <v>24.32910390792167</v>
      </c>
      <c r="F277" s="244">
        <f>+Données!X277</f>
        <v>72</v>
      </c>
      <c r="G277" s="392">
        <f t="shared" si="19"/>
        <v>-108780.28939309939</v>
      </c>
      <c r="H277" s="164">
        <f t="shared" si="16"/>
        <v>1.0655726311370446</v>
      </c>
      <c r="I277" s="42">
        <f t="shared" si="17"/>
        <v>-115913.29918445405</v>
      </c>
    </row>
    <row r="278" spans="1:9" x14ac:dyDescent="0.25">
      <c r="A278" s="38">
        <f>Données!A278</f>
        <v>5904</v>
      </c>
      <c r="B278" s="27" t="str">
        <f>Données!B278</f>
        <v>Chamblon</v>
      </c>
      <c r="C278" s="31">
        <f>Données!Z278</f>
        <v>559</v>
      </c>
      <c r="D278" s="244">
        <f>Ecrêtage!E278</f>
        <v>38.806610278086474</v>
      </c>
      <c r="E278" s="244">
        <f t="shared" si="18"/>
        <v>7.3650344338379554</v>
      </c>
      <c r="F278" s="244">
        <f>+Données!X278</f>
        <v>66</v>
      </c>
      <c r="G278" s="392">
        <f t="shared" si="19"/>
        <v>-73365.906708544746</v>
      </c>
      <c r="H278" s="164">
        <f t="shared" si="16"/>
        <v>0.97677491187562415</v>
      </c>
      <c r="I278" s="42">
        <f t="shared" si="17"/>
        <v>-71661.977059914061</v>
      </c>
    </row>
    <row r="279" spans="1:9" x14ac:dyDescent="0.25">
      <c r="A279" s="38">
        <f>Données!A279</f>
        <v>5905</v>
      </c>
      <c r="B279" s="27" t="str">
        <f>Données!B279</f>
        <v>Champvent</v>
      </c>
      <c r="C279" s="31">
        <f>Données!Z279</f>
        <v>696</v>
      </c>
      <c r="D279" s="244">
        <f>Ecrêtage!E279</f>
        <v>31.082984841360283</v>
      </c>
      <c r="E279" s="244">
        <f t="shared" si="18"/>
        <v>15.088659870564147</v>
      </c>
      <c r="F279" s="244">
        <f>+Données!X279</f>
        <v>71</v>
      </c>
      <c r="G279" s="392">
        <f t="shared" si="19"/>
        <v>-201317.72836422545</v>
      </c>
      <c r="H279" s="164">
        <f t="shared" si="16"/>
        <v>1.050773011260141</v>
      </c>
      <c r="I279" s="42">
        <f t="shared" si="17"/>
        <v>-211539.23565332827</v>
      </c>
    </row>
    <row r="280" spans="1:9" x14ac:dyDescent="0.25">
      <c r="A280" s="38">
        <f>Données!A280</f>
        <v>5907</v>
      </c>
      <c r="B280" s="27" t="str">
        <f>Données!B280</f>
        <v>Chavannes-le-Chêne</v>
      </c>
      <c r="C280" s="31">
        <f>Données!Z280</f>
        <v>324</v>
      </c>
      <c r="D280" s="244">
        <f>Ecrêtage!E280</f>
        <v>30.527438020851548</v>
      </c>
      <c r="E280" s="244">
        <f t="shared" si="18"/>
        <v>15.644206691072881</v>
      </c>
      <c r="F280" s="244">
        <f>+Données!X280</f>
        <v>75</v>
      </c>
      <c r="G280" s="392">
        <f t="shared" si="19"/>
        <v>-102641.64010012918</v>
      </c>
      <c r="H280" s="164">
        <f t="shared" si="16"/>
        <v>1.1099714907677547</v>
      </c>
      <c r="I280" s="42">
        <f t="shared" si="17"/>
        <v>-113929.29427678774</v>
      </c>
    </row>
    <row r="281" spans="1:9" x14ac:dyDescent="0.25">
      <c r="A281" s="38">
        <f>Données!A281</f>
        <v>5908</v>
      </c>
      <c r="B281" s="27" t="str">
        <f>Données!B281</f>
        <v>Chêne-Pâquier</v>
      </c>
      <c r="C281" s="31">
        <f>Données!Z281</f>
        <v>144</v>
      </c>
      <c r="D281" s="244">
        <f>Ecrêtage!E281</f>
        <v>45.155181170676407</v>
      </c>
      <c r="E281" s="244">
        <f t="shared" si="18"/>
        <v>1.0164635412480223</v>
      </c>
      <c r="F281" s="244">
        <f>+Données!X281</f>
        <v>79</v>
      </c>
      <c r="G281" s="392">
        <f t="shared" si="19"/>
        <v>-3122.0880962141255</v>
      </c>
      <c r="H281" s="164">
        <f t="shared" si="16"/>
        <v>1.1691699702753682</v>
      </c>
      <c r="I281" s="42">
        <f t="shared" si="17"/>
        <v>-3650.25164664775</v>
      </c>
    </row>
    <row r="282" spans="1:9" x14ac:dyDescent="0.25">
      <c r="A282" s="38">
        <f>Données!A282</f>
        <v>5909</v>
      </c>
      <c r="B282" s="27" t="str">
        <f>Données!B282</f>
        <v>Cheseaux-Noréaz</v>
      </c>
      <c r="C282" s="31">
        <f>Données!Z282</f>
        <v>741</v>
      </c>
      <c r="D282" s="244">
        <f>Ecrêtage!E282</f>
        <v>52.972797715955537</v>
      </c>
      <c r="E282" s="244">
        <f t="shared" si="18"/>
        <v>0</v>
      </c>
      <c r="F282" s="244">
        <f>+Données!X282</f>
        <v>67</v>
      </c>
      <c r="G282" s="392">
        <f t="shared" si="19"/>
        <v>0</v>
      </c>
      <c r="H282" s="164">
        <f t="shared" si="16"/>
        <v>0.99157453175252752</v>
      </c>
      <c r="I282" s="42">
        <f t="shared" si="17"/>
        <v>0</v>
      </c>
    </row>
    <row r="283" spans="1:9" x14ac:dyDescent="0.25">
      <c r="A283" s="38">
        <f>Données!A283</f>
        <v>5910</v>
      </c>
      <c r="B283" s="27" t="str">
        <f>Données!B283</f>
        <v>Cronay</v>
      </c>
      <c r="C283" s="31">
        <f>Données!Z283</f>
        <v>393</v>
      </c>
      <c r="D283" s="244">
        <f>Ecrêtage!E283</f>
        <v>25.380885423432694</v>
      </c>
      <c r="E283" s="244">
        <f t="shared" si="18"/>
        <v>20.790759288491735</v>
      </c>
      <c r="F283" s="244">
        <f>+Données!X283</f>
        <v>77</v>
      </c>
      <c r="G283" s="392">
        <f t="shared" si="19"/>
        <v>-169870.27504384308</v>
      </c>
      <c r="H283" s="164">
        <f t="shared" si="16"/>
        <v>1.1395707305215614</v>
      </c>
      <c r="I283" s="42">
        <f t="shared" si="17"/>
        <v>-193579.19342561084</v>
      </c>
    </row>
    <row r="284" spans="1:9" x14ac:dyDescent="0.25">
      <c r="A284" s="38">
        <f>Données!A284</f>
        <v>5911</v>
      </c>
      <c r="B284" s="27" t="str">
        <f>Données!B284</f>
        <v>Cuarny</v>
      </c>
      <c r="C284" s="31">
        <f>Données!Z284</f>
        <v>234</v>
      </c>
      <c r="D284" s="244">
        <f>Ecrêtage!E284</f>
        <v>29.653773039835713</v>
      </c>
      <c r="E284" s="244">
        <f t="shared" si="18"/>
        <v>16.517871672088717</v>
      </c>
      <c r="F284" s="244">
        <f>+Données!X284</f>
        <v>77</v>
      </c>
      <c r="G284" s="392">
        <f t="shared" si="19"/>
        <v>-80357.133182677528</v>
      </c>
      <c r="H284" s="164">
        <f t="shared" si="16"/>
        <v>1.1395707305215614</v>
      </c>
      <c r="I284" s="42">
        <f t="shared" si="17"/>
        <v>-91572.636963602228</v>
      </c>
    </row>
    <row r="285" spans="1:9" x14ac:dyDescent="0.25">
      <c r="A285" s="38">
        <f>Données!A285</f>
        <v>5912</v>
      </c>
      <c r="B285" s="27" t="str">
        <f>Données!B285</f>
        <v>Démoret</v>
      </c>
      <c r="C285" s="31">
        <f>Données!Z285</f>
        <v>158</v>
      </c>
      <c r="D285" s="244">
        <f>Ecrêtage!E285</f>
        <v>25.747485381290893</v>
      </c>
      <c r="E285" s="244">
        <f t="shared" si="18"/>
        <v>20.424159330633536</v>
      </c>
      <c r="F285" s="244">
        <f>+Données!X285</f>
        <v>81</v>
      </c>
      <c r="G285" s="392">
        <f t="shared" si="19"/>
        <v>-70574.865600630961</v>
      </c>
      <c r="H285" s="164">
        <f t="shared" si="16"/>
        <v>1.1987692100291751</v>
      </c>
      <c r="I285" s="42">
        <f t="shared" si="17"/>
        <v>-84602.975883983585</v>
      </c>
    </row>
    <row r="286" spans="1:9" x14ac:dyDescent="0.25">
      <c r="A286" s="38">
        <f>Données!A286</f>
        <v>5913</v>
      </c>
      <c r="B286" s="27" t="str">
        <f>Données!B286</f>
        <v>Donneloye</v>
      </c>
      <c r="C286" s="31">
        <f>Données!Z286</f>
        <v>829</v>
      </c>
      <c r="D286" s="244">
        <f>Ecrêtage!E286</f>
        <v>23.977560251278508</v>
      </c>
      <c r="E286" s="244">
        <f t="shared" si="18"/>
        <v>22.194084460645922</v>
      </c>
      <c r="F286" s="244">
        <f>+Données!X286</f>
        <v>73</v>
      </c>
      <c r="G286" s="392">
        <f t="shared" si="19"/>
        <v>-362642.24051232549</v>
      </c>
      <c r="H286" s="164">
        <f t="shared" si="16"/>
        <v>1.080372251013948</v>
      </c>
      <c r="I286" s="42">
        <f t="shared" si="17"/>
        <v>-391788.61369504262</v>
      </c>
    </row>
    <row r="287" spans="1:9" x14ac:dyDescent="0.25">
      <c r="A287" s="38">
        <f>Données!A287</f>
        <v>5914</v>
      </c>
      <c r="B287" s="27" t="str">
        <f>Données!B287</f>
        <v>Ependes</v>
      </c>
      <c r="C287" s="31">
        <f>Données!Z287</f>
        <v>388</v>
      </c>
      <c r="D287" s="244">
        <f>Ecrêtage!E287</f>
        <v>27.46001484329928</v>
      </c>
      <c r="E287" s="244">
        <f t="shared" si="18"/>
        <v>18.711629868625149</v>
      </c>
      <c r="F287" s="244">
        <f>+Données!X287</f>
        <v>73.5</v>
      </c>
      <c r="G287" s="392">
        <f t="shared" si="19"/>
        <v>-144076.93036023204</v>
      </c>
      <c r="H287" s="164">
        <f t="shared" si="16"/>
        <v>1.0877720609523995</v>
      </c>
      <c r="I287" s="42">
        <f t="shared" si="17"/>
        <v>-156722.85947364496</v>
      </c>
    </row>
    <row r="288" spans="1:9" x14ac:dyDescent="0.25">
      <c r="A288" s="38">
        <f>Données!A288</f>
        <v>5919</v>
      </c>
      <c r="B288" s="27" t="str">
        <f>Données!B288</f>
        <v>Mathod</v>
      </c>
      <c r="C288" s="31">
        <f>Données!Z288</f>
        <v>651</v>
      </c>
      <c r="D288" s="244">
        <f>Ecrêtage!E288</f>
        <v>33.100304651915515</v>
      </c>
      <c r="E288" s="244">
        <f t="shared" si="18"/>
        <v>13.071340060008914</v>
      </c>
      <c r="F288" s="244">
        <f>+Données!X288</f>
        <v>72</v>
      </c>
      <c r="G288" s="392">
        <f t="shared" si="19"/>
        <v>-165423.55984903924</v>
      </c>
      <c r="H288" s="164">
        <f t="shared" si="16"/>
        <v>1.0655726311370446</v>
      </c>
      <c r="I288" s="42">
        <f t="shared" si="17"/>
        <v>-176270.81792039712</v>
      </c>
    </row>
    <row r="289" spans="1:9" x14ac:dyDescent="0.25">
      <c r="A289" s="38">
        <f>Données!A289</f>
        <v>5921</v>
      </c>
      <c r="B289" s="27" t="str">
        <f>Données!B289</f>
        <v>Molondin</v>
      </c>
      <c r="C289" s="31">
        <f>Données!Z289</f>
        <v>252</v>
      </c>
      <c r="D289" s="244">
        <f>Ecrêtage!E289</f>
        <v>22.543181461885162</v>
      </c>
      <c r="E289" s="244">
        <f t="shared" si="18"/>
        <v>23.628463250039268</v>
      </c>
      <c r="F289" s="244">
        <f>+Données!X289</f>
        <v>81</v>
      </c>
      <c r="G289" s="392">
        <f t="shared" si="19"/>
        <v>-130222.13180214642</v>
      </c>
      <c r="H289" s="164">
        <f t="shared" si="16"/>
        <v>1.1987692100291751</v>
      </c>
      <c r="I289" s="42">
        <f t="shared" si="17"/>
        <v>-156106.28206877419</v>
      </c>
    </row>
    <row r="290" spans="1:9" x14ac:dyDescent="0.25">
      <c r="A290" s="38">
        <f>Données!A290</f>
        <v>5922</v>
      </c>
      <c r="B290" s="27" t="str">
        <f>Données!B290</f>
        <v>Montagny-près-Yverdon</v>
      </c>
      <c r="C290" s="31">
        <f>Données!Z290</f>
        <v>737</v>
      </c>
      <c r="D290" s="244">
        <f>Ecrêtage!E290</f>
        <v>45.029455999419447</v>
      </c>
      <c r="E290" s="244">
        <f t="shared" si="18"/>
        <v>1.1421887125049821</v>
      </c>
      <c r="F290" s="244">
        <f>+Données!X290</f>
        <v>63.5</v>
      </c>
      <c r="G290" s="392">
        <f t="shared" si="19"/>
        <v>-14432.542375736766</v>
      </c>
      <c r="H290" s="164">
        <f t="shared" si="16"/>
        <v>0.93977586218336562</v>
      </c>
      <c r="I290" s="42">
        <f t="shared" si="17"/>
        <v>-13563.354954655979</v>
      </c>
    </row>
    <row r="291" spans="1:9" x14ac:dyDescent="0.25">
      <c r="A291" s="38">
        <f>Données!A291</f>
        <v>5923</v>
      </c>
      <c r="B291" s="27" t="str">
        <f>Données!B291</f>
        <v>Oppens</v>
      </c>
      <c r="C291" s="31">
        <f>Données!Z291</f>
        <v>201</v>
      </c>
      <c r="D291" s="244">
        <f>Ecrêtage!E291</f>
        <v>23.872495882110904</v>
      </c>
      <c r="E291" s="244">
        <f t="shared" si="18"/>
        <v>22.299148829813525</v>
      </c>
      <c r="F291" s="244">
        <f>+Données!X291</f>
        <v>81</v>
      </c>
      <c r="G291" s="392">
        <f t="shared" si="19"/>
        <v>-98024.15936651238</v>
      </c>
      <c r="H291" s="164">
        <f t="shared" si="16"/>
        <v>1.1987692100291751</v>
      </c>
      <c r="I291" s="42">
        <f t="shared" si="17"/>
        <v>-117508.34408756801</v>
      </c>
    </row>
    <row r="292" spans="1:9" x14ac:dyDescent="0.25">
      <c r="A292" s="38">
        <f>Données!A292</f>
        <v>5924</v>
      </c>
      <c r="B292" s="27" t="str">
        <f>Données!B292</f>
        <v>Orges</v>
      </c>
      <c r="C292" s="31">
        <f>Données!Z292</f>
        <v>343</v>
      </c>
      <c r="D292" s="244">
        <f>Ecrêtage!E292</f>
        <v>36.489043713550068</v>
      </c>
      <c r="E292" s="244">
        <f t="shared" si="18"/>
        <v>9.6826009983743617</v>
      </c>
      <c r="F292" s="244">
        <f>+Données!X292</f>
        <v>74</v>
      </c>
      <c r="G292" s="392">
        <f t="shared" si="19"/>
        <v>-66356.220205999271</v>
      </c>
      <c r="H292" s="164">
        <f t="shared" si="16"/>
        <v>1.0951718708908513</v>
      </c>
      <c r="I292" s="42">
        <f t="shared" si="17"/>
        <v>-72671.465828249537</v>
      </c>
    </row>
    <row r="293" spans="1:9" x14ac:dyDescent="0.25">
      <c r="A293" s="38">
        <f>Données!A293</f>
        <v>5925</v>
      </c>
      <c r="B293" s="27" t="str">
        <f>Données!B293</f>
        <v>Orzens</v>
      </c>
      <c r="C293" s="31">
        <f>Données!Z293</f>
        <v>201</v>
      </c>
      <c r="D293" s="244">
        <f>Ecrêtage!E293</f>
        <v>29.279491781598335</v>
      </c>
      <c r="E293" s="244">
        <f t="shared" si="18"/>
        <v>16.892152930326095</v>
      </c>
      <c r="F293" s="244">
        <f>+Données!X293</f>
        <v>79</v>
      </c>
      <c r="G293" s="392">
        <f t="shared" si="19"/>
        <v>-72422.234022774981</v>
      </c>
      <c r="H293" s="164">
        <f t="shared" si="16"/>
        <v>1.1691699702753682</v>
      </c>
      <c r="I293" s="42">
        <f t="shared" si="17"/>
        <v>-84673.901199683576</v>
      </c>
    </row>
    <row r="294" spans="1:9" x14ac:dyDescent="0.25">
      <c r="A294" s="38">
        <f>Données!A294</f>
        <v>5926</v>
      </c>
      <c r="B294" s="27" t="str">
        <f>Données!B294</f>
        <v>Pomy</v>
      </c>
      <c r="C294" s="31">
        <f>Données!Z294</f>
        <v>803</v>
      </c>
      <c r="D294" s="244">
        <f>Ecrêtage!E294</f>
        <v>34.07417412067182</v>
      </c>
      <c r="E294" s="244">
        <f t="shared" si="18"/>
        <v>12.097470591252609</v>
      </c>
      <c r="F294" s="244">
        <f>+Données!X294</f>
        <v>71</v>
      </c>
      <c r="G294" s="392">
        <f t="shared" si="19"/>
        <v>-186222.53452115296</v>
      </c>
      <c r="H294" s="164">
        <f t="shared" si="16"/>
        <v>1.050773011260141</v>
      </c>
      <c r="I294" s="42">
        <f t="shared" si="17"/>
        <v>-195677.61336328747</v>
      </c>
    </row>
    <row r="295" spans="1:9" x14ac:dyDescent="0.25">
      <c r="A295" s="38">
        <f>Données!A295</f>
        <v>5928</v>
      </c>
      <c r="B295" s="27" t="str">
        <f>Données!B295</f>
        <v>Rovray</v>
      </c>
      <c r="C295" s="31">
        <f>Données!Z295</f>
        <v>204</v>
      </c>
      <c r="D295" s="244">
        <f>Ecrêtage!E295</f>
        <v>27.266765130387874</v>
      </c>
      <c r="E295" s="244">
        <f t="shared" si="18"/>
        <v>18.904879581536555</v>
      </c>
      <c r="F295" s="244">
        <f>+Données!X295</f>
        <v>71.5</v>
      </c>
      <c r="G295" s="392">
        <f t="shared" si="19"/>
        <v>-74451.574865598901</v>
      </c>
      <c r="H295" s="164">
        <f t="shared" si="16"/>
        <v>1.0581728211985928</v>
      </c>
      <c r="I295" s="42">
        <f t="shared" si="17"/>
        <v>-78782.633018209031</v>
      </c>
    </row>
    <row r="296" spans="1:9" x14ac:dyDescent="0.25">
      <c r="A296" s="38">
        <f>Données!A296</f>
        <v>5929</v>
      </c>
      <c r="B296" s="27" t="str">
        <f>Données!B296</f>
        <v>Suchy</v>
      </c>
      <c r="C296" s="31">
        <f>Données!Z296</f>
        <v>656</v>
      </c>
      <c r="D296" s="244">
        <f>Ecrêtage!E296</f>
        <v>30.210256454067366</v>
      </c>
      <c r="E296" s="244">
        <f t="shared" si="18"/>
        <v>15.961388257857063</v>
      </c>
      <c r="F296" s="244">
        <f>+Données!X296</f>
        <v>70</v>
      </c>
      <c r="G296" s="392">
        <f t="shared" si="19"/>
        <v>-197895.676176215</v>
      </c>
      <c r="H296" s="164">
        <f t="shared" si="16"/>
        <v>1.0359733913832376</v>
      </c>
      <c r="I296" s="42">
        <f t="shared" si="17"/>
        <v>-205014.65478835243</v>
      </c>
    </row>
    <row r="297" spans="1:9" x14ac:dyDescent="0.25">
      <c r="A297" s="38">
        <f>Données!A297</f>
        <v>5930</v>
      </c>
      <c r="B297" s="27" t="str">
        <f>Données!B297</f>
        <v>Suscévaz</v>
      </c>
      <c r="C297" s="31">
        <f>Données!Z297</f>
        <v>204</v>
      </c>
      <c r="D297" s="244">
        <f>Ecrêtage!E297</f>
        <v>28.273376873954586</v>
      </c>
      <c r="E297" s="244">
        <f t="shared" si="18"/>
        <v>17.898267837969843</v>
      </c>
      <c r="F297" s="244">
        <f>+Données!X297</f>
        <v>72</v>
      </c>
      <c r="G297" s="392">
        <f t="shared" si="19"/>
        <v>-70980.234661107286</v>
      </c>
      <c r="H297" s="164">
        <f t="shared" si="16"/>
        <v>1.0655726311370446</v>
      </c>
      <c r="I297" s="42">
        <f t="shared" si="17"/>
        <v>-75634.59540656094</v>
      </c>
    </row>
    <row r="298" spans="1:9" x14ac:dyDescent="0.25">
      <c r="A298" s="38">
        <f>Données!A298</f>
        <v>5931</v>
      </c>
      <c r="B298" s="27" t="str">
        <f>Données!B298</f>
        <v>Treycovagnes</v>
      </c>
      <c r="C298" s="31">
        <f>Données!Z298</f>
        <v>485</v>
      </c>
      <c r="D298" s="244">
        <f>Ecrêtage!E298</f>
        <v>31.708149207652038</v>
      </c>
      <c r="E298" s="244">
        <f t="shared" si="18"/>
        <v>14.463495504272391</v>
      </c>
      <c r="F298" s="244">
        <f>+Données!X298</f>
        <v>75</v>
      </c>
      <c r="G298" s="392">
        <f t="shared" si="19"/>
        <v>-142049.60522133522</v>
      </c>
      <c r="H298" s="164">
        <f t="shared" si="16"/>
        <v>1.1099714907677547</v>
      </c>
      <c r="I298" s="42">
        <f t="shared" si="17"/>
        <v>-157671.01207049648</v>
      </c>
    </row>
    <row r="299" spans="1:9" x14ac:dyDescent="0.25">
      <c r="A299" s="38">
        <f>Données!A299</f>
        <v>5932</v>
      </c>
      <c r="B299" s="27" t="str">
        <f>Données!B299</f>
        <v>Ursins</v>
      </c>
      <c r="C299" s="31">
        <f>Données!Z299</f>
        <v>238</v>
      </c>
      <c r="D299" s="244">
        <f>Ecrêtage!E299</f>
        <v>28.652411528791855</v>
      </c>
      <c r="E299" s="244">
        <f t="shared" si="18"/>
        <v>17.519233183132574</v>
      </c>
      <c r="F299" s="244">
        <f>+Données!X299</f>
        <v>75</v>
      </c>
      <c r="G299" s="392">
        <f t="shared" si="19"/>
        <v>-84433.944326107463</v>
      </c>
      <c r="H299" s="164">
        <f t="shared" si="16"/>
        <v>1.1099714907677547</v>
      </c>
      <c r="I299" s="42">
        <f t="shared" si="17"/>
        <v>-93719.271055051111</v>
      </c>
    </row>
    <row r="300" spans="1:9" x14ac:dyDescent="0.25">
      <c r="A300" s="38">
        <f>Données!A300</f>
        <v>5933</v>
      </c>
      <c r="B300" s="27" t="str">
        <f>Données!B300</f>
        <v>Valeyres-sous-Montagny</v>
      </c>
      <c r="C300" s="31">
        <f>Données!Z300</f>
        <v>714</v>
      </c>
      <c r="D300" s="244">
        <f>Ecrêtage!E300</f>
        <v>31.601408346263906</v>
      </c>
      <c r="E300" s="244">
        <f t="shared" si="18"/>
        <v>14.570236365660524</v>
      </c>
      <c r="F300" s="244">
        <f>+Données!X300</f>
        <v>70.5</v>
      </c>
      <c r="G300" s="392">
        <f t="shared" si="19"/>
        <v>-198023.93674332852</v>
      </c>
      <c r="H300" s="164">
        <f t="shared" si="16"/>
        <v>1.0433732013216894</v>
      </c>
      <c r="I300" s="42">
        <f t="shared" si="17"/>
        <v>-206612.86881821041</v>
      </c>
    </row>
    <row r="301" spans="1:9" x14ac:dyDescent="0.25">
      <c r="A301" s="38">
        <f>Données!A301</f>
        <v>5934</v>
      </c>
      <c r="B301" s="27" t="str">
        <f>Données!B301</f>
        <v>Valeyres-sous-Ursins</v>
      </c>
      <c r="C301" s="31">
        <f>Données!Z301</f>
        <v>241</v>
      </c>
      <c r="D301" s="244">
        <f>Ecrêtage!E301</f>
        <v>31.442482273228634</v>
      </c>
      <c r="E301" s="244">
        <f t="shared" si="18"/>
        <v>14.729162438695795</v>
      </c>
      <c r="F301" s="244">
        <f>+Données!X301</f>
        <v>79</v>
      </c>
      <c r="G301" s="392">
        <f t="shared" si="19"/>
        <v>-75715.701390988906</v>
      </c>
      <c r="H301" s="164">
        <f t="shared" si="16"/>
        <v>1.1691699702753682</v>
      </c>
      <c r="I301" s="42">
        <f t="shared" si="17"/>
        <v>-88524.524344681151</v>
      </c>
    </row>
    <row r="302" spans="1:9" x14ac:dyDescent="0.25">
      <c r="A302" s="38">
        <f>Données!A302</f>
        <v>5935</v>
      </c>
      <c r="B302" s="27" t="str">
        <f>Données!B302</f>
        <v>Villars-Epeney</v>
      </c>
      <c r="C302" s="31">
        <f>Données!Z302</f>
        <v>101</v>
      </c>
      <c r="D302" s="244">
        <f>Ecrêtage!E302</f>
        <v>38.891703181971977</v>
      </c>
      <c r="E302" s="244">
        <f t="shared" si="18"/>
        <v>7.2799415299524526</v>
      </c>
      <c r="F302" s="244">
        <f>+Données!X302</f>
        <v>60</v>
      </c>
      <c r="G302" s="392">
        <f t="shared" si="19"/>
        <v>-11911.440331308204</v>
      </c>
      <c r="H302" s="164">
        <f t="shared" si="16"/>
        <v>0.88797719261420371</v>
      </c>
      <c r="I302" s="42">
        <f t="shared" si="17"/>
        <v>-10577.087345386659</v>
      </c>
    </row>
    <row r="303" spans="1:9" x14ac:dyDescent="0.25">
      <c r="A303" s="38">
        <f>Données!A303</f>
        <v>5937</v>
      </c>
      <c r="B303" s="27" t="str">
        <f>Données!B303</f>
        <v>Vugelles-La Mothe</v>
      </c>
      <c r="C303" s="31">
        <f>Données!Z303</f>
        <v>138</v>
      </c>
      <c r="D303" s="244">
        <f>Ecrêtage!E303</f>
        <v>23.08651751635362</v>
      </c>
      <c r="E303" s="244">
        <f t="shared" si="18"/>
        <v>23.085127195570809</v>
      </c>
      <c r="F303" s="244">
        <f>+Données!X303</f>
        <v>70</v>
      </c>
      <c r="G303" s="392">
        <f t="shared" si="19"/>
        <v>-60210.628751487784</v>
      </c>
      <c r="H303" s="164">
        <f t="shared" si="16"/>
        <v>1.0359733913832376</v>
      </c>
      <c r="I303" s="42">
        <f t="shared" si="17"/>
        <v>-62376.609264995874</v>
      </c>
    </row>
    <row r="304" spans="1:9" x14ac:dyDescent="0.25">
      <c r="A304" s="38">
        <f>Données!A304</f>
        <v>5938</v>
      </c>
      <c r="B304" s="27" t="str">
        <f>Données!B304</f>
        <v>Yverdon-les-Bains</v>
      </c>
      <c r="C304" s="31">
        <f>Données!Z304</f>
        <v>29981</v>
      </c>
      <c r="D304" s="244">
        <f>Ecrêtage!E304</f>
        <v>26.513171001877552</v>
      </c>
      <c r="E304" s="244">
        <f t="shared" si="18"/>
        <v>19.658473710046877</v>
      </c>
      <c r="F304" s="244">
        <f>+Données!X304</f>
        <v>75</v>
      </c>
      <c r="G304" s="392">
        <f t="shared" si="19"/>
        <v>-11934959.181093538</v>
      </c>
      <c r="H304" s="164">
        <f t="shared" si="16"/>
        <v>1.1099714907677547</v>
      </c>
      <c r="I304" s="42">
        <f t="shared" si="17"/>
        <v>-13247464.434490696</v>
      </c>
    </row>
    <row r="305" spans="1:9" x14ac:dyDescent="0.25">
      <c r="A305" s="38">
        <f>Données!A305</f>
        <v>5939</v>
      </c>
      <c r="B305" s="27" t="str">
        <f>Données!B305</f>
        <v>Yvonand</v>
      </c>
      <c r="C305" s="31">
        <f>Données!Z305</f>
        <v>3467</v>
      </c>
      <c r="D305" s="244">
        <f>Ecrêtage!E305</f>
        <v>26.774919287516319</v>
      </c>
      <c r="E305" s="244">
        <f t="shared" si="18"/>
        <v>19.39672542440811</v>
      </c>
      <c r="F305" s="244">
        <f>+Données!X305</f>
        <v>71.5</v>
      </c>
      <c r="G305" s="426">
        <f t="shared" si="19"/>
        <v>-1298231.2702311948</v>
      </c>
      <c r="H305" s="164">
        <f t="shared" si="16"/>
        <v>1.0581728211985928</v>
      </c>
      <c r="I305" s="42">
        <f t="shared" si="17"/>
        <v>-1373753.0457887761</v>
      </c>
    </row>
    <row r="306" spans="1:9" x14ac:dyDescent="0.25">
      <c r="A306" s="25"/>
      <c r="B306" s="74">
        <f>COUNTA(B6:B305)</f>
        <v>300</v>
      </c>
      <c r="C306" s="9">
        <f>SUM(C6:C305)</f>
        <v>815300</v>
      </c>
      <c r="D306" s="17">
        <f>Ecrêtage!E306</f>
        <v>46.171644711924429</v>
      </c>
      <c r="E306" s="17"/>
      <c r="F306" s="165">
        <f>VPI!Q306</f>
        <v>67.569303017074205</v>
      </c>
      <c r="G306" s="337">
        <f>SUM(G6:G305)</f>
        <v>-120131088.44328108</v>
      </c>
      <c r="H306" s="390">
        <f>F306/F$306</f>
        <v>1</v>
      </c>
      <c r="I306" s="30">
        <f>SUM(I6:I305)</f>
        <v>-129294427.8205622</v>
      </c>
    </row>
  </sheetData>
  <sheetProtection sheet="1" objects="1" scenarios="1"/>
  <mergeCells count="8">
    <mergeCell ref="A4:A5"/>
    <mergeCell ref="I4:I5"/>
    <mergeCell ref="H4:H5"/>
    <mergeCell ref="F4:F5"/>
    <mergeCell ref="G4:G5"/>
    <mergeCell ref="B4:B5"/>
    <mergeCell ref="C4:C5"/>
    <mergeCell ref="D4:D5"/>
  </mergeCells>
  <phoneticPr fontId="21" type="noConversion"/>
  <hyperlinks>
    <hyperlink ref="E1" location="Population!A1" display="← Précédent" xr:uid="{FA7D792E-F931-4B28-A994-C274FA1E13DC}"/>
    <hyperlink ref="G1" location="DT!A1" display="Suivant →" xr:uid="{42740692-23A6-4EE7-A698-07672C5336C9}"/>
    <hyperlink ref="F1" location="'Table des matières'!A1" display="Table des             matières" xr:uid="{1F6BF085-4168-4E4A-85BB-BC1DC2C07F2A}"/>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theme="6" tint="0.39997558519241921"/>
  </sheetPr>
  <dimension ref="A1:AL306"/>
  <sheetViews>
    <sheetView zoomScaleNormal="100" workbookViewId="0">
      <pane ySplit="5" topLeftCell="A6" activePane="bottomLeft" state="frozen"/>
      <selection pane="bottomLeft"/>
    </sheetView>
  </sheetViews>
  <sheetFormatPr baseColWidth="10" defaultColWidth="10.75" defaultRowHeight="15" x14ac:dyDescent="0.25"/>
  <cols>
    <col min="1" max="1" width="7.25" style="11" customWidth="1"/>
    <col min="2" max="2" width="20.25" style="11" bestFit="1" customWidth="1"/>
    <col min="3" max="3" width="11.375" style="5" bestFit="1" customWidth="1"/>
    <col min="4" max="4" width="3.625" style="239" customWidth="1"/>
    <col min="5" max="5" width="10.75" style="5" bestFit="1" customWidth="1"/>
    <col min="6" max="6" width="12.5" style="5" customWidth="1"/>
    <col min="7" max="7" width="13.75" style="5" customWidth="1"/>
    <col min="8" max="8" width="13.25" style="5" customWidth="1"/>
    <col min="9" max="9" width="3.625" style="239" customWidth="1"/>
    <col min="10" max="10" width="9.875" style="5" bestFit="1" customWidth="1"/>
    <col min="11" max="11" width="12.5" style="5" customWidth="1"/>
    <col min="12" max="12" width="13" style="5" bestFit="1" customWidth="1"/>
    <col min="13" max="13" width="13.25" style="5" bestFit="1" customWidth="1"/>
    <col min="14" max="14" width="3.625" style="239" customWidth="1"/>
    <col min="15" max="15" width="13.875" style="5" customWidth="1"/>
    <col min="16" max="16" width="10" style="13" customWidth="1"/>
    <col min="17" max="17" width="2.5" style="11" customWidth="1"/>
    <col min="18" max="18" width="10.875" style="220" bestFit="1" customWidth="1"/>
    <col min="19" max="19" width="11.75" style="220" bestFit="1" customWidth="1"/>
    <col min="20" max="20" width="11.125" style="220" bestFit="1" customWidth="1"/>
    <col min="21" max="22" width="10.625" style="220" bestFit="1" customWidth="1"/>
    <col min="23" max="23" width="12.75" style="220" bestFit="1" customWidth="1"/>
    <col min="24" max="38" width="10.75" style="220"/>
    <col min="39" max="16384" width="10.75" style="11"/>
  </cols>
  <sheetData>
    <row r="1" spans="1:38" s="295" customFormat="1" ht="26.25" x14ac:dyDescent="0.4">
      <c r="A1" s="282" t="s">
        <v>412</v>
      </c>
      <c r="B1" s="287"/>
      <c r="C1" s="292"/>
      <c r="D1" s="293"/>
      <c r="E1" s="292"/>
      <c r="G1" s="415" t="s">
        <v>409</v>
      </c>
      <c r="H1" s="309" t="s">
        <v>401</v>
      </c>
      <c r="I1" s="646" t="s">
        <v>410</v>
      </c>
      <c r="J1" s="646"/>
      <c r="K1" s="292"/>
      <c r="O1" s="292"/>
      <c r="P1" s="294"/>
      <c r="Q1" s="289"/>
    </row>
    <row r="2" spans="1:38" s="33" customFormat="1" ht="15.75" x14ac:dyDescent="0.25">
      <c r="A2" s="360" t="str">
        <f>Paramètres!B4</f>
        <v>Acomptes 2022</v>
      </c>
      <c r="B2" s="32"/>
      <c r="C2" s="34"/>
      <c r="D2" s="169"/>
      <c r="E2" s="34"/>
      <c r="F2" s="34"/>
      <c r="G2" s="34"/>
      <c r="H2" s="34"/>
      <c r="I2" s="169"/>
      <c r="J2" s="34"/>
      <c r="K2" s="34"/>
      <c r="L2" s="34"/>
      <c r="M2" s="34"/>
      <c r="N2" s="169"/>
      <c r="O2" s="34"/>
      <c r="P2" s="80"/>
      <c r="Q2" s="220"/>
    </row>
    <row r="3" spans="1:38" s="220" customFormat="1" ht="25.5" customHeight="1" x14ac:dyDescent="0.25">
      <c r="C3" s="5"/>
      <c r="D3" s="239"/>
      <c r="E3" s="5"/>
      <c r="F3" s="5"/>
      <c r="G3" s="5"/>
      <c r="H3" s="5"/>
      <c r="I3" s="239"/>
      <c r="J3" s="5"/>
      <c r="K3" s="5"/>
      <c r="L3" s="5"/>
      <c r="M3" s="5"/>
      <c r="N3" s="239"/>
      <c r="O3" s="5"/>
      <c r="P3" s="240"/>
    </row>
    <row r="4" spans="1:38" ht="60" customHeight="1" x14ac:dyDescent="0.25">
      <c r="A4" s="638" t="s">
        <v>44</v>
      </c>
      <c r="B4" s="638" t="s">
        <v>84</v>
      </c>
      <c r="C4" s="587" t="s">
        <v>506</v>
      </c>
      <c r="D4" s="342"/>
      <c r="E4" s="587" t="s">
        <v>435</v>
      </c>
      <c r="F4" s="587" t="s">
        <v>43</v>
      </c>
      <c r="G4" s="308" t="s">
        <v>257</v>
      </c>
      <c r="H4" s="308" t="s">
        <v>520</v>
      </c>
      <c r="I4" s="342"/>
      <c r="J4" s="587" t="s">
        <v>434</v>
      </c>
      <c r="K4" s="587" t="s">
        <v>433</v>
      </c>
      <c r="L4" s="308" t="s">
        <v>190</v>
      </c>
      <c r="M4" s="308" t="s">
        <v>521</v>
      </c>
      <c r="N4" s="342"/>
      <c r="O4" s="587" t="s">
        <v>522</v>
      </c>
      <c r="P4" s="220"/>
      <c r="Q4" s="220"/>
      <c r="AF4" s="11"/>
      <c r="AG4" s="11"/>
      <c r="AH4" s="11"/>
      <c r="AI4" s="11"/>
      <c r="AJ4" s="11"/>
      <c r="AK4" s="11"/>
      <c r="AL4" s="11"/>
    </row>
    <row r="5" spans="1:38" x14ac:dyDescent="0.25">
      <c r="A5" s="639"/>
      <c r="B5" s="640"/>
      <c r="C5" s="594"/>
      <c r="D5" s="342"/>
      <c r="E5" s="594"/>
      <c r="F5" s="588"/>
      <c r="G5" s="338">
        <f>Paramètres!B39</f>
        <v>8</v>
      </c>
      <c r="H5" s="339">
        <f>+Paramètres!C39</f>
        <v>0.75</v>
      </c>
      <c r="I5" s="343"/>
      <c r="J5" s="594"/>
      <c r="K5" s="594"/>
      <c r="L5" s="338">
        <f>Paramètres!B40</f>
        <v>1</v>
      </c>
      <c r="M5" s="341">
        <f>+Paramètres!C40</f>
        <v>0.75</v>
      </c>
      <c r="N5" s="343"/>
      <c r="O5" s="588"/>
      <c r="P5" s="220"/>
      <c r="Q5" s="220"/>
      <c r="AF5" s="11"/>
      <c r="AG5" s="11"/>
      <c r="AH5" s="11"/>
      <c r="AI5" s="11"/>
      <c r="AJ5" s="11"/>
      <c r="AK5" s="11"/>
      <c r="AL5" s="11"/>
    </row>
    <row r="6" spans="1:38" x14ac:dyDescent="0.25">
      <c r="A6" s="36">
        <f>+Données!A6</f>
        <v>5401</v>
      </c>
      <c r="B6" s="250" t="str">
        <f>+Données!B6</f>
        <v>Aigle</v>
      </c>
      <c r="C6" s="237">
        <f>+Ecrêtage!C6</f>
        <v>283957.57045177044</v>
      </c>
      <c r="D6" s="236"/>
      <c r="E6" s="237">
        <f>Données!AF6+Données!AG6+Données!AH6</f>
        <v>6430649</v>
      </c>
      <c r="F6" s="168">
        <f t="shared" ref="F6:F69" si="0">+C6*$G$5</f>
        <v>2271660.5636141635</v>
      </c>
      <c r="G6" s="41">
        <f>IF(E6&gt;F6,E6-F6,0)</f>
        <v>4158988.4363858365</v>
      </c>
      <c r="H6" s="317">
        <f>-G6*H$5</f>
        <v>-3119241.3272893773</v>
      </c>
      <c r="J6" s="41">
        <f>Données!AN6</f>
        <v>340363</v>
      </c>
      <c r="K6" s="217">
        <f t="shared" ref="K6:K69" si="1">C6*L$5</f>
        <v>283957.57045177044</v>
      </c>
      <c r="L6" s="50">
        <f>IF(J6&gt;K6,J6-K6,0)</f>
        <v>56405.429548229557</v>
      </c>
      <c r="M6" s="336">
        <f>-L6*M$5</f>
        <v>-42304.072161172167</v>
      </c>
      <c r="O6" s="64">
        <f t="shared" ref="O6:O37" si="2">M6+H6</f>
        <v>-3161545.3994505494</v>
      </c>
      <c r="P6" s="274"/>
      <c r="Q6" s="229"/>
      <c r="R6" s="229"/>
      <c r="S6" s="229"/>
      <c r="T6" s="229"/>
      <c r="U6" s="229"/>
      <c r="AF6" s="11"/>
      <c r="AG6" s="11"/>
      <c r="AH6" s="11"/>
      <c r="AI6" s="11"/>
      <c r="AJ6" s="11"/>
      <c r="AK6" s="11"/>
      <c r="AL6" s="11"/>
    </row>
    <row r="7" spans="1:38" x14ac:dyDescent="0.25">
      <c r="A7" s="38">
        <f>+Données!A7</f>
        <v>5402</v>
      </c>
      <c r="B7" s="250" t="str">
        <f>+Données!B7</f>
        <v>Bex</v>
      </c>
      <c r="C7" s="238">
        <f>+Ecrêtage!C7</f>
        <v>178942.44507064961</v>
      </c>
      <c r="D7" s="236"/>
      <c r="E7" s="238">
        <f>Données!AF7+Données!AG7+Données!AH7</f>
        <v>3906195</v>
      </c>
      <c r="F7" s="236">
        <f t="shared" si="0"/>
        <v>1431539.5605651969</v>
      </c>
      <c r="G7" s="8">
        <f t="shared" ref="G7:G70" si="3">IF(E7&gt;F7,E7-F7,0)</f>
        <v>2474655.4394348031</v>
      </c>
      <c r="H7" s="317">
        <f t="shared" ref="H7:H70" si="4">-G7*H$5</f>
        <v>-1855991.5795761023</v>
      </c>
      <c r="J7" s="8">
        <f>Données!AN7</f>
        <v>445583</v>
      </c>
      <c r="K7" s="216">
        <f t="shared" si="1"/>
        <v>178942.44507064961</v>
      </c>
      <c r="L7" s="12">
        <f t="shared" ref="L7:L70" si="5">IF(J7&gt;K7,J7-K7,0)</f>
        <v>266640.55492935039</v>
      </c>
      <c r="M7" s="317">
        <f t="shared" ref="M7:M70" si="6">-L7*M$5</f>
        <v>-199980.41619701279</v>
      </c>
      <c r="O7" s="42">
        <f t="shared" si="2"/>
        <v>-2055971.9957731152</v>
      </c>
      <c r="P7" s="274"/>
      <c r="Q7" s="229"/>
      <c r="R7" s="229"/>
      <c r="S7" s="229"/>
      <c r="T7" s="229"/>
      <c r="U7" s="229"/>
      <c r="AF7" s="11"/>
      <c r="AG7" s="11"/>
      <c r="AH7" s="11"/>
      <c r="AI7" s="11"/>
      <c r="AJ7" s="11"/>
      <c r="AK7" s="11"/>
      <c r="AL7" s="11"/>
    </row>
    <row r="8" spans="1:38" x14ac:dyDescent="0.25">
      <c r="A8" s="38">
        <f>+Données!A8</f>
        <v>5403</v>
      </c>
      <c r="B8" s="250" t="str">
        <f>+Données!B8</f>
        <v>Chessel</v>
      </c>
      <c r="C8" s="238">
        <f>+Ecrêtage!C8</f>
        <v>10796.246764670586</v>
      </c>
      <c r="D8" s="236"/>
      <c r="E8" s="238">
        <f>Données!AF8+Données!AG8+Données!AH8</f>
        <v>87715</v>
      </c>
      <c r="F8" s="236">
        <f t="shared" si="0"/>
        <v>86369.974117364691</v>
      </c>
      <c r="G8" s="8">
        <f t="shared" si="3"/>
        <v>1345.0258826353092</v>
      </c>
      <c r="H8" s="317">
        <f t="shared" si="4"/>
        <v>-1008.7694119764819</v>
      </c>
      <c r="J8" s="8">
        <f>Données!AN8</f>
        <v>30949</v>
      </c>
      <c r="K8" s="216">
        <f t="shared" si="1"/>
        <v>10796.246764670586</v>
      </c>
      <c r="L8" s="12">
        <f t="shared" si="5"/>
        <v>20152.753235329415</v>
      </c>
      <c r="M8" s="317">
        <f t="shared" si="6"/>
        <v>-15114.564926497062</v>
      </c>
      <c r="O8" s="42">
        <f t="shared" si="2"/>
        <v>-16123.334338473544</v>
      </c>
      <c r="P8" s="274"/>
      <c r="Q8" s="229"/>
      <c r="R8" s="229"/>
      <c r="S8" s="229"/>
      <c r="T8" s="229"/>
      <c r="U8" s="229"/>
      <c r="AF8" s="11"/>
      <c r="AG8" s="11"/>
      <c r="AH8" s="11"/>
      <c r="AI8" s="11"/>
      <c r="AJ8" s="11"/>
      <c r="AK8" s="11"/>
      <c r="AL8" s="11"/>
    </row>
    <row r="9" spans="1:38" x14ac:dyDescent="0.25">
      <c r="A9" s="38">
        <f>+Données!A9</f>
        <v>5404</v>
      </c>
      <c r="B9" s="250" t="str">
        <f>+Données!B9</f>
        <v>Corbeyrier</v>
      </c>
      <c r="C9" s="238">
        <f>+Ecrêtage!C9</f>
        <v>11266.447111519699</v>
      </c>
      <c r="D9" s="236"/>
      <c r="E9" s="238">
        <f>Données!AF9+Données!AG9+Données!AH9</f>
        <v>242136</v>
      </c>
      <c r="F9" s="236">
        <f t="shared" si="0"/>
        <v>90131.576892157595</v>
      </c>
      <c r="G9" s="8">
        <f t="shared" si="3"/>
        <v>152004.42310784239</v>
      </c>
      <c r="H9" s="317">
        <f t="shared" si="4"/>
        <v>-114003.31733088179</v>
      </c>
      <c r="J9" s="8">
        <f>Données!AN9</f>
        <v>35973</v>
      </c>
      <c r="K9" s="216">
        <f t="shared" si="1"/>
        <v>11266.447111519699</v>
      </c>
      <c r="L9" s="12">
        <f t="shared" si="5"/>
        <v>24706.552888480299</v>
      </c>
      <c r="M9" s="317">
        <f t="shared" si="6"/>
        <v>-18529.914666360222</v>
      </c>
      <c r="O9" s="42">
        <f t="shared" si="2"/>
        <v>-132533.23199724202</v>
      </c>
      <c r="P9" s="274"/>
      <c r="Q9" s="229"/>
      <c r="R9" s="229"/>
      <c r="S9" s="229"/>
      <c r="T9" s="229"/>
      <c r="U9" s="229"/>
      <c r="AF9" s="11"/>
      <c r="AG9" s="11"/>
      <c r="AH9" s="11"/>
      <c r="AI9" s="11"/>
      <c r="AJ9" s="11"/>
      <c r="AK9" s="11"/>
      <c r="AL9" s="11"/>
    </row>
    <row r="10" spans="1:38" x14ac:dyDescent="0.25">
      <c r="A10" s="38">
        <f>+Données!A10</f>
        <v>5405</v>
      </c>
      <c r="B10" s="250" t="str">
        <f>+Données!B10</f>
        <v>Gryon</v>
      </c>
      <c r="C10" s="238">
        <f>+Ecrêtage!C10</f>
        <v>68176.099678718238</v>
      </c>
      <c r="D10" s="236"/>
      <c r="E10" s="238">
        <f>Données!AF10+Données!AG10+Données!AH10</f>
        <v>1689916</v>
      </c>
      <c r="F10" s="236">
        <f t="shared" si="0"/>
        <v>545408.7974297459</v>
      </c>
      <c r="G10" s="8">
        <f t="shared" si="3"/>
        <v>1144507.202570254</v>
      </c>
      <c r="H10" s="317">
        <f t="shared" si="4"/>
        <v>-858380.40192769049</v>
      </c>
      <c r="J10" s="8">
        <f>Données!AN10</f>
        <v>-15976</v>
      </c>
      <c r="K10" s="216">
        <f t="shared" si="1"/>
        <v>68176.099678718238</v>
      </c>
      <c r="L10" s="12">
        <f t="shared" si="5"/>
        <v>0</v>
      </c>
      <c r="M10" s="317">
        <f t="shared" si="6"/>
        <v>0</v>
      </c>
      <c r="O10" s="42">
        <f t="shared" si="2"/>
        <v>-858380.40192769049</v>
      </c>
      <c r="P10" s="274"/>
      <c r="Q10" s="229"/>
      <c r="R10" s="229"/>
      <c r="S10" s="229"/>
      <c r="T10" s="229"/>
      <c r="U10" s="229"/>
      <c r="AF10" s="11"/>
      <c r="AG10" s="11"/>
      <c r="AH10" s="11"/>
      <c r="AI10" s="11"/>
      <c r="AJ10" s="11"/>
      <c r="AK10" s="11"/>
      <c r="AL10" s="11"/>
    </row>
    <row r="11" spans="1:38" x14ac:dyDescent="0.25">
      <c r="A11" s="38">
        <f>+Données!A11</f>
        <v>5406</v>
      </c>
      <c r="B11" s="250" t="str">
        <f>+Données!B11</f>
        <v>Lavey-Morcles</v>
      </c>
      <c r="C11" s="238">
        <f>+Ecrêtage!C11</f>
        <v>21824.791081856485</v>
      </c>
      <c r="D11" s="236"/>
      <c r="E11" s="238">
        <f>Données!AF11+Données!AG11+Données!AH11</f>
        <v>375758</v>
      </c>
      <c r="F11" s="236">
        <f t="shared" si="0"/>
        <v>174598.32865485188</v>
      </c>
      <c r="G11" s="8">
        <f t="shared" si="3"/>
        <v>201159.67134514812</v>
      </c>
      <c r="H11" s="317">
        <f t="shared" si="4"/>
        <v>-150869.75350886109</v>
      </c>
      <c r="J11" s="8">
        <f>Données!AN11</f>
        <v>55931</v>
      </c>
      <c r="K11" s="216">
        <f t="shared" si="1"/>
        <v>21824.791081856485</v>
      </c>
      <c r="L11" s="12">
        <f t="shared" si="5"/>
        <v>34106.208918143515</v>
      </c>
      <c r="M11" s="317">
        <f t="shared" si="6"/>
        <v>-25579.656688607636</v>
      </c>
      <c r="O11" s="42">
        <f t="shared" si="2"/>
        <v>-176449.41019746874</v>
      </c>
      <c r="P11" s="274"/>
      <c r="Q11" s="229"/>
      <c r="R11" s="229"/>
      <c r="S11" s="229"/>
      <c r="T11" s="229"/>
      <c r="U11" s="229"/>
      <c r="AF11" s="11"/>
      <c r="AG11" s="11"/>
      <c r="AH11" s="11"/>
      <c r="AI11" s="11"/>
      <c r="AJ11" s="11"/>
      <c r="AK11" s="11"/>
      <c r="AL11" s="11"/>
    </row>
    <row r="12" spans="1:38" x14ac:dyDescent="0.25">
      <c r="A12" s="38">
        <f>+Données!A12</f>
        <v>5407</v>
      </c>
      <c r="B12" s="250" t="str">
        <f>+Données!B12</f>
        <v>Leysin</v>
      </c>
      <c r="C12" s="238">
        <f>+Ecrêtage!C12</f>
        <v>90748.112777121743</v>
      </c>
      <c r="D12" s="236"/>
      <c r="E12" s="238">
        <f>Données!AF12+Données!AG12+Données!AH12</f>
        <v>2938913</v>
      </c>
      <c r="F12" s="236">
        <f t="shared" si="0"/>
        <v>725984.90221697395</v>
      </c>
      <c r="G12" s="8">
        <f t="shared" si="3"/>
        <v>2212928.0977830263</v>
      </c>
      <c r="H12" s="317">
        <f t="shared" si="4"/>
        <v>-1659696.0733372697</v>
      </c>
      <c r="J12" s="8">
        <f>Données!AN12</f>
        <v>167928</v>
      </c>
      <c r="K12" s="216">
        <f t="shared" si="1"/>
        <v>90748.112777121743</v>
      </c>
      <c r="L12" s="12">
        <f t="shared" si="5"/>
        <v>77179.887222878257</v>
      </c>
      <c r="M12" s="317">
        <f t="shared" si="6"/>
        <v>-57884.915417158692</v>
      </c>
      <c r="O12" s="42">
        <f t="shared" si="2"/>
        <v>-1717580.9887544285</v>
      </c>
      <c r="P12" s="274"/>
      <c r="Q12" s="229"/>
      <c r="R12" s="229"/>
      <c r="S12" s="229"/>
      <c r="T12" s="229"/>
      <c r="U12" s="229"/>
      <c r="AF12" s="11"/>
      <c r="AG12" s="11"/>
      <c r="AH12" s="11"/>
      <c r="AI12" s="11"/>
      <c r="AJ12" s="11"/>
      <c r="AK12" s="11"/>
      <c r="AL12" s="11"/>
    </row>
    <row r="13" spans="1:38" x14ac:dyDescent="0.25">
      <c r="A13" s="38">
        <f>+Données!A13</f>
        <v>5408</v>
      </c>
      <c r="B13" s="250" t="str">
        <f>+Données!B13</f>
        <v>Noville</v>
      </c>
      <c r="C13" s="238">
        <f>+Ecrêtage!C13</f>
        <v>43666.640444665623</v>
      </c>
      <c r="D13" s="236"/>
      <c r="E13" s="238">
        <f>Données!AF13+Données!AG13+Données!AH13</f>
        <v>474471</v>
      </c>
      <c r="F13" s="236">
        <f t="shared" si="0"/>
        <v>349333.12355732499</v>
      </c>
      <c r="G13" s="8">
        <f t="shared" si="3"/>
        <v>125137.87644267501</v>
      </c>
      <c r="H13" s="317">
        <f t="shared" si="4"/>
        <v>-93853.40733200626</v>
      </c>
      <c r="J13" s="8">
        <f>Données!AN13</f>
        <v>61937</v>
      </c>
      <c r="K13" s="216">
        <f t="shared" si="1"/>
        <v>43666.640444665623</v>
      </c>
      <c r="L13" s="12">
        <f t="shared" si="5"/>
        <v>18270.359555334377</v>
      </c>
      <c r="M13" s="317">
        <f t="shared" si="6"/>
        <v>-13702.769666500782</v>
      </c>
      <c r="O13" s="42">
        <f t="shared" si="2"/>
        <v>-107556.17699850704</v>
      </c>
      <c r="P13" s="274"/>
      <c r="Q13" s="229"/>
      <c r="R13" s="229"/>
      <c r="S13" s="229"/>
      <c r="T13" s="229"/>
      <c r="U13" s="229"/>
      <c r="AF13" s="11"/>
      <c r="AG13" s="11"/>
      <c r="AH13" s="11"/>
      <c r="AI13" s="11"/>
      <c r="AJ13" s="11"/>
      <c r="AK13" s="11"/>
      <c r="AL13" s="11"/>
    </row>
    <row r="14" spans="1:38" x14ac:dyDescent="0.25">
      <c r="A14" s="38">
        <f>+Données!A14</f>
        <v>5409</v>
      </c>
      <c r="B14" s="250" t="str">
        <f>+Données!B14</f>
        <v>Ollon</v>
      </c>
      <c r="C14" s="238">
        <f>+Ecrêtage!C14</f>
        <v>388986.52146492567</v>
      </c>
      <c r="D14" s="236"/>
      <c r="E14" s="238">
        <f>Données!AF14+Données!AG14+Données!AH14</f>
        <v>6346243</v>
      </c>
      <c r="F14" s="236">
        <f t="shared" si="0"/>
        <v>3111892.1717194053</v>
      </c>
      <c r="G14" s="8">
        <f t="shared" si="3"/>
        <v>3234350.8282805947</v>
      </c>
      <c r="H14" s="317">
        <f t="shared" si="4"/>
        <v>-2425763.1212104461</v>
      </c>
      <c r="J14" s="8">
        <f>Données!AN14</f>
        <v>857561</v>
      </c>
      <c r="K14" s="216">
        <f t="shared" si="1"/>
        <v>388986.52146492567</v>
      </c>
      <c r="L14" s="12">
        <f t="shared" si="5"/>
        <v>468574.47853507433</v>
      </c>
      <c r="M14" s="317">
        <f t="shared" si="6"/>
        <v>-351430.85890130576</v>
      </c>
      <c r="O14" s="42">
        <f t="shared" si="2"/>
        <v>-2777193.9801117517</v>
      </c>
      <c r="P14" s="274"/>
      <c r="Q14" s="229"/>
      <c r="R14" s="229"/>
      <c r="S14" s="229"/>
      <c r="T14" s="229"/>
      <c r="U14" s="229"/>
      <c r="AF14" s="11"/>
      <c r="AG14" s="11"/>
      <c r="AH14" s="11"/>
      <c r="AI14" s="11"/>
      <c r="AJ14" s="11"/>
      <c r="AK14" s="11"/>
      <c r="AL14" s="11"/>
    </row>
    <row r="15" spans="1:38" x14ac:dyDescent="0.25">
      <c r="A15" s="38">
        <f>+Données!A15</f>
        <v>5410</v>
      </c>
      <c r="B15" s="250" t="str">
        <f>+Données!B15</f>
        <v>Ormont-Dessous</v>
      </c>
      <c r="C15" s="238">
        <f>+Ecrêtage!C15</f>
        <v>39516.146697267235</v>
      </c>
      <c r="D15" s="236"/>
      <c r="E15" s="238">
        <f>Données!AF15+Données!AG15+Données!AH15</f>
        <v>1369448</v>
      </c>
      <c r="F15" s="236">
        <f t="shared" si="0"/>
        <v>316129.17357813788</v>
      </c>
      <c r="G15" s="8">
        <f t="shared" si="3"/>
        <v>1053318.826421862</v>
      </c>
      <c r="H15" s="317">
        <f t="shared" si="4"/>
        <v>-789989.1198163965</v>
      </c>
      <c r="J15" s="8">
        <f>Données!AN15</f>
        <v>54854</v>
      </c>
      <c r="K15" s="216">
        <f t="shared" si="1"/>
        <v>39516.146697267235</v>
      </c>
      <c r="L15" s="12">
        <f t="shared" si="5"/>
        <v>15337.853302732765</v>
      </c>
      <c r="M15" s="317">
        <f t="shared" si="6"/>
        <v>-11503.389977049574</v>
      </c>
      <c r="O15" s="42">
        <f t="shared" si="2"/>
        <v>-801492.50979344605</v>
      </c>
      <c r="P15" s="274"/>
      <c r="Q15" s="229"/>
      <c r="R15" s="229"/>
      <c r="S15" s="229"/>
      <c r="T15" s="229"/>
      <c r="U15" s="229"/>
      <c r="AF15" s="11"/>
      <c r="AG15" s="11"/>
      <c r="AH15" s="11"/>
      <c r="AI15" s="11"/>
      <c r="AJ15" s="11"/>
      <c r="AK15" s="11"/>
      <c r="AL15" s="11"/>
    </row>
    <row r="16" spans="1:38" x14ac:dyDescent="0.25">
      <c r="A16" s="38">
        <f>+Données!A16</f>
        <v>5411</v>
      </c>
      <c r="B16" s="250" t="str">
        <f>+Données!B16</f>
        <v>Ormont-Dessus</v>
      </c>
      <c r="C16" s="238">
        <f>+Ecrêtage!C16</f>
        <v>68020.566453850552</v>
      </c>
      <c r="D16" s="236"/>
      <c r="E16" s="238">
        <f>Données!AF16+Données!AG16+Données!AH16</f>
        <v>1744145</v>
      </c>
      <c r="F16" s="236">
        <f t="shared" si="0"/>
        <v>544164.53163080441</v>
      </c>
      <c r="G16" s="8">
        <f t="shared" si="3"/>
        <v>1199980.4683691957</v>
      </c>
      <c r="H16" s="317">
        <f t="shared" si="4"/>
        <v>-899985.35127689678</v>
      </c>
      <c r="J16" s="8">
        <f>Données!AN16</f>
        <v>106240</v>
      </c>
      <c r="K16" s="216">
        <f t="shared" si="1"/>
        <v>68020.566453850552</v>
      </c>
      <c r="L16" s="12">
        <f t="shared" si="5"/>
        <v>38219.433546149448</v>
      </c>
      <c r="M16" s="317">
        <f t="shared" si="6"/>
        <v>-28664.575159612086</v>
      </c>
      <c r="O16" s="42">
        <f t="shared" si="2"/>
        <v>-928649.92643650889</v>
      </c>
      <c r="P16" s="274"/>
      <c r="Q16" s="229"/>
      <c r="R16" s="229"/>
      <c r="S16" s="229"/>
      <c r="T16" s="229"/>
      <c r="U16" s="229"/>
      <c r="AF16" s="11"/>
      <c r="AG16" s="11"/>
      <c r="AH16" s="11"/>
      <c r="AI16" s="11"/>
      <c r="AJ16" s="11"/>
      <c r="AK16" s="11"/>
      <c r="AL16" s="11"/>
    </row>
    <row r="17" spans="1:38" x14ac:dyDescent="0.25">
      <c r="A17" s="38">
        <f>+Données!A17</f>
        <v>5412</v>
      </c>
      <c r="B17" s="250" t="str">
        <f>+Données!B17</f>
        <v>Rennaz</v>
      </c>
      <c r="C17" s="238">
        <f>+Ecrêtage!C17</f>
        <v>24252.718750309756</v>
      </c>
      <c r="D17" s="236"/>
      <c r="E17" s="238">
        <f>Données!AF17+Données!AG17+Données!AH17</f>
        <v>300672</v>
      </c>
      <c r="F17" s="236">
        <f t="shared" si="0"/>
        <v>194021.75000247805</v>
      </c>
      <c r="G17" s="8">
        <f t="shared" si="3"/>
        <v>106650.24999752195</v>
      </c>
      <c r="H17" s="317">
        <f t="shared" si="4"/>
        <v>-79987.687498141458</v>
      </c>
      <c r="J17" s="8">
        <f>Données!AN17</f>
        <v>36503</v>
      </c>
      <c r="K17" s="216">
        <f t="shared" si="1"/>
        <v>24252.718750309756</v>
      </c>
      <c r="L17" s="12">
        <f t="shared" si="5"/>
        <v>12250.281249690244</v>
      </c>
      <c r="M17" s="317">
        <f t="shared" si="6"/>
        <v>-9187.7109372676823</v>
      </c>
      <c r="O17" s="42">
        <f t="shared" si="2"/>
        <v>-89175.398435409137</v>
      </c>
      <c r="P17" s="274"/>
      <c r="Q17" s="229"/>
      <c r="R17" s="229"/>
      <c r="S17" s="229"/>
      <c r="T17" s="229"/>
      <c r="U17" s="229"/>
      <c r="AF17" s="11"/>
      <c r="AG17" s="11"/>
      <c r="AH17" s="11"/>
      <c r="AI17" s="11"/>
      <c r="AJ17" s="11"/>
      <c r="AK17" s="11"/>
      <c r="AL17" s="11"/>
    </row>
    <row r="18" spans="1:38" x14ac:dyDescent="0.25">
      <c r="A18" s="38">
        <f>+Données!A18</f>
        <v>5413</v>
      </c>
      <c r="B18" s="250" t="str">
        <f>+Données!B18</f>
        <v>Roche</v>
      </c>
      <c r="C18" s="238">
        <f>+Ecrêtage!C18</f>
        <v>47951.627432220594</v>
      </c>
      <c r="D18" s="236"/>
      <c r="E18" s="238">
        <f>Données!AF18+Données!AG18+Données!AH18</f>
        <v>340340</v>
      </c>
      <c r="F18" s="236">
        <f t="shared" si="0"/>
        <v>383613.01945776475</v>
      </c>
      <c r="G18" s="8">
        <f t="shared" si="3"/>
        <v>0</v>
      </c>
      <c r="H18" s="317">
        <f t="shared" si="4"/>
        <v>0</v>
      </c>
      <c r="J18" s="8">
        <f>Données!AN18</f>
        <v>28514</v>
      </c>
      <c r="K18" s="216">
        <f t="shared" si="1"/>
        <v>47951.627432220594</v>
      </c>
      <c r="L18" s="12">
        <f t="shared" si="5"/>
        <v>0</v>
      </c>
      <c r="M18" s="317">
        <f t="shared" si="6"/>
        <v>0</v>
      </c>
      <c r="O18" s="42">
        <f t="shared" si="2"/>
        <v>0</v>
      </c>
      <c r="P18" s="274"/>
      <c r="Q18" s="229"/>
      <c r="R18" s="229"/>
      <c r="S18" s="229"/>
      <c r="T18" s="229"/>
      <c r="U18" s="229"/>
      <c r="AF18" s="11"/>
      <c r="AG18" s="11"/>
      <c r="AH18" s="11"/>
      <c r="AI18" s="11"/>
      <c r="AJ18" s="11"/>
      <c r="AK18" s="11"/>
      <c r="AL18" s="11"/>
    </row>
    <row r="19" spans="1:38" x14ac:dyDescent="0.25">
      <c r="A19" s="38">
        <f>+Données!A19</f>
        <v>5414</v>
      </c>
      <c r="B19" s="250" t="str">
        <f>+Données!B19</f>
        <v>Villeneuve</v>
      </c>
      <c r="C19" s="238">
        <f>+Ecrêtage!C19</f>
        <v>159309.32612133506</v>
      </c>
      <c r="D19" s="236"/>
      <c r="E19" s="238">
        <f>Données!AF19+Données!AG19+Données!AH19</f>
        <v>3979556</v>
      </c>
      <c r="F19" s="236">
        <f t="shared" si="0"/>
        <v>1274474.6089706805</v>
      </c>
      <c r="G19" s="8">
        <f t="shared" si="3"/>
        <v>2705081.3910293197</v>
      </c>
      <c r="H19" s="317">
        <f t="shared" si="4"/>
        <v>-2028811.0432719898</v>
      </c>
      <c r="J19" s="8">
        <f>Données!AN19</f>
        <v>710470</v>
      </c>
      <c r="K19" s="216">
        <f t="shared" si="1"/>
        <v>159309.32612133506</v>
      </c>
      <c r="L19" s="12">
        <f t="shared" si="5"/>
        <v>551160.67387866497</v>
      </c>
      <c r="M19" s="317">
        <f t="shared" si="6"/>
        <v>-413370.5054089987</v>
      </c>
      <c r="O19" s="42">
        <f t="shared" si="2"/>
        <v>-2442181.5486809886</v>
      </c>
      <c r="P19" s="274"/>
      <c r="Q19" s="229"/>
      <c r="R19" s="229"/>
      <c r="S19" s="229"/>
      <c r="T19" s="229"/>
      <c r="U19" s="229"/>
      <c r="AF19" s="11"/>
      <c r="AG19" s="11"/>
      <c r="AH19" s="11"/>
      <c r="AI19" s="11"/>
      <c r="AJ19" s="11"/>
      <c r="AK19" s="11"/>
      <c r="AL19" s="11"/>
    </row>
    <row r="20" spans="1:38" x14ac:dyDescent="0.25">
      <c r="A20" s="38">
        <f>+Données!A20</f>
        <v>5415</v>
      </c>
      <c r="B20" s="250" t="str">
        <f>+Données!B20</f>
        <v>Yvorne</v>
      </c>
      <c r="C20" s="238">
        <f>+Ecrêtage!C20</f>
        <v>38141.091526902295</v>
      </c>
      <c r="D20" s="236"/>
      <c r="E20" s="238">
        <f>Données!AF20+Données!AG20+Données!AH20</f>
        <v>528858</v>
      </c>
      <c r="F20" s="236">
        <f t="shared" si="0"/>
        <v>305128.73221521836</v>
      </c>
      <c r="G20" s="8">
        <f t="shared" si="3"/>
        <v>223729.26778478164</v>
      </c>
      <c r="H20" s="317">
        <f t="shared" si="4"/>
        <v>-167796.95083858623</v>
      </c>
      <c r="J20" s="8">
        <f>Données!AN20</f>
        <v>51761</v>
      </c>
      <c r="K20" s="216">
        <f t="shared" si="1"/>
        <v>38141.091526902295</v>
      </c>
      <c r="L20" s="12">
        <f t="shared" si="5"/>
        <v>13619.908473097705</v>
      </c>
      <c r="M20" s="317">
        <f t="shared" si="6"/>
        <v>-10214.931354823279</v>
      </c>
      <c r="O20" s="42">
        <f t="shared" si="2"/>
        <v>-178011.88219340952</v>
      </c>
      <c r="P20" s="274"/>
      <c r="Q20" s="229"/>
      <c r="R20" s="229"/>
      <c r="S20" s="229"/>
      <c r="T20" s="229"/>
      <c r="U20" s="229"/>
      <c r="AF20" s="11"/>
      <c r="AG20" s="11"/>
      <c r="AH20" s="11"/>
      <c r="AI20" s="11"/>
      <c r="AJ20" s="11"/>
      <c r="AK20" s="11"/>
      <c r="AL20" s="11"/>
    </row>
    <row r="21" spans="1:38" s="220" customFormat="1" x14ac:dyDescent="0.25">
      <c r="A21" s="38">
        <f>+Données!A21</f>
        <v>5422</v>
      </c>
      <c r="B21" s="250" t="str">
        <f>+Données!B21</f>
        <v>Aubonne</v>
      </c>
      <c r="C21" s="238">
        <f>+Ecrêtage!C21</f>
        <v>257139.62131053992</v>
      </c>
      <c r="D21" s="236"/>
      <c r="E21" s="238">
        <f>Données!AF21+Données!AG21+Données!AH21</f>
        <v>1935137</v>
      </c>
      <c r="F21" s="236">
        <f t="shared" si="0"/>
        <v>2057116.9704843194</v>
      </c>
      <c r="G21" s="8">
        <f t="shared" si="3"/>
        <v>0</v>
      </c>
      <c r="H21" s="317">
        <f t="shared" si="4"/>
        <v>0</v>
      </c>
      <c r="I21" s="239"/>
      <c r="J21" s="8">
        <f>Données!AN21</f>
        <v>34203</v>
      </c>
      <c r="K21" s="216">
        <f t="shared" si="1"/>
        <v>257139.62131053992</v>
      </c>
      <c r="L21" s="239">
        <f t="shared" si="5"/>
        <v>0</v>
      </c>
      <c r="M21" s="317">
        <f t="shared" si="6"/>
        <v>0</v>
      </c>
      <c r="N21" s="239"/>
      <c r="O21" s="42">
        <f t="shared" si="2"/>
        <v>0</v>
      </c>
      <c r="P21" s="274"/>
      <c r="Q21" s="229"/>
      <c r="R21" s="229"/>
      <c r="S21" s="229"/>
      <c r="T21" s="229"/>
      <c r="U21" s="229"/>
    </row>
    <row r="22" spans="1:38" x14ac:dyDescent="0.25">
      <c r="A22" s="38">
        <f>+Données!A22</f>
        <v>5423</v>
      </c>
      <c r="B22" s="250" t="str">
        <f>+Données!B22</f>
        <v>Ballens</v>
      </c>
      <c r="C22" s="238">
        <f>+Ecrêtage!C22</f>
        <v>17113.568875479887</v>
      </c>
      <c r="D22" s="236"/>
      <c r="E22" s="238">
        <f>Données!AF22+Données!AG22+Données!AH22</f>
        <v>301492</v>
      </c>
      <c r="F22" s="236">
        <f t="shared" si="0"/>
        <v>136908.55100383909</v>
      </c>
      <c r="G22" s="8">
        <f t="shared" si="3"/>
        <v>164583.44899616091</v>
      </c>
      <c r="H22" s="317">
        <f t="shared" si="4"/>
        <v>-123437.58674712069</v>
      </c>
      <c r="J22" s="8">
        <f>Données!AN22</f>
        <v>38729</v>
      </c>
      <c r="K22" s="216">
        <f t="shared" si="1"/>
        <v>17113.568875479887</v>
      </c>
      <c r="L22" s="12">
        <f t="shared" si="5"/>
        <v>21615.431124520113</v>
      </c>
      <c r="M22" s="317">
        <f t="shared" si="6"/>
        <v>-16211.573343390086</v>
      </c>
      <c r="O22" s="42">
        <f t="shared" si="2"/>
        <v>-139649.16009051076</v>
      </c>
      <c r="P22" s="274"/>
      <c r="Q22" s="229"/>
      <c r="R22" s="229"/>
      <c r="S22" s="229"/>
      <c r="T22" s="229"/>
      <c r="U22" s="229"/>
      <c r="AF22" s="11"/>
      <c r="AG22" s="11"/>
      <c r="AH22" s="11"/>
      <c r="AI22" s="11"/>
      <c r="AJ22" s="11"/>
      <c r="AK22" s="11"/>
      <c r="AL22" s="11"/>
    </row>
    <row r="23" spans="1:38" x14ac:dyDescent="0.25">
      <c r="A23" s="38">
        <f>+Données!A23</f>
        <v>5424</v>
      </c>
      <c r="B23" s="250" t="str">
        <f>+Données!B23</f>
        <v>Berolle</v>
      </c>
      <c r="C23" s="238">
        <f>+Ecrêtage!C23</f>
        <v>9114.6527235419599</v>
      </c>
      <c r="D23" s="236"/>
      <c r="E23" s="238">
        <f>Données!AF23+Données!AG23+Données!AH23</f>
        <v>135018</v>
      </c>
      <c r="F23" s="236">
        <f t="shared" si="0"/>
        <v>72917.221788335679</v>
      </c>
      <c r="G23" s="8">
        <f t="shared" si="3"/>
        <v>62100.778211664321</v>
      </c>
      <c r="H23" s="317">
        <f t="shared" si="4"/>
        <v>-46575.583658748241</v>
      </c>
      <c r="J23" s="8">
        <f>Données!AN23</f>
        <v>2094</v>
      </c>
      <c r="K23" s="216">
        <f t="shared" si="1"/>
        <v>9114.6527235419599</v>
      </c>
      <c r="L23" s="12">
        <f t="shared" si="5"/>
        <v>0</v>
      </c>
      <c r="M23" s="317">
        <f t="shared" si="6"/>
        <v>0</v>
      </c>
      <c r="O23" s="42">
        <f t="shared" si="2"/>
        <v>-46575.583658748241</v>
      </c>
      <c r="P23" s="274"/>
      <c r="Q23" s="229"/>
      <c r="R23" s="229"/>
      <c r="S23" s="229"/>
      <c r="T23" s="229"/>
      <c r="U23" s="229"/>
      <c r="AF23" s="11"/>
      <c r="AG23" s="11"/>
      <c r="AH23" s="11"/>
      <c r="AI23" s="11"/>
      <c r="AJ23" s="11"/>
      <c r="AK23" s="11"/>
      <c r="AL23" s="11"/>
    </row>
    <row r="24" spans="1:38" x14ac:dyDescent="0.25">
      <c r="A24" s="38">
        <f>+Données!A24</f>
        <v>5425</v>
      </c>
      <c r="B24" s="250" t="str">
        <f>+Données!B24</f>
        <v>Bière</v>
      </c>
      <c r="C24" s="238">
        <f>+Ecrêtage!C24</f>
        <v>40150.134165172873</v>
      </c>
      <c r="D24" s="236"/>
      <c r="E24" s="238">
        <f>Données!AF24+Données!AG24+Données!AH24</f>
        <v>937904</v>
      </c>
      <c r="F24" s="236">
        <f t="shared" si="0"/>
        <v>321201.07332138298</v>
      </c>
      <c r="G24" s="8">
        <f t="shared" si="3"/>
        <v>616702.92667861702</v>
      </c>
      <c r="H24" s="317">
        <f t="shared" si="4"/>
        <v>-462527.19500896276</v>
      </c>
      <c r="J24" s="8">
        <f>Données!AN24</f>
        <v>218388</v>
      </c>
      <c r="K24" s="216">
        <f t="shared" si="1"/>
        <v>40150.134165172873</v>
      </c>
      <c r="L24" s="12">
        <f t="shared" si="5"/>
        <v>178237.86583482713</v>
      </c>
      <c r="M24" s="317">
        <f t="shared" si="6"/>
        <v>-133678.39937612036</v>
      </c>
      <c r="O24" s="42">
        <f t="shared" si="2"/>
        <v>-596205.59438508307</v>
      </c>
      <c r="P24" s="274"/>
      <c r="Q24" s="229"/>
      <c r="R24" s="229"/>
      <c r="S24" s="229"/>
      <c r="T24" s="229"/>
      <c r="U24" s="229"/>
      <c r="AF24" s="11"/>
      <c r="AG24" s="11"/>
      <c r="AH24" s="11"/>
      <c r="AI24" s="11"/>
      <c r="AJ24" s="11"/>
      <c r="AK24" s="11"/>
      <c r="AL24" s="11"/>
    </row>
    <row r="25" spans="1:38" x14ac:dyDescent="0.25">
      <c r="A25" s="38">
        <f>+Données!A25</f>
        <v>5426</v>
      </c>
      <c r="B25" s="250" t="str">
        <f>+Données!B25</f>
        <v>Bougy-Villars</v>
      </c>
      <c r="C25" s="238">
        <f>+Ecrêtage!C25</f>
        <v>55602.19681468232</v>
      </c>
      <c r="D25" s="236"/>
      <c r="E25" s="238">
        <f>Données!AF25+Données!AG25+Données!AH25</f>
        <v>0</v>
      </c>
      <c r="F25" s="236">
        <f t="shared" si="0"/>
        <v>444817.57451745856</v>
      </c>
      <c r="G25" s="8">
        <f t="shared" si="3"/>
        <v>0</v>
      </c>
      <c r="H25" s="317">
        <f t="shared" si="4"/>
        <v>0</v>
      </c>
      <c r="J25" s="8">
        <f>Données!AN25</f>
        <v>0</v>
      </c>
      <c r="K25" s="216">
        <f t="shared" si="1"/>
        <v>55602.19681468232</v>
      </c>
      <c r="L25" s="12">
        <f t="shared" si="5"/>
        <v>0</v>
      </c>
      <c r="M25" s="317">
        <f t="shared" si="6"/>
        <v>0</v>
      </c>
      <c r="O25" s="42">
        <f t="shared" si="2"/>
        <v>0</v>
      </c>
      <c r="P25" s="274"/>
      <c r="Q25" s="229"/>
      <c r="R25" s="229"/>
      <c r="S25" s="229"/>
      <c r="T25" s="229"/>
      <c r="U25" s="229"/>
      <c r="AF25" s="11"/>
      <c r="AG25" s="11"/>
      <c r="AH25" s="11"/>
      <c r="AI25" s="11"/>
      <c r="AJ25" s="11"/>
      <c r="AK25" s="11"/>
      <c r="AL25" s="11"/>
    </row>
    <row r="26" spans="1:38" x14ac:dyDescent="0.25">
      <c r="A26" s="38">
        <f>+Données!A26</f>
        <v>5427</v>
      </c>
      <c r="B26" s="250" t="str">
        <f>+Données!B26</f>
        <v>Féchy</v>
      </c>
      <c r="C26" s="238">
        <f>+Ecrêtage!C26</f>
        <v>77005.502299275147</v>
      </c>
      <c r="D26" s="236"/>
      <c r="E26" s="238">
        <f>Données!AF26+Données!AG26+Données!AH26</f>
        <v>249894</v>
      </c>
      <c r="F26" s="236">
        <f t="shared" si="0"/>
        <v>616044.01839420118</v>
      </c>
      <c r="G26" s="8">
        <f t="shared" si="3"/>
        <v>0</v>
      </c>
      <c r="H26" s="317">
        <f t="shared" si="4"/>
        <v>0</v>
      </c>
      <c r="J26" s="8">
        <f>Données!AN26</f>
        <v>37941</v>
      </c>
      <c r="K26" s="216">
        <f t="shared" si="1"/>
        <v>77005.502299275147</v>
      </c>
      <c r="L26" s="12">
        <f t="shared" si="5"/>
        <v>0</v>
      </c>
      <c r="M26" s="317">
        <f t="shared" si="6"/>
        <v>0</v>
      </c>
      <c r="O26" s="42">
        <f t="shared" si="2"/>
        <v>0</v>
      </c>
      <c r="P26" s="274"/>
      <c r="Q26" s="229"/>
      <c r="R26" s="229"/>
      <c r="S26" s="229"/>
      <c r="T26" s="229"/>
      <c r="U26" s="229"/>
      <c r="AF26" s="11"/>
      <c r="AG26" s="11"/>
      <c r="AH26" s="11"/>
      <c r="AI26" s="11"/>
      <c r="AJ26" s="11"/>
      <c r="AK26" s="11"/>
      <c r="AL26" s="11"/>
    </row>
    <row r="27" spans="1:38" x14ac:dyDescent="0.25">
      <c r="A27" s="38">
        <f>+Données!A27</f>
        <v>5428</v>
      </c>
      <c r="B27" s="250" t="str">
        <f>+Données!B27</f>
        <v>Gimel</v>
      </c>
      <c r="C27" s="238">
        <f>+Ecrêtage!C27</f>
        <v>70160.017528660552</v>
      </c>
      <c r="D27" s="236"/>
      <c r="E27" s="238">
        <f>Données!AF27+Données!AG27+Données!AH27</f>
        <v>858344</v>
      </c>
      <c r="F27" s="236">
        <f t="shared" si="0"/>
        <v>561280.14022928441</v>
      </c>
      <c r="G27" s="8">
        <f t="shared" si="3"/>
        <v>297063.85977071559</v>
      </c>
      <c r="H27" s="317">
        <f t="shared" si="4"/>
        <v>-222797.89482803669</v>
      </c>
      <c r="J27" s="8">
        <f>Données!AN27</f>
        <v>108157</v>
      </c>
      <c r="K27" s="216">
        <f t="shared" si="1"/>
        <v>70160.017528660552</v>
      </c>
      <c r="L27" s="12">
        <f t="shared" si="5"/>
        <v>37996.982471339448</v>
      </c>
      <c r="M27" s="317">
        <f t="shared" si="6"/>
        <v>-28497.736853504586</v>
      </c>
      <c r="O27" s="42">
        <f t="shared" si="2"/>
        <v>-251295.63168154127</v>
      </c>
      <c r="P27" s="274"/>
      <c r="Q27" s="229"/>
      <c r="R27" s="229"/>
      <c r="S27" s="229"/>
      <c r="T27" s="229"/>
      <c r="U27" s="229"/>
      <c r="AF27" s="11"/>
      <c r="AG27" s="11"/>
      <c r="AH27" s="11"/>
      <c r="AI27" s="11"/>
      <c r="AJ27" s="11"/>
      <c r="AK27" s="11"/>
      <c r="AL27" s="11"/>
    </row>
    <row r="28" spans="1:38" x14ac:dyDescent="0.25">
      <c r="A28" s="38">
        <f>+Données!A28</f>
        <v>5429</v>
      </c>
      <c r="B28" s="250" t="str">
        <f>+Données!B28</f>
        <v>Longirod</v>
      </c>
      <c r="C28" s="238">
        <f>+Ecrêtage!C28</f>
        <v>16136.097907481106</v>
      </c>
      <c r="D28" s="236"/>
      <c r="E28" s="238">
        <f>Données!AF28+Données!AG28+Données!AH28</f>
        <v>228121</v>
      </c>
      <c r="F28" s="236">
        <f t="shared" si="0"/>
        <v>129088.78325984885</v>
      </c>
      <c r="G28" s="8">
        <f t="shared" si="3"/>
        <v>99032.216740151154</v>
      </c>
      <c r="H28" s="317">
        <f t="shared" si="4"/>
        <v>-74274.162555113362</v>
      </c>
      <c r="J28" s="8">
        <f>Données!AN28</f>
        <v>80788</v>
      </c>
      <c r="K28" s="216">
        <f t="shared" si="1"/>
        <v>16136.097907481106</v>
      </c>
      <c r="L28" s="12">
        <f t="shared" si="5"/>
        <v>64651.902092518896</v>
      </c>
      <c r="M28" s="317">
        <f t="shared" si="6"/>
        <v>-48488.926569389172</v>
      </c>
      <c r="O28" s="42">
        <f t="shared" si="2"/>
        <v>-122763.08912450253</v>
      </c>
      <c r="P28" s="274"/>
      <c r="Q28" s="229"/>
      <c r="R28" s="229"/>
      <c r="S28" s="229"/>
      <c r="T28" s="229"/>
      <c r="U28" s="229"/>
      <c r="AF28" s="11"/>
      <c r="AG28" s="11"/>
      <c r="AH28" s="11"/>
      <c r="AI28" s="11"/>
      <c r="AJ28" s="11"/>
      <c r="AK28" s="11"/>
      <c r="AL28" s="11"/>
    </row>
    <row r="29" spans="1:38" x14ac:dyDescent="0.25">
      <c r="A29" s="38">
        <f>+Données!A29</f>
        <v>5430</v>
      </c>
      <c r="B29" s="250" t="str">
        <f>+Données!B29</f>
        <v>Marchissy</v>
      </c>
      <c r="C29" s="238">
        <f>+Ecrêtage!C29</f>
        <v>14848.61677419355</v>
      </c>
      <c r="D29" s="236"/>
      <c r="E29" s="238">
        <f>Données!AF29+Données!AG29+Données!AH29</f>
        <v>540297</v>
      </c>
      <c r="F29" s="236">
        <f t="shared" si="0"/>
        <v>118788.9341935484</v>
      </c>
      <c r="G29" s="8">
        <f t="shared" si="3"/>
        <v>421508.0658064516</v>
      </c>
      <c r="H29" s="317">
        <f t="shared" si="4"/>
        <v>-316131.04935483867</v>
      </c>
      <c r="J29" s="8">
        <f>Données!AN29</f>
        <v>84007</v>
      </c>
      <c r="K29" s="216">
        <f t="shared" si="1"/>
        <v>14848.61677419355</v>
      </c>
      <c r="L29" s="12">
        <f t="shared" si="5"/>
        <v>69158.38322580645</v>
      </c>
      <c r="M29" s="317">
        <f t="shared" si="6"/>
        <v>-51868.787419354834</v>
      </c>
      <c r="O29" s="42">
        <f t="shared" si="2"/>
        <v>-367999.83677419351</v>
      </c>
      <c r="P29" s="274"/>
      <c r="Q29" s="229"/>
      <c r="R29" s="229"/>
      <c r="S29" s="229"/>
      <c r="T29" s="229"/>
      <c r="U29" s="229"/>
      <c r="AF29" s="11"/>
      <c r="AG29" s="11"/>
      <c r="AH29" s="11"/>
      <c r="AI29" s="11"/>
      <c r="AJ29" s="11"/>
      <c r="AK29" s="11"/>
      <c r="AL29" s="11"/>
    </row>
    <row r="30" spans="1:38" x14ac:dyDescent="0.25">
      <c r="A30" s="38">
        <f>+Données!A30</f>
        <v>5431</v>
      </c>
      <c r="B30" s="250" t="str">
        <f>+Données!B30</f>
        <v>Mollens</v>
      </c>
      <c r="C30" s="238">
        <f>+Ecrêtage!C30</f>
        <v>9333.1487396041775</v>
      </c>
      <c r="D30" s="236"/>
      <c r="E30" s="238">
        <f>Données!AF30+Données!AG30+Données!AH30</f>
        <v>124539</v>
      </c>
      <c r="F30" s="236">
        <f t="shared" si="0"/>
        <v>74665.18991683342</v>
      </c>
      <c r="G30" s="8">
        <f t="shared" si="3"/>
        <v>49873.81008316658</v>
      </c>
      <c r="H30" s="317">
        <f t="shared" si="4"/>
        <v>-37405.357562374935</v>
      </c>
      <c r="J30" s="8">
        <f>Données!AN30</f>
        <v>58344</v>
      </c>
      <c r="K30" s="216">
        <f t="shared" si="1"/>
        <v>9333.1487396041775</v>
      </c>
      <c r="L30" s="12">
        <f t="shared" si="5"/>
        <v>49010.851260395822</v>
      </c>
      <c r="M30" s="317">
        <f t="shared" si="6"/>
        <v>-36758.138445296863</v>
      </c>
      <c r="O30" s="42">
        <f t="shared" si="2"/>
        <v>-74163.496007671798</v>
      </c>
      <c r="P30" s="274"/>
      <c r="Q30" s="229"/>
      <c r="R30" s="229"/>
      <c r="S30" s="229"/>
      <c r="T30" s="229"/>
      <c r="U30" s="229"/>
      <c r="AF30" s="11"/>
      <c r="AG30" s="11"/>
      <c r="AH30" s="11"/>
      <c r="AI30" s="11"/>
      <c r="AJ30" s="11"/>
      <c r="AK30" s="11"/>
      <c r="AL30" s="11"/>
    </row>
    <row r="31" spans="1:38" x14ac:dyDescent="0.25">
      <c r="A31" s="38">
        <f>+Données!A31</f>
        <v>5434</v>
      </c>
      <c r="B31" s="250" t="str">
        <f>+Données!B31</f>
        <v>Saint-George</v>
      </c>
      <c r="C31" s="238">
        <f>+Ecrêtage!C31</f>
        <v>40791.515913403804</v>
      </c>
      <c r="D31" s="236"/>
      <c r="E31" s="238">
        <f>Données!AF31+Données!AG31+Données!AH31</f>
        <v>324963</v>
      </c>
      <c r="F31" s="236">
        <f t="shared" si="0"/>
        <v>326332.12730723043</v>
      </c>
      <c r="G31" s="8">
        <f t="shared" si="3"/>
        <v>0</v>
      </c>
      <c r="H31" s="317">
        <f t="shared" si="4"/>
        <v>0</v>
      </c>
      <c r="J31" s="8">
        <f>Données!AN31</f>
        <v>114073</v>
      </c>
      <c r="K31" s="216">
        <f t="shared" si="1"/>
        <v>40791.515913403804</v>
      </c>
      <c r="L31" s="12">
        <f t="shared" si="5"/>
        <v>73281.484086596203</v>
      </c>
      <c r="M31" s="317">
        <f t="shared" si="6"/>
        <v>-54961.113064947152</v>
      </c>
      <c r="O31" s="42">
        <f t="shared" si="2"/>
        <v>-54961.113064947152</v>
      </c>
      <c r="P31" s="274"/>
      <c r="Q31" s="229"/>
      <c r="R31" s="229"/>
      <c r="S31" s="229"/>
      <c r="T31" s="229"/>
      <c r="U31" s="229"/>
      <c r="AF31" s="11"/>
      <c r="AG31" s="11"/>
      <c r="AH31" s="11"/>
      <c r="AI31" s="11"/>
      <c r="AJ31" s="11"/>
      <c r="AK31" s="11"/>
      <c r="AL31" s="11"/>
    </row>
    <row r="32" spans="1:38" x14ac:dyDescent="0.25">
      <c r="A32" s="38">
        <f>+Données!A32</f>
        <v>5435</v>
      </c>
      <c r="B32" s="250" t="str">
        <f>+Données!B32</f>
        <v>Saint-Livres</v>
      </c>
      <c r="C32" s="238">
        <f>+Ecrêtage!C32</f>
        <v>26337.98545829628</v>
      </c>
      <c r="D32" s="236"/>
      <c r="E32" s="238">
        <f>Données!AF32+Données!AG32+Données!AH32</f>
        <v>264761</v>
      </c>
      <c r="F32" s="236">
        <f t="shared" si="0"/>
        <v>210703.88366637024</v>
      </c>
      <c r="G32" s="8">
        <f t="shared" si="3"/>
        <v>54057.116333629761</v>
      </c>
      <c r="H32" s="317">
        <f t="shared" si="4"/>
        <v>-40542.837250222321</v>
      </c>
      <c r="J32" s="8">
        <f>Données!AN32</f>
        <v>6872</v>
      </c>
      <c r="K32" s="216">
        <f t="shared" si="1"/>
        <v>26337.98545829628</v>
      </c>
      <c r="L32" s="12">
        <f t="shared" si="5"/>
        <v>0</v>
      </c>
      <c r="M32" s="317">
        <f t="shared" si="6"/>
        <v>0</v>
      </c>
      <c r="O32" s="42">
        <f t="shared" si="2"/>
        <v>-40542.837250222321</v>
      </c>
      <c r="P32" s="274"/>
      <c r="Q32" s="229"/>
      <c r="R32" s="229"/>
      <c r="S32" s="229"/>
      <c r="T32" s="229"/>
      <c r="U32" s="229"/>
      <c r="AF32" s="11"/>
      <c r="AG32" s="11"/>
      <c r="AH32" s="11"/>
      <c r="AI32" s="11"/>
      <c r="AJ32" s="11"/>
      <c r="AK32" s="11"/>
      <c r="AL32" s="11"/>
    </row>
    <row r="33" spans="1:38" x14ac:dyDescent="0.25">
      <c r="A33" s="38">
        <f>+Données!A33</f>
        <v>5436</v>
      </c>
      <c r="B33" s="250" t="str">
        <f>+Données!B33</f>
        <v>Saint-Oyens</v>
      </c>
      <c r="C33" s="238">
        <f>+Ecrêtage!C33</f>
        <v>16753.686386728143</v>
      </c>
      <c r="D33" s="236"/>
      <c r="E33" s="238">
        <f>Données!AF33+Données!AG33+Données!AH33</f>
        <v>86994</v>
      </c>
      <c r="F33" s="236">
        <f t="shared" si="0"/>
        <v>134029.49109382514</v>
      </c>
      <c r="G33" s="8">
        <f t="shared" si="3"/>
        <v>0</v>
      </c>
      <c r="H33" s="317">
        <f t="shared" si="4"/>
        <v>0</v>
      </c>
      <c r="J33" s="8">
        <f>Données!AN33</f>
        <v>9309</v>
      </c>
      <c r="K33" s="216">
        <f t="shared" si="1"/>
        <v>16753.686386728143</v>
      </c>
      <c r="L33" s="12">
        <f t="shared" si="5"/>
        <v>0</v>
      </c>
      <c r="M33" s="317">
        <f t="shared" si="6"/>
        <v>0</v>
      </c>
      <c r="O33" s="42">
        <f t="shared" si="2"/>
        <v>0</v>
      </c>
      <c r="P33" s="274"/>
      <c r="Q33" s="229"/>
      <c r="R33" s="229"/>
      <c r="S33" s="229"/>
      <c r="T33" s="229"/>
      <c r="U33" s="229"/>
      <c r="AF33" s="11"/>
      <c r="AG33" s="11"/>
      <c r="AH33" s="11"/>
      <c r="AI33" s="11"/>
      <c r="AJ33" s="11"/>
      <c r="AK33" s="11"/>
      <c r="AL33" s="11"/>
    </row>
    <row r="34" spans="1:38" x14ac:dyDescent="0.25">
      <c r="A34" s="38">
        <f>+Données!A34</f>
        <v>5437</v>
      </c>
      <c r="B34" s="250" t="str">
        <f>+Données!B34</f>
        <v>Saubraz</v>
      </c>
      <c r="C34" s="238">
        <f>+Ecrêtage!C34</f>
        <v>13378.426818540998</v>
      </c>
      <c r="D34" s="236"/>
      <c r="E34" s="238">
        <f>Données!AF34+Données!AG34+Données!AH34</f>
        <v>127010</v>
      </c>
      <c r="F34" s="236">
        <f t="shared" si="0"/>
        <v>107027.41454832799</v>
      </c>
      <c r="G34" s="8">
        <f t="shared" si="3"/>
        <v>19982.585451672014</v>
      </c>
      <c r="H34" s="317">
        <f t="shared" si="4"/>
        <v>-14986.93908875401</v>
      </c>
      <c r="J34" s="8">
        <f>Données!AN34</f>
        <v>9712</v>
      </c>
      <c r="K34" s="216">
        <f t="shared" si="1"/>
        <v>13378.426818540998</v>
      </c>
      <c r="L34" s="12">
        <f t="shared" si="5"/>
        <v>0</v>
      </c>
      <c r="M34" s="317">
        <f t="shared" si="6"/>
        <v>0</v>
      </c>
      <c r="O34" s="42">
        <f t="shared" si="2"/>
        <v>-14986.93908875401</v>
      </c>
      <c r="P34" s="274"/>
      <c r="Q34" s="229"/>
      <c r="R34" s="229"/>
      <c r="S34" s="229"/>
      <c r="T34" s="229"/>
      <c r="U34" s="229"/>
      <c r="AF34" s="11"/>
      <c r="AG34" s="11"/>
      <c r="AH34" s="11"/>
      <c r="AI34" s="11"/>
      <c r="AJ34" s="11"/>
      <c r="AK34" s="11"/>
      <c r="AL34" s="11"/>
    </row>
    <row r="35" spans="1:38" x14ac:dyDescent="0.25">
      <c r="A35" s="38">
        <f>+Données!A35</f>
        <v>5451</v>
      </c>
      <c r="B35" s="250" t="str">
        <f>+Données!B35</f>
        <v>Avenches</v>
      </c>
      <c r="C35" s="238">
        <f>+Ecrêtage!C35</f>
        <v>128992.08671525712</v>
      </c>
      <c r="D35" s="236"/>
      <c r="E35" s="238">
        <f>Données!AF35+Données!AG35+Données!AH35</f>
        <v>2863988</v>
      </c>
      <c r="F35" s="236">
        <f t="shared" si="0"/>
        <v>1031936.6937220569</v>
      </c>
      <c r="G35" s="8">
        <f t="shared" si="3"/>
        <v>1832051.3062779431</v>
      </c>
      <c r="H35" s="317">
        <f t="shared" si="4"/>
        <v>-1374038.4797084574</v>
      </c>
      <c r="J35" s="8">
        <f>Données!AN35</f>
        <v>75417</v>
      </c>
      <c r="K35" s="216">
        <f t="shared" si="1"/>
        <v>128992.08671525712</v>
      </c>
      <c r="L35" s="12">
        <f t="shared" si="5"/>
        <v>0</v>
      </c>
      <c r="M35" s="317">
        <f t="shared" si="6"/>
        <v>0</v>
      </c>
      <c r="O35" s="42">
        <f t="shared" si="2"/>
        <v>-1374038.4797084574</v>
      </c>
      <c r="P35" s="274"/>
      <c r="Q35" s="229"/>
      <c r="R35" s="229"/>
      <c r="S35" s="229"/>
      <c r="T35" s="229"/>
      <c r="U35" s="229"/>
      <c r="AF35" s="11"/>
      <c r="AG35" s="11"/>
      <c r="AH35" s="11"/>
      <c r="AI35" s="11"/>
      <c r="AJ35" s="11"/>
      <c r="AK35" s="11"/>
      <c r="AL35" s="11"/>
    </row>
    <row r="36" spans="1:38" x14ac:dyDescent="0.25">
      <c r="A36" s="38">
        <f>+Données!A36</f>
        <v>5456</v>
      </c>
      <c r="B36" s="250" t="str">
        <f>+Données!B36</f>
        <v>Cudrefin</v>
      </c>
      <c r="C36" s="238">
        <f>+Ecrêtage!C36</f>
        <v>64212.312252410848</v>
      </c>
      <c r="D36" s="236"/>
      <c r="E36" s="238">
        <f>Données!AF36+Données!AG36+Données!AH36</f>
        <v>825426</v>
      </c>
      <c r="F36" s="236">
        <f t="shared" si="0"/>
        <v>513698.49801928678</v>
      </c>
      <c r="G36" s="8">
        <f t="shared" si="3"/>
        <v>311727.50198071322</v>
      </c>
      <c r="H36" s="317">
        <f t="shared" si="4"/>
        <v>-233795.62648553491</v>
      </c>
      <c r="J36" s="8">
        <f>Données!AN36</f>
        <v>1049</v>
      </c>
      <c r="K36" s="216">
        <f t="shared" si="1"/>
        <v>64212.312252410848</v>
      </c>
      <c r="L36" s="12">
        <f t="shared" si="5"/>
        <v>0</v>
      </c>
      <c r="M36" s="317">
        <f t="shared" si="6"/>
        <v>0</v>
      </c>
      <c r="O36" s="42">
        <f t="shared" si="2"/>
        <v>-233795.62648553491</v>
      </c>
      <c r="P36" s="274"/>
      <c r="Q36" s="229"/>
      <c r="R36" s="229"/>
      <c r="S36" s="229"/>
      <c r="T36" s="229"/>
      <c r="U36" s="229"/>
      <c r="AF36" s="11"/>
      <c r="AG36" s="11"/>
      <c r="AH36" s="11"/>
      <c r="AI36" s="11"/>
      <c r="AJ36" s="11"/>
      <c r="AK36" s="11"/>
      <c r="AL36" s="11"/>
    </row>
    <row r="37" spans="1:38" x14ac:dyDescent="0.25">
      <c r="A37" s="38">
        <f>+Données!A37</f>
        <v>5458</v>
      </c>
      <c r="B37" s="250" t="str">
        <f>+Données!B37</f>
        <v>Faoug</v>
      </c>
      <c r="C37" s="238">
        <f>+Ecrêtage!C37</f>
        <v>32193.574318729454</v>
      </c>
      <c r="D37" s="236"/>
      <c r="E37" s="238">
        <f>Données!AF37+Données!AG37+Données!AH37</f>
        <v>398445</v>
      </c>
      <c r="F37" s="236">
        <f t="shared" si="0"/>
        <v>257548.59454983563</v>
      </c>
      <c r="G37" s="8">
        <f t="shared" si="3"/>
        <v>140896.40545016437</v>
      </c>
      <c r="H37" s="317">
        <f t="shared" si="4"/>
        <v>-105672.30408762328</v>
      </c>
      <c r="J37" s="8">
        <f>Données!AN37</f>
        <v>14865</v>
      </c>
      <c r="K37" s="216">
        <f t="shared" si="1"/>
        <v>32193.574318729454</v>
      </c>
      <c r="L37" s="12">
        <f t="shared" si="5"/>
        <v>0</v>
      </c>
      <c r="M37" s="317">
        <f t="shared" si="6"/>
        <v>0</v>
      </c>
      <c r="O37" s="42">
        <f t="shared" si="2"/>
        <v>-105672.30408762328</v>
      </c>
      <c r="P37" s="274"/>
      <c r="Q37" s="229"/>
      <c r="R37" s="229"/>
      <c r="S37" s="229"/>
      <c r="T37" s="229"/>
      <c r="U37" s="229"/>
      <c r="AF37" s="11"/>
      <c r="AG37" s="11"/>
      <c r="AH37" s="11"/>
      <c r="AI37" s="11"/>
      <c r="AJ37" s="11"/>
      <c r="AK37" s="11"/>
      <c r="AL37" s="11"/>
    </row>
    <row r="38" spans="1:38" x14ac:dyDescent="0.25">
      <c r="A38" s="38">
        <f>+Données!A38</f>
        <v>5464</v>
      </c>
      <c r="B38" s="250" t="str">
        <f>+Données!B38</f>
        <v>Vully-les-Lacs</v>
      </c>
      <c r="C38" s="238">
        <f>+Ecrêtage!C38</f>
        <v>111582.51347109246</v>
      </c>
      <c r="D38" s="236"/>
      <c r="E38" s="238">
        <f>Données!AF38+Données!AG38+Données!AH38</f>
        <v>1361415</v>
      </c>
      <c r="F38" s="236">
        <f t="shared" si="0"/>
        <v>892660.10776873969</v>
      </c>
      <c r="G38" s="8">
        <f t="shared" si="3"/>
        <v>468754.89223126031</v>
      </c>
      <c r="H38" s="317">
        <f t="shared" si="4"/>
        <v>-351566.1691734452</v>
      </c>
      <c r="J38" s="8">
        <f>Données!AN38</f>
        <v>5987</v>
      </c>
      <c r="K38" s="216">
        <f t="shared" si="1"/>
        <v>111582.51347109246</v>
      </c>
      <c r="L38" s="12">
        <f t="shared" si="5"/>
        <v>0</v>
      </c>
      <c r="M38" s="317">
        <f t="shared" si="6"/>
        <v>0</v>
      </c>
      <c r="O38" s="42">
        <f t="shared" ref="O38:O69" si="7">M38+H38</f>
        <v>-351566.1691734452</v>
      </c>
      <c r="P38" s="274"/>
      <c r="Q38" s="229"/>
      <c r="R38" s="229"/>
      <c r="S38" s="229"/>
      <c r="T38" s="229"/>
      <c r="U38" s="229"/>
      <c r="AF38" s="11"/>
      <c r="AG38" s="11"/>
      <c r="AH38" s="11"/>
      <c r="AI38" s="11"/>
      <c r="AJ38" s="11"/>
      <c r="AK38" s="11"/>
      <c r="AL38" s="11"/>
    </row>
    <row r="39" spans="1:38" x14ac:dyDescent="0.25">
      <c r="A39" s="38">
        <f>+Données!A39</f>
        <v>5471</v>
      </c>
      <c r="B39" s="250" t="str">
        <f>+Données!B39</f>
        <v>Bettens</v>
      </c>
      <c r="C39" s="238">
        <f>+Ecrêtage!C39</f>
        <v>20380.173113086941</v>
      </c>
      <c r="D39" s="236"/>
      <c r="E39" s="238">
        <f>Données!AF39+Données!AG39+Données!AH39</f>
        <v>192513</v>
      </c>
      <c r="F39" s="236">
        <f t="shared" si="0"/>
        <v>163041.38490469553</v>
      </c>
      <c r="G39" s="8">
        <f t="shared" si="3"/>
        <v>29471.615095304471</v>
      </c>
      <c r="H39" s="317">
        <f t="shared" si="4"/>
        <v>-22103.711321478353</v>
      </c>
      <c r="J39" s="8">
        <f>Données!AN39</f>
        <v>2345</v>
      </c>
      <c r="K39" s="216">
        <f t="shared" si="1"/>
        <v>20380.173113086941</v>
      </c>
      <c r="L39" s="12">
        <f t="shared" si="5"/>
        <v>0</v>
      </c>
      <c r="M39" s="317">
        <f t="shared" si="6"/>
        <v>0</v>
      </c>
      <c r="O39" s="42">
        <f t="shared" si="7"/>
        <v>-22103.711321478353</v>
      </c>
      <c r="P39" s="274"/>
      <c r="Q39" s="229"/>
      <c r="R39" s="229"/>
      <c r="S39" s="229"/>
      <c r="T39" s="229"/>
      <c r="U39" s="229"/>
      <c r="AF39" s="11"/>
      <c r="AG39" s="11"/>
      <c r="AH39" s="11"/>
      <c r="AI39" s="11"/>
      <c r="AJ39" s="11"/>
      <c r="AK39" s="11"/>
      <c r="AL39" s="11"/>
    </row>
    <row r="40" spans="1:38" x14ac:dyDescent="0.25">
      <c r="A40" s="38">
        <f>+Données!A40</f>
        <v>5472</v>
      </c>
      <c r="B40" s="250" t="str">
        <f>+Données!B40</f>
        <v>Bournens</v>
      </c>
      <c r="C40" s="238">
        <f>+Ecrêtage!C40</f>
        <v>20138.784507874909</v>
      </c>
      <c r="D40" s="236"/>
      <c r="E40" s="238">
        <f>Données!AF40+Données!AG40+Données!AH40</f>
        <v>79447</v>
      </c>
      <c r="F40" s="236">
        <f t="shared" si="0"/>
        <v>161110.27606299927</v>
      </c>
      <c r="G40" s="8">
        <f t="shared" si="3"/>
        <v>0</v>
      </c>
      <c r="H40" s="317">
        <f t="shared" si="4"/>
        <v>0</v>
      </c>
      <c r="J40" s="8">
        <f>Données!AN40</f>
        <v>41011</v>
      </c>
      <c r="K40" s="216">
        <f t="shared" si="1"/>
        <v>20138.784507874909</v>
      </c>
      <c r="L40" s="12">
        <f t="shared" si="5"/>
        <v>20872.215492125091</v>
      </c>
      <c r="M40" s="317">
        <f t="shared" si="6"/>
        <v>-15654.161619093818</v>
      </c>
      <c r="O40" s="42">
        <f t="shared" si="7"/>
        <v>-15654.161619093818</v>
      </c>
      <c r="P40" s="274"/>
      <c r="Q40" s="229"/>
      <c r="R40" s="229"/>
      <c r="S40" s="229"/>
      <c r="T40" s="229"/>
      <c r="U40" s="229"/>
      <c r="AF40" s="11"/>
      <c r="AG40" s="11"/>
      <c r="AH40" s="11"/>
      <c r="AI40" s="11"/>
      <c r="AJ40" s="11"/>
      <c r="AK40" s="11"/>
      <c r="AL40" s="11"/>
    </row>
    <row r="41" spans="1:38" x14ac:dyDescent="0.25">
      <c r="A41" s="38">
        <f>+Données!A41</f>
        <v>5473</v>
      </c>
      <c r="B41" s="250" t="str">
        <f>+Données!B41</f>
        <v>Boussens</v>
      </c>
      <c r="C41" s="238">
        <f>+Ecrêtage!C41</f>
        <v>37766.597979852122</v>
      </c>
      <c r="D41" s="236"/>
      <c r="E41" s="238">
        <f>Données!AF41+Données!AG41+Données!AH41</f>
        <v>0</v>
      </c>
      <c r="F41" s="236">
        <f t="shared" si="0"/>
        <v>302132.78383881698</v>
      </c>
      <c r="G41" s="8">
        <f t="shared" si="3"/>
        <v>0</v>
      </c>
      <c r="H41" s="317">
        <f t="shared" si="4"/>
        <v>0</v>
      </c>
      <c r="J41" s="8">
        <f>Données!AN41</f>
        <v>0</v>
      </c>
      <c r="K41" s="216">
        <f t="shared" si="1"/>
        <v>37766.597979852122</v>
      </c>
      <c r="L41" s="12">
        <f t="shared" si="5"/>
        <v>0</v>
      </c>
      <c r="M41" s="317">
        <f t="shared" si="6"/>
        <v>0</v>
      </c>
      <c r="O41" s="42">
        <f t="shared" si="7"/>
        <v>0</v>
      </c>
      <c r="P41" s="274"/>
      <c r="Q41" s="229"/>
      <c r="R41" s="229"/>
      <c r="S41" s="229"/>
      <c r="T41" s="229"/>
      <c r="U41" s="229"/>
      <c r="AF41" s="11"/>
      <c r="AG41" s="11"/>
      <c r="AH41" s="11"/>
      <c r="AI41" s="11"/>
      <c r="AJ41" s="11"/>
      <c r="AK41" s="11"/>
      <c r="AL41" s="11"/>
    </row>
    <row r="42" spans="1:38" x14ac:dyDescent="0.25">
      <c r="A42" s="38">
        <f>+Données!A42</f>
        <v>5474</v>
      </c>
      <c r="B42" s="250" t="str">
        <f>+Données!B42</f>
        <v>La Chaux (Cossonay)</v>
      </c>
      <c r="C42" s="238">
        <f>+Ecrêtage!C42</f>
        <v>13181.653644203574</v>
      </c>
      <c r="D42" s="236"/>
      <c r="E42" s="238">
        <f>Données!AF42+Données!AG42+Données!AH42</f>
        <v>402166</v>
      </c>
      <c r="F42" s="236">
        <f t="shared" si="0"/>
        <v>105453.22915362859</v>
      </c>
      <c r="G42" s="8">
        <f t="shared" si="3"/>
        <v>296712.77084637142</v>
      </c>
      <c r="H42" s="317">
        <f t="shared" si="4"/>
        <v>-222534.57813477857</v>
      </c>
      <c r="J42" s="8">
        <f>Données!AN42</f>
        <v>10223</v>
      </c>
      <c r="K42" s="216">
        <f t="shared" si="1"/>
        <v>13181.653644203574</v>
      </c>
      <c r="L42" s="12">
        <f t="shared" si="5"/>
        <v>0</v>
      </c>
      <c r="M42" s="317">
        <f t="shared" si="6"/>
        <v>0</v>
      </c>
      <c r="O42" s="42">
        <f t="shared" si="7"/>
        <v>-222534.57813477857</v>
      </c>
      <c r="P42" s="274"/>
      <c r="Q42" s="229"/>
      <c r="R42" s="229"/>
      <c r="S42" s="229"/>
      <c r="T42" s="229"/>
      <c r="U42" s="229"/>
      <c r="AF42" s="11"/>
      <c r="AG42" s="11"/>
      <c r="AH42" s="11"/>
      <c r="AI42" s="11"/>
      <c r="AJ42" s="11"/>
      <c r="AK42" s="11"/>
      <c r="AL42" s="11"/>
    </row>
    <row r="43" spans="1:38" x14ac:dyDescent="0.25">
      <c r="A43" s="38">
        <f>+Données!A43</f>
        <v>5475</v>
      </c>
      <c r="B43" s="250" t="str">
        <f>+Données!B43</f>
        <v>Chavannes-le-Veyron</v>
      </c>
      <c r="C43" s="238">
        <f>+Ecrêtage!C43</f>
        <v>3874.542905998469</v>
      </c>
      <c r="D43" s="236"/>
      <c r="E43" s="238">
        <f>Données!AF43+Données!AG43+Données!AH43</f>
        <v>54228</v>
      </c>
      <c r="F43" s="236">
        <f t="shared" si="0"/>
        <v>30996.343247987752</v>
      </c>
      <c r="G43" s="8">
        <f t="shared" si="3"/>
        <v>23231.656752012248</v>
      </c>
      <c r="H43" s="317">
        <f t="shared" si="4"/>
        <v>-17423.742564009186</v>
      </c>
      <c r="J43" s="8">
        <f>Données!AN43</f>
        <v>22323</v>
      </c>
      <c r="K43" s="216">
        <f t="shared" si="1"/>
        <v>3874.542905998469</v>
      </c>
      <c r="L43" s="12">
        <f t="shared" si="5"/>
        <v>18448.457094001533</v>
      </c>
      <c r="M43" s="317">
        <f t="shared" si="6"/>
        <v>-13836.34282050115</v>
      </c>
      <c r="O43" s="42">
        <f t="shared" si="7"/>
        <v>-31260.085384510334</v>
      </c>
      <c r="P43" s="274"/>
      <c r="Q43" s="229"/>
      <c r="R43" s="229"/>
      <c r="S43" s="229"/>
      <c r="T43" s="229"/>
      <c r="U43" s="229"/>
      <c r="AF43" s="11"/>
      <c r="AG43" s="11"/>
      <c r="AH43" s="11"/>
      <c r="AI43" s="11"/>
      <c r="AJ43" s="11"/>
      <c r="AK43" s="11"/>
      <c r="AL43" s="11"/>
    </row>
    <row r="44" spans="1:38" x14ac:dyDescent="0.25">
      <c r="A44" s="38">
        <f>+Données!A44</f>
        <v>5476</v>
      </c>
      <c r="B44" s="250" t="str">
        <f>+Données!B44</f>
        <v>Chevilly</v>
      </c>
      <c r="C44" s="238">
        <f>+Ecrêtage!C44</f>
        <v>11841.851486486486</v>
      </c>
      <c r="D44" s="236"/>
      <c r="E44" s="238">
        <f>Données!AF44+Données!AG44+Données!AH44</f>
        <v>83825</v>
      </c>
      <c r="F44" s="236">
        <f t="shared" si="0"/>
        <v>94734.811891891892</v>
      </c>
      <c r="G44" s="8">
        <f t="shared" si="3"/>
        <v>0</v>
      </c>
      <c r="H44" s="317">
        <f t="shared" si="4"/>
        <v>0</v>
      </c>
      <c r="J44" s="8">
        <f>Données!AN44</f>
        <v>17658</v>
      </c>
      <c r="K44" s="216">
        <f t="shared" si="1"/>
        <v>11841.851486486486</v>
      </c>
      <c r="L44" s="12">
        <f t="shared" si="5"/>
        <v>5816.1485135135135</v>
      </c>
      <c r="M44" s="317">
        <f t="shared" si="6"/>
        <v>-4362.1113851351347</v>
      </c>
      <c r="O44" s="42">
        <f t="shared" si="7"/>
        <v>-4362.1113851351347</v>
      </c>
      <c r="P44" s="274"/>
      <c r="Q44" s="229"/>
      <c r="R44" s="229"/>
      <c r="S44" s="229"/>
      <c r="T44" s="229"/>
      <c r="U44" s="229"/>
      <c r="AF44" s="11"/>
      <c r="AG44" s="11"/>
      <c r="AH44" s="11"/>
      <c r="AI44" s="11"/>
      <c r="AJ44" s="11"/>
      <c r="AK44" s="11"/>
      <c r="AL44" s="11"/>
    </row>
    <row r="45" spans="1:38" x14ac:dyDescent="0.25">
      <c r="A45" s="38">
        <f>+Données!A45</f>
        <v>5477</v>
      </c>
      <c r="B45" s="250" t="str">
        <f>+Données!B45</f>
        <v>Cossonay</v>
      </c>
      <c r="C45" s="238">
        <f>+Ecrêtage!C45</f>
        <v>119044.37813513582</v>
      </c>
      <c r="D45" s="236"/>
      <c r="E45" s="238">
        <f>Données!AF45+Données!AG45+Données!AH45</f>
        <v>2092273</v>
      </c>
      <c r="F45" s="236">
        <f t="shared" si="0"/>
        <v>952355.02508108655</v>
      </c>
      <c r="G45" s="8">
        <f t="shared" si="3"/>
        <v>1139917.9749189136</v>
      </c>
      <c r="H45" s="317">
        <f t="shared" si="4"/>
        <v>-854938.48118918517</v>
      </c>
      <c r="J45" s="8">
        <f>Données!AN45</f>
        <v>36280</v>
      </c>
      <c r="K45" s="216">
        <f t="shared" si="1"/>
        <v>119044.37813513582</v>
      </c>
      <c r="L45" s="12">
        <f t="shared" si="5"/>
        <v>0</v>
      </c>
      <c r="M45" s="317">
        <f t="shared" si="6"/>
        <v>0</v>
      </c>
      <c r="O45" s="42">
        <f t="shared" si="7"/>
        <v>-854938.48118918517</v>
      </c>
      <c r="P45" s="274"/>
      <c r="Q45" s="229"/>
      <c r="R45" s="229"/>
      <c r="S45" s="229"/>
      <c r="T45" s="229"/>
      <c r="U45" s="229"/>
      <c r="AF45" s="11"/>
      <c r="AG45" s="11"/>
      <c r="AH45" s="11"/>
      <c r="AI45" s="11"/>
      <c r="AJ45" s="11"/>
      <c r="AK45" s="11"/>
      <c r="AL45" s="11"/>
    </row>
    <row r="46" spans="1:38" x14ac:dyDescent="0.25">
      <c r="A46" s="38">
        <f>+Données!A46</f>
        <v>5479</v>
      </c>
      <c r="B46" s="250" t="str">
        <f>+Données!B46</f>
        <v>Cuarnens</v>
      </c>
      <c r="C46" s="238">
        <f>+Ecrêtage!C46</f>
        <v>18064.580944641726</v>
      </c>
      <c r="D46" s="236"/>
      <c r="E46" s="238">
        <f>Données!AF46+Données!AG46+Données!AH46</f>
        <v>210518</v>
      </c>
      <c r="F46" s="236">
        <f t="shared" si="0"/>
        <v>144516.64755713381</v>
      </c>
      <c r="G46" s="8">
        <f t="shared" si="3"/>
        <v>66001.352442866191</v>
      </c>
      <c r="H46" s="317">
        <f t="shared" si="4"/>
        <v>-49501.014332149643</v>
      </c>
      <c r="J46" s="8">
        <f>Données!AN46</f>
        <v>72366</v>
      </c>
      <c r="K46" s="216">
        <f t="shared" si="1"/>
        <v>18064.580944641726</v>
      </c>
      <c r="L46" s="12">
        <f t="shared" si="5"/>
        <v>54301.419055358274</v>
      </c>
      <c r="M46" s="317">
        <f t="shared" si="6"/>
        <v>-40726.064291518705</v>
      </c>
      <c r="O46" s="42">
        <f t="shared" si="7"/>
        <v>-90227.078623668349</v>
      </c>
      <c r="P46" s="274"/>
      <c r="Q46" s="229"/>
      <c r="R46" s="229"/>
      <c r="S46" s="229"/>
      <c r="T46" s="229"/>
      <c r="U46" s="229"/>
      <c r="AF46" s="11"/>
      <c r="AG46" s="11"/>
      <c r="AH46" s="11"/>
      <c r="AI46" s="11"/>
      <c r="AJ46" s="11"/>
      <c r="AK46" s="11"/>
      <c r="AL46" s="11"/>
    </row>
    <row r="47" spans="1:38" x14ac:dyDescent="0.25">
      <c r="A47" s="38">
        <f>+Données!A47</f>
        <v>5480</v>
      </c>
      <c r="B47" s="250" t="str">
        <f>+Données!B47</f>
        <v>Daillens</v>
      </c>
      <c r="C47" s="238">
        <f>+Ecrêtage!C47</f>
        <v>40967.735913324992</v>
      </c>
      <c r="D47" s="236"/>
      <c r="E47" s="238">
        <f>Données!AF47+Données!AG47+Données!AH47</f>
        <v>906792</v>
      </c>
      <c r="F47" s="236">
        <f t="shared" si="0"/>
        <v>327741.88730659994</v>
      </c>
      <c r="G47" s="8">
        <f t="shared" si="3"/>
        <v>579050.11269340012</v>
      </c>
      <c r="H47" s="317">
        <f t="shared" si="4"/>
        <v>-434287.58452005009</v>
      </c>
      <c r="J47" s="8">
        <f>Données!AN47</f>
        <v>11641</v>
      </c>
      <c r="K47" s="216">
        <f t="shared" si="1"/>
        <v>40967.735913324992</v>
      </c>
      <c r="L47" s="12">
        <f t="shared" si="5"/>
        <v>0</v>
      </c>
      <c r="M47" s="317">
        <f t="shared" si="6"/>
        <v>0</v>
      </c>
      <c r="O47" s="42">
        <f t="shared" si="7"/>
        <v>-434287.58452005009</v>
      </c>
      <c r="P47" s="274"/>
      <c r="Q47" s="229"/>
      <c r="R47" s="229"/>
      <c r="S47" s="229"/>
      <c r="T47" s="229"/>
      <c r="U47" s="229"/>
      <c r="AF47" s="11"/>
      <c r="AG47" s="11"/>
      <c r="AH47" s="11"/>
      <c r="AI47" s="11"/>
      <c r="AJ47" s="11"/>
      <c r="AK47" s="11"/>
      <c r="AL47" s="11"/>
    </row>
    <row r="48" spans="1:38" x14ac:dyDescent="0.25">
      <c r="A48" s="38">
        <f>+Données!A48</f>
        <v>5481</v>
      </c>
      <c r="B48" s="250" t="str">
        <f>+Données!B48</f>
        <v>Dizy</v>
      </c>
      <c r="C48" s="238">
        <f>+Ecrêtage!C48</f>
        <v>8106.5312898245948</v>
      </c>
      <c r="D48" s="236"/>
      <c r="E48" s="238">
        <f>Données!AF48+Données!AG48+Données!AH48</f>
        <v>103459</v>
      </c>
      <c r="F48" s="236">
        <f t="shared" si="0"/>
        <v>64852.250318596758</v>
      </c>
      <c r="G48" s="8">
        <f t="shared" si="3"/>
        <v>38606.749681403242</v>
      </c>
      <c r="H48" s="317">
        <f t="shared" si="4"/>
        <v>-28955.06226105243</v>
      </c>
      <c r="J48" s="8">
        <f>Données!AN48</f>
        <v>5105</v>
      </c>
      <c r="K48" s="216">
        <f t="shared" si="1"/>
        <v>8106.5312898245948</v>
      </c>
      <c r="L48" s="12">
        <f t="shared" si="5"/>
        <v>0</v>
      </c>
      <c r="M48" s="317">
        <f t="shared" si="6"/>
        <v>0</v>
      </c>
      <c r="O48" s="42">
        <f t="shared" si="7"/>
        <v>-28955.06226105243</v>
      </c>
      <c r="P48" s="274"/>
      <c r="Q48" s="229"/>
      <c r="R48" s="229"/>
      <c r="S48" s="229"/>
      <c r="T48" s="229"/>
      <c r="U48" s="229"/>
      <c r="AF48" s="11"/>
      <c r="AG48" s="11"/>
      <c r="AH48" s="11"/>
      <c r="AI48" s="11"/>
      <c r="AJ48" s="11"/>
      <c r="AK48" s="11"/>
      <c r="AL48" s="11"/>
    </row>
    <row r="49" spans="1:38" x14ac:dyDescent="0.25">
      <c r="A49" s="38">
        <f>+Données!A49</f>
        <v>5482</v>
      </c>
      <c r="B49" s="250" t="str">
        <f>+Données!B49</f>
        <v>Eclépens</v>
      </c>
      <c r="C49" s="238">
        <f>+Ecrêtage!C49</f>
        <v>70435.439965635131</v>
      </c>
      <c r="D49" s="236"/>
      <c r="E49" s="238">
        <f>Données!AF49+Données!AG49+Données!AH49</f>
        <v>480009</v>
      </c>
      <c r="F49" s="236">
        <f t="shared" si="0"/>
        <v>563483.51972508105</v>
      </c>
      <c r="G49" s="8">
        <f t="shared" si="3"/>
        <v>0</v>
      </c>
      <c r="H49" s="317">
        <f t="shared" si="4"/>
        <v>0</v>
      </c>
      <c r="J49" s="8">
        <f>Données!AN49</f>
        <v>55622</v>
      </c>
      <c r="K49" s="216">
        <f t="shared" si="1"/>
        <v>70435.439965635131</v>
      </c>
      <c r="L49" s="12">
        <f t="shared" si="5"/>
        <v>0</v>
      </c>
      <c r="M49" s="317">
        <f t="shared" si="6"/>
        <v>0</v>
      </c>
      <c r="O49" s="42">
        <f t="shared" si="7"/>
        <v>0</v>
      </c>
      <c r="P49" s="274"/>
      <c r="Q49" s="229"/>
      <c r="R49" s="229"/>
      <c r="S49" s="229"/>
      <c r="T49" s="229"/>
      <c r="U49" s="229"/>
      <c r="AF49" s="11"/>
      <c r="AG49" s="11"/>
      <c r="AH49" s="11"/>
      <c r="AI49" s="11"/>
      <c r="AJ49" s="11"/>
      <c r="AK49" s="11"/>
      <c r="AL49" s="11"/>
    </row>
    <row r="50" spans="1:38" x14ac:dyDescent="0.25">
      <c r="A50" s="38">
        <f>+Données!A50</f>
        <v>5483</v>
      </c>
      <c r="B50" s="250" t="str">
        <f>+Données!B50</f>
        <v>Ferreyres</v>
      </c>
      <c r="C50" s="238">
        <f>+Ecrêtage!C50</f>
        <v>10817.678140952161</v>
      </c>
      <c r="D50" s="236"/>
      <c r="E50" s="238">
        <f>Données!AF50+Données!AG50+Données!AH50</f>
        <v>81937</v>
      </c>
      <c r="F50" s="236">
        <f t="shared" si="0"/>
        <v>86541.425127617287</v>
      </c>
      <c r="G50" s="8">
        <f t="shared" si="3"/>
        <v>0</v>
      </c>
      <c r="H50" s="317">
        <f t="shared" si="4"/>
        <v>0</v>
      </c>
      <c r="J50" s="8">
        <f>Données!AN50</f>
        <v>9917</v>
      </c>
      <c r="K50" s="216">
        <f t="shared" si="1"/>
        <v>10817.678140952161</v>
      </c>
      <c r="L50" s="12">
        <f t="shared" si="5"/>
        <v>0</v>
      </c>
      <c r="M50" s="317">
        <f t="shared" si="6"/>
        <v>0</v>
      </c>
      <c r="O50" s="42">
        <f t="shared" si="7"/>
        <v>0</v>
      </c>
      <c r="P50" s="274"/>
      <c r="Q50" s="229"/>
      <c r="R50" s="229"/>
      <c r="S50" s="229"/>
      <c r="T50" s="229"/>
      <c r="U50" s="229"/>
      <c r="AF50" s="11"/>
      <c r="AG50" s="11"/>
      <c r="AH50" s="11"/>
      <c r="AI50" s="11"/>
      <c r="AJ50" s="11"/>
      <c r="AK50" s="11"/>
      <c r="AL50" s="11"/>
    </row>
    <row r="51" spans="1:38" x14ac:dyDescent="0.25">
      <c r="A51" s="38">
        <f>+Données!A51</f>
        <v>5484</v>
      </c>
      <c r="B51" s="250" t="str">
        <f>+Données!B51</f>
        <v>Gollion</v>
      </c>
      <c r="C51" s="238">
        <f>+Ecrêtage!C51</f>
        <v>34968.588815884439</v>
      </c>
      <c r="D51" s="236"/>
      <c r="E51" s="238">
        <f>Données!AF51+Données!AG51+Données!AH51</f>
        <v>524514</v>
      </c>
      <c r="F51" s="236">
        <f t="shared" si="0"/>
        <v>279748.71052707551</v>
      </c>
      <c r="G51" s="8">
        <f t="shared" si="3"/>
        <v>244765.28947292449</v>
      </c>
      <c r="H51" s="317">
        <f t="shared" si="4"/>
        <v>-183573.96710469335</v>
      </c>
      <c r="J51" s="8">
        <f>Données!AN51</f>
        <v>80649</v>
      </c>
      <c r="K51" s="216">
        <f t="shared" si="1"/>
        <v>34968.588815884439</v>
      </c>
      <c r="L51" s="12">
        <f t="shared" si="5"/>
        <v>45680.411184115561</v>
      </c>
      <c r="M51" s="317">
        <f t="shared" si="6"/>
        <v>-34260.308388086669</v>
      </c>
      <c r="O51" s="42">
        <f t="shared" si="7"/>
        <v>-217834.27549278003</v>
      </c>
      <c r="P51" s="274"/>
      <c r="Q51" s="229"/>
      <c r="R51" s="229"/>
      <c r="S51" s="229"/>
      <c r="T51" s="229"/>
      <c r="U51" s="229"/>
      <c r="AF51" s="11"/>
      <c r="AG51" s="11"/>
      <c r="AH51" s="11"/>
      <c r="AI51" s="11"/>
      <c r="AJ51" s="11"/>
      <c r="AK51" s="11"/>
      <c r="AL51" s="11"/>
    </row>
    <row r="52" spans="1:38" x14ac:dyDescent="0.25">
      <c r="A52" s="38">
        <f>+Données!A52</f>
        <v>5485</v>
      </c>
      <c r="B52" s="250" t="str">
        <f>+Données!B52</f>
        <v>Grancy</v>
      </c>
      <c r="C52" s="238">
        <f>+Ecrêtage!C52</f>
        <v>14538.346948228997</v>
      </c>
      <c r="D52" s="236"/>
      <c r="E52" s="238">
        <f>Données!AF52+Données!AG52+Données!AH52</f>
        <v>116363</v>
      </c>
      <c r="F52" s="236">
        <f t="shared" si="0"/>
        <v>116306.77558583197</v>
      </c>
      <c r="G52" s="8">
        <f t="shared" si="3"/>
        <v>56.224414168027579</v>
      </c>
      <c r="H52" s="317">
        <f t="shared" si="4"/>
        <v>-42.168310626020684</v>
      </c>
      <c r="J52" s="8">
        <f>Données!AN52</f>
        <v>70166</v>
      </c>
      <c r="K52" s="216">
        <f t="shared" si="1"/>
        <v>14538.346948228997</v>
      </c>
      <c r="L52" s="12">
        <f t="shared" si="5"/>
        <v>55627.653051771005</v>
      </c>
      <c r="M52" s="317">
        <f t="shared" si="6"/>
        <v>-41720.739788828258</v>
      </c>
      <c r="O52" s="42">
        <f t="shared" si="7"/>
        <v>-41762.908099454275</v>
      </c>
      <c r="P52" s="274"/>
      <c r="Q52" s="229"/>
      <c r="R52" s="229"/>
      <c r="S52" s="229"/>
      <c r="T52" s="229"/>
      <c r="U52" s="229"/>
      <c r="AF52" s="11"/>
      <c r="AG52" s="11"/>
      <c r="AH52" s="11"/>
      <c r="AI52" s="11"/>
      <c r="AJ52" s="11"/>
      <c r="AK52" s="11"/>
      <c r="AL52" s="11"/>
    </row>
    <row r="53" spans="1:38" x14ac:dyDescent="0.25">
      <c r="A53" s="38">
        <f>+Données!A53</f>
        <v>5486</v>
      </c>
      <c r="B53" s="250" t="str">
        <f>+Données!B53</f>
        <v>L'Isle</v>
      </c>
      <c r="C53" s="238">
        <f>+Ecrêtage!C53</f>
        <v>37453.794062170404</v>
      </c>
      <c r="D53" s="236"/>
      <c r="E53" s="238">
        <f>Données!AF53+Données!AG53+Données!AH53</f>
        <v>571168</v>
      </c>
      <c r="F53" s="236">
        <f t="shared" si="0"/>
        <v>299630.35249736323</v>
      </c>
      <c r="G53" s="8">
        <f t="shared" si="3"/>
        <v>271537.64750263677</v>
      </c>
      <c r="H53" s="317">
        <f t="shared" si="4"/>
        <v>-203653.23562697758</v>
      </c>
      <c r="J53" s="8">
        <f>Données!AN53</f>
        <v>127153</v>
      </c>
      <c r="K53" s="216">
        <f t="shared" si="1"/>
        <v>37453.794062170404</v>
      </c>
      <c r="L53" s="12">
        <f t="shared" si="5"/>
        <v>89699.205937829596</v>
      </c>
      <c r="M53" s="317">
        <f t="shared" si="6"/>
        <v>-67274.404453372204</v>
      </c>
      <c r="O53" s="42">
        <f t="shared" si="7"/>
        <v>-270927.64008034975</v>
      </c>
      <c r="P53" s="274"/>
      <c r="Q53" s="229"/>
      <c r="R53" s="229"/>
      <c r="S53" s="229"/>
      <c r="T53" s="229"/>
      <c r="U53" s="229"/>
      <c r="AF53" s="11"/>
      <c r="AG53" s="11"/>
      <c r="AH53" s="11"/>
      <c r="AI53" s="11"/>
      <c r="AJ53" s="11"/>
      <c r="AK53" s="11"/>
      <c r="AL53" s="11"/>
    </row>
    <row r="54" spans="1:38" x14ac:dyDescent="0.25">
      <c r="A54" s="38">
        <f>+Données!A54</f>
        <v>5487</v>
      </c>
      <c r="B54" s="250" t="str">
        <f>+Données!B54</f>
        <v>Lussery-Villars</v>
      </c>
      <c r="C54" s="238">
        <f>+Ecrêtage!C54</f>
        <v>12890.529066666668</v>
      </c>
      <c r="D54" s="236"/>
      <c r="E54" s="238">
        <f>Données!AF54+Données!AG54+Données!AH54</f>
        <v>147990</v>
      </c>
      <c r="F54" s="236">
        <f t="shared" si="0"/>
        <v>103124.23253333334</v>
      </c>
      <c r="G54" s="8">
        <f t="shared" si="3"/>
        <v>44865.767466666657</v>
      </c>
      <c r="H54" s="317">
        <f t="shared" si="4"/>
        <v>-33649.325599999996</v>
      </c>
      <c r="J54" s="8">
        <f>Données!AN54</f>
        <v>1844</v>
      </c>
      <c r="K54" s="216">
        <f t="shared" si="1"/>
        <v>12890.529066666668</v>
      </c>
      <c r="L54" s="12">
        <f t="shared" si="5"/>
        <v>0</v>
      </c>
      <c r="M54" s="317">
        <f t="shared" si="6"/>
        <v>0</v>
      </c>
      <c r="O54" s="42">
        <f t="shared" si="7"/>
        <v>-33649.325599999996</v>
      </c>
      <c r="P54" s="274"/>
      <c r="Q54" s="229"/>
      <c r="R54" s="229"/>
      <c r="S54" s="229"/>
      <c r="T54" s="229"/>
      <c r="U54" s="229"/>
      <c r="AF54" s="11"/>
      <c r="AG54" s="11"/>
      <c r="AH54" s="11"/>
      <c r="AI54" s="11"/>
      <c r="AJ54" s="11"/>
      <c r="AK54" s="11"/>
      <c r="AL54" s="11"/>
    </row>
    <row r="55" spans="1:38" x14ac:dyDescent="0.25">
      <c r="A55" s="38">
        <f>+Données!A55</f>
        <v>5488</v>
      </c>
      <c r="B55" s="250" t="str">
        <f>+Données!B55</f>
        <v>Mauraz</v>
      </c>
      <c r="C55" s="238">
        <f>+Ecrêtage!C55</f>
        <v>1631.9031355919719</v>
      </c>
      <c r="D55" s="236"/>
      <c r="E55" s="238">
        <f>Données!AF55+Données!AG55+Données!AH55</f>
        <v>0</v>
      </c>
      <c r="F55" s="236">
        <f t="shared" si="0"/>
        <v>13055.225084735775</v>
      </c>
      <c r="G55" s="8">
        <f t="shared" si="3"/>
        <v>0</v>
      </c>
      <c r="H55" s="317">
        <f t="shared" si="4"/>
        <v>0</v>
      </c>
      <c r="J55" s="8">
        <f>Données!AN55</f>
        <v>0</v>
      </c>
      <c r="K55" s="216">
        <f t="shared" si="1"/>
        <v>1631.9031355919719</v>
      </c>
      <c r="L55" s="12">
        <f t="shared" si="5"/>
        <v>0</v>
      </c>
      <c r="M55" s="317">
        <f t="shared" si="6"/>
        <v>0</v>
      </c>
      <c r="O55" s="42">
        <f t="shared" si="7"/>
        <v>0</v>
      </c>
      <c r="P55" s="274"/>
      <c r="Q55" s="229"/>
      <c r="R55" s="229"/>
      <c r="S55" s="229"/>
      <c r="T55" s="229"/>
      <c r="U55" s="229"/>
      <c r="AF55" s="11"/>
      <c r="AG55" s="11"/>
      <c r="AH55" s="11"/>
      <c r="AI55" s="11"/>
      <c r="AJ55" s="11"/>
      <c r="AK55" s="11"/>
      <c r="AL55" s="11"/>
    </row>
    <row r="56" spans="1:38" x14ac:dyDescent="0.25">
      <c r="A56" s="38">
        <f>+Données!A56</f>
        <v>5489</v>
      </c>
      <c r="B56" s="250" t="str">
        <f>+Données!B56</f>
        <v>Mex</v>
      </c>
      <c r="C56" s="238">
        <f>+Ecrêtage!C56</f>
        <v>57470.761557418853</v>
      </c>
      <c r="D56" s="236"/>
      <c r="E56" s="238">
        <f>Données!AF56+Données!AG56+Données!AH56</f>
        <v>236686</v>
      </c>
      <c r="F56" s="236">
        <f t="shared" si="0"/>
        <v>459766.09245935082</v>
      </c>
      <c r="G56" s="8">
        <f t="shared" si="3"/>
        <v>0</v>
      </c>
      <c r="H56" s="317">
        <f t="shared" si="4"/>
        <v>0</v>
      </c>
      <c r="J56" s="8">
        <f>Données!AN56</f>
        <v>61574</v>
      </c>
      <c r="K56" s="216">
        <f t="shared" si="1"/>
        <v>57470.761557418853</v>
      </c>
      <c r="L56" s="12">
        <f t="shared" si="5"/>
        <v>4103.238442581147</v>
      </c>
      <c r="M56" s="317">
        <f t="shared" si="6"/>
        <v>-3077.4288319358602</v>
      </c>
      <c r="O56" s="42">
        <f t="shared" si="7"/>
        <v>-3077.4288319358602</v>
      </c>
      <c r="P56" s="274"/>
      <c r="Q56" s="229"/>
      <c r="R56" s="229"/>
      <c r="S56" s="229"/>
      <c r="T56" s="229"/>
      <c r="U56" s="229"/>
      <c r="AF56" s="11"/>
      <c r="AG56" s="11"/>
      <c r="AH56" s="11"/>
      <c r="AI56" s="11"/>
      <c r="AJ56" s="11"/>
      <c r="AK56" s="11"/>
      <c r="AL56" s="11"/>
    </row>
    <row r="57" spans="1:38" x14ac:dyDescent="0.25">
      <c r="A57" s="38">
        <f>+Données!A57</f>
        <v>5490</v>
      </c>
      <c r="B57" s="250" t="str">
        <f>+Données!B57</f>
        <v>Moiry</v>
      </c>
      <c r="C57" s="238">
        <f>+Ecrêtage!C57</f>
        <v>8655.6964066779783</v>
      </c>
      <c r="D57" s="236"/>
      <c r="E57" s="238">
        <f>Données!AF57+Données!AG57+Données!AH57</f>
        <v>100067</v>
      </c>
      <c r="F57" s="236">
        <f t="shared" si="0"/>
        <v>69245.571253423826</v>
      </c>
      <c r="G57" s="8">
        <f t="shared" si="3"/>
        <v>30821.428746576174</v>
      </c>
      <c r="H57" s="317">
        <f t="shared" si="4"/>
        <v>-23116.07155993213</v>
      </c>
      <c r="J57" s="8">
        <f>Données!AN57</f>
        <v>-4782</v>
      </c>
      <c r="K57" s="216">
        <f t="shared" si="1"/>
        <v>8655.6964066779783</v>
      </c>
      <c r="L57" s="12">
        <f t="shared" si="5"/>
        <v>0</v>
      </c>
      <c r="M57" s="317">
        <f t="shared" si="6"/>
        <v>0</v>
      </c>
      <c r="O57" s="42">
        <f t="shared" si="7"/>
        <v>-23116.07155993213</v>
      </c>
      <c r="P57" s="274"/>
      <c r="Q57" s="229"/>
      <c r="R57" s="229"/>
      <c r="S57" s="229"/>
      <c r="T57" s="229"/>
      <c r="U57" s="229"/>
      <c r="AF57" s="11"/>
      <c r="AG57" s="11"/>
      <c r="AH57" s="11"/>
      <c r="AI57" s="11"/>
      <c r="AJ57" s="11"/>
      <c r="AK57" s="11"/>
      <c r="AL57" s="11"/>
    </row>
    <row r="58" spans="1:38" x14ac:dyDescent="0.25">
      <c r="A58" s="38">
        <f>+Données!A58</f>
        <v>5491</v>
      </c>
      <c r="B58" s="250" t="str">
        <f>+Données!B58</f>
        <v>Mont-la-Ville</v>
      </c>
      <c r="C58" s="238">
        <f>+Ecrêtage!C58</f>
        <v>14318.599966826661</v>
      </c>
      <c r="D58" s="236"/>
      <c r="E58" s="238">
        <f>Données!AF58+Données!AG58+Données!AH58</f>
        <v>219219</v>
      </c>
      <c r="F58" s="236">
        <f t="shared" si="0"/>
        <v>114548.79973461329</v>
      </c>
      <c r="G58" s="8">
        <f t="shared" si="3"/>
        <v>104670.20026538671</v>
      </c>
      <c r="H58" s="317">
        <f t="shared" si="4"/>
        <v>-78502.650199040028</v>
      </c>
      <c r="J58" s="8">
        <f>Données!AN58</f>
        <v>-27757</v>
      </c>
      <c r="K58" s="216">
        <f t="shared" si="1"/>
        <v>14318.599966826661</v>
      </c>
      <c r="L58" s="12">
        <f t="shared" si="5"/>
        <v>0</v>
      </c>
      <c r="M58" s="317">
        <f t="shared" si="6"/>
        <v>0</v>
      </c>
      <c r="O58" s="42">
        <f t="shared" si="7"/>
        <v>-78502.650199040028</v>
      </c>
      <c r="P58" s="274"/>
      <c r="Q58" s="229"/>
      <c r="R58" s="229"/>
      <c r="S58" s="229"/>
      <c r="T58" s="229"/>
      <c r="U58" s="229"/>
      <c r="AF58" s="11"/>
      <c r="AG58" s="11"/>
      <c r="AH58" s="11"/>
      <c r="AI58" s="11"/>
      <c r="AJ58" s="11"/>
      <c r="AK58" s="11"/>
      <c r="AL58" s="11"/>
    </row>
    <row r="59" spans="1:38" x14ac:dyDescent="0.25">
      <c r="A59" s="38">
        <f>+Données!A59</f>
        <v>5492</v>
      </c>
      <c r="B59" s="250" t="str">
        <f>+Données!B59</f>
        <v>Montricher</v>
      </c>
      <c r="C59" s="238">
        <f>+Ecrêtage!C59</f>
        <v>157142.15514628743</v>
      </c>
      <c r="D59" s="236"/>
      <c r="E59" s="238">
        <f>Données!AF59+Données!AG59+Données!AH59</f>
        <v>446004</v>
      </c>
      <c r="F59" s="236">
        <f t="shared" si="0"/>
        <v>1257137.2411702995</v>
      </c>
      <c r="G59" s="8">
        <f t="shared" si="3"/>
        <v>0</v>
      </c>
      <c r="H59" s="317">
        <f t="shared" si="4"/>
        <v>0</v>
      </c>
      <c r="J59" s="8">
        <f>Données!AN59</f>
        <v>433832</v>
      </c>
      <c r="K59" s="216">
        <f t="shared" si="1"/>
        <v>157142.15514628743</v>
      </c>
      <c r="L59" s="12">
        <f t="shared" si="5"/>
        <v>276689.8448537126</v>
      </c>
      <c r="M59" s="317">
        <f t="shared" si="6"/>
        <v>-207517.38364028445</v>
      </c>
      <c r="O59" s="42">
        <f t="shared" si="7"/>
        <v>-207517.38364028445</v>
      </c>
      <c r="P59" s="274"/>
      <c r="Q59" s="229"/>
      <c r="R59" s="229"/>
      <c r="S59" s="229"/>
      <c r="T59" s="229"/>
      <c r="U59" s="229"/>
      <c r="AF59" s="11"/>
      <c r="AG59" s="11"/>
      <c r="AH59" s="11"/>
      <c r="AI59" s="11"/>
      <c r="AJ59" s="11"/>
      <c r="AK59" s="11"/>
      <c r="AL59" s="11"/>
    </row>
    <row r="60" spans="1:38" x14ac:dyDescent="0.25">
      <c r="A60" s="38">
        <f>+Données!A60</f>
        <v>5493</v>
      </c>
      <c r="B60" s="250" t="str">
        <f>+Données!B60</f>
        <v>Orny</v>
      </c>
      <c r="C60" s="238">
        <f>+Ecrêtage!C60</f>
        <v>12876.853954456508</v>
      </c>
      <c r="D60" s="236"/>
      <c r="E60" s="238">
        <f>Données!AF60+Données!AG60+Données!AH60</f>
        <v>98329</v>
      </c>
      <c r="F60" s="236">
        <f t="shared" si="0"/>
        <v>103014.83163565207</v>
      </c>
      <c r="G60" s="8">
        <f t="shared" si="3"/>
        <v>0</v>
      </c>
      <c r="H60" s="317">
        <f t="shared" si="4"/>
        <v>0</v>
      </c>
      <c r="J60" s="8">
        <f>Données!AN60</f>
        <v>5418</v>
      </c>
      <c r="K60" s="216">
        <f t="shared" si="1"/>
        <v>12876.853954456508</v>
      </c>
      <c r="L60" s="12">
        <f t="shared" si="5"/>
        <v>0</v>
      </c>
      <c r="M60" s="317">
        <f t="shared" si="6"/>
        <v>0</v>
      </c>
      <c r="O60" s="42">
        <f t="shared" si="7"/>
        <v>0</v>
      </c>
      <c r="P60" s="274"/>
      <c r="Q60" s="229"/>
      <c r="R60" s="229"/>
      <c r="S60" s="229"/>
      <c r="T60" s="229"/>
      <c r="U60" s="229"/>
      <c r="AF60" s="11"/>
      <c r="AG60" s="11"/>
      <c r="AH60" s="11"/>
      <c r="AI60" s="11"/>
      <c r="AJ60" s="11"/>
      <c r="AK60" s="11"/>
      <c r="AL60" s="11"/>
    </row>
    <row r="61" spans="1:38" x14ac:dyDescent="0.25">
      <c r="A61" s="38">
        <f>+Données!A61</f>
        <v>5495</v>
      </c>
      <c r="B61" s="250" t="str">
        <f>+Données!B61</f>
        <v>Penthalaz</v>
      </c>
      <c r="C61" s="238">
        <f>+Ecrêtage!C61</f>
        <v>93343.047382121076</v>
      </c>
      <c r="D61" s="236"/>
      <c r="E61" s="238">
        <f>Données!AF61+Données!AG61+Données!AH61</f>
        <v>1561850</v>
      </c>
      <c r="F61" s="236">
        <f t="shared" si="0"/>
        <v>746744.37905696861</v>
      </c>
      <c r="G61" s="8">
        <f t="shared" si="3"/>
        <v>815105.62094303139</v>
      </c>
      <c r="H61" s="317">
        <f t="shared" si="4"/>
        <v>-611329.21570727357</v>
      </c>
      <c r="J61" s="8">
        <f>Données!AN61</f>
        <v>56944</v>
      </c>
      <c r="K61" s="216">
        <f t="shared" si="1"/>
        <v>93343.047382121076</v>
      </c>
      <c r="L61" s="12">
        <f t="shared" si="5"/>
        <v>0</v>
      </c>
      <c r="M61" s="317">
        <f t="shared" si="6"/>
        <v>0</v>
      </c>
      <c r="O61" s="42">
        <f t="shared" si="7"/>
        <v>-611329.21570727357</v>
      </c>
      <c r="P61" s="274"/>
      <c r="Q61" s="229"/>
      <c r="R61" s="229"/>
      <c r="S61" s="229"/>
      <c r="T61" s="229"/>
      <c r="U61" s="229"/>
      <c r="AF61" s="11"/>
      <c r="AG61" s="11"/>
      <c r="AH61" s="11"/>
      <c r="AI61" s="11"/>
      <c r="AJ61" s="11"/>
      <c r="AK61" s="11"/>
      <c r="AL61" s="11"/>
    </row>
    <row r="62" spans="1:38" x14ac:dyDescent="0.25">
      <c r="A62" s="38">
        <f>+Données!A62</f>
        <v>5496</v>
      </c>
      <c r="B62" s="250" t="str">
        <f>+Données!B62</f>
        <v>Penthaz</v>
      </c>
      <c r="C62" s="238">
        <f>+Ecrêtage!C62</f>
        <v>60111.570435586618</v>
      </c>
      <c r="D62" s="236"/>
      <c r="E62" s="238">
        <f>Données!AF62+Données!AG62+Données!AH62</f>
        <v>756996</v>
      </c>
      <c r="F62" s="236">
        <f t="shared" si="0"/>
        <v>480892.56348469295</v>
      </c>
      <c r="G62" s="8">
        <f t="shared" si="3"/>
        <v>276103.43651530705</v>
      </c>
      <c r="H62" s="317">
        <f t="shared" si="4"/>
        <v>-207077.57738648029</v>
      </c>
      <c r="J62" s="8">
        <f>Données!AN62</f>
        <v>21865</v>
      </c>
      <c r="K62" s="216">
        <f t="shared" si="1"/>
        <v>60111.570435586618</v>
      </c>
      <c r="L62" s="12">
        <f t="shared" si="5"/>
        <v>0</v>
      </c>
      <c r="M62" s="317">
        <f t="shared" si="6"/>
        <v>0</v>
      </c>
      <c r="O62" s="42">
        <f t="shared" si="7"/>
        <v>-207077.57738648029</v>
      </c>
      <c r="P62" s="274"/>
      <c r="Q62" s="229"/>
      <c r="R62" s="229"/>
      <c r="S62" s="229"/>
      <c r="T62" s="229"/>
      <c r="U62" s="229"/>
      <c r="AF62" s="11"/>
      <c r="AG62" s="11"/>
      <c r="AH62" s="11"/>
      <c r="AI62" s="11"/>
      <c r="AJ62" s="11"/>
      <c r="AK62" s="11"/>
      <c r="AL62" s="11"/>
    </row>
    <row r="63" spans="1:38" x14ac:dyDescent="0.25">
      <c r="A63" s="38">
        <f>+Données!A63</f>
        <v>5497</v>
      </c>
      <c r="B63" s="250" t="str">
        <f>+Données!B63</f>
        <v>Pompaples</v>
      </c>
      <c r="C63" s="238">
        <f>+Ecrêtage!C63</f>
        <v>20415.356363636369</v>
      </c>
      <c r="D63" s="236"/>
      <c r="E63" s="238">
        <f>Données!AF63+Données!AG63+Données!AH63</f>
        <v>297644</v>
      </c>
      <c r="F63" s="236">
        <f t="shared" si="0"/>
        <v>163322.85090909095</v>
      </c>
      <c r="G63" s="8">
        <f t="shared" si="3"/>
        <v>134321.14909090905</v>
      </c>
      <c r="H63" s="317">
        <f t="shared" si="4"/>
        <v>-100740.86181818179</v>
      </c>
      <c r="J63" s="8">
        <f>Données!AN63</f>
        <v>11913</v>
      </c>
      <c r="K63" s="216">
        <f t="shared" si="1"/>
        <v>20415.356363636369</v>
      </c>
      <c r="L63" s="12">
        <f t="shared" si="5"/>
        <v>0</v>
      </c>
      <c r="M63" s="317">
        <f t="shared" si="6"/>
        <v>0</v>
      </c>
      <c r="O63" s="42">
        <f t="shared" si="7"/>
        <v>-100740.86181818179</v>
      </c>
      <c r="P63" s="274"/>
      <c r="Q63" s="229"/>
      <c r="R63" s="229"/>
      <c r="S63" s="229"/>
      <c r="T63" s="229"/>
      <c r="U63" s="229"/>
      <c r="AF63" s="11"/>
      <c r="AG63" s="11"/>
      <c r="AH63" s="11"/>
      <c r="AI63" s="11"/>
      <c r="AJ63" s="11"/>
      <c r="AK63" s="11"/>
      <c r="AL63" s="11"/>
    </row>
    <row r="64" spans="1:38" x14ac:dyDescent="0.25">
      <c r="A64" s="38">
        <f>+Données!A64</f>
        <v>5498</v>
      </c>
      <c r="B64" s="250" t="str">
        <f>+Données!B64</f>
        <v>La Sarraz</v>
      </c>
      <c r="C64" s="238">
        <f>+Ecrêtage!C64</f>
        <v>77489.743908484481</v>
      </c>
      <c r="D64" s="236"/>
      <c r="E64" s="238">
        <f>Données!AF64+Données!AG64+Données!AH64</f>
        <v>1188177</v>
      </c>
      <c r="F64" s="236">
        <f t="shared" si="0"/>
        <v>619917.95126787585</v>
      </c>
      <c r="G64" s="8">
        <f t="shared" si="3"/>
        <v>568259.04873212415</v>
      </c>
      <c r="H64" s="317">
        <f t="shared" si="4"/>
        <v>-426194.28654909309</v>
      </c>
      <c r="J64" s="8">
        <f>Données!AN64</f>
        <v>34066</v>
      </c>
      <c r="K64" s="216">
        <f t="shared" si="1"/>
        <v>77489.743908484481</v>
      </c>
      <c r="L64" s="12">
        <f t="shared" si="5"/>
        <v>0</v>
      </c>
      <c r="M64" s="317">
        <f t="shared" si="6"/>
        <v>0</v>
      </c>
      <c r="O64" s="42">
        <f t="shared" si="7"/>
        <v>-426194.28654909309</v>
      </c>
      <c r="P64" s="274"/>
      <c r="Q64" s="229"/>
      <c r="R64" s="229"/>
      <c r="S64" s="229"/>
      <c r="T64" s="229"/>
      <c r="U64" s="229"/>
      <c r="AF64" s="11"/>
      <c r="AG64" s="11"/>
      <c r="AH64" s="11"/>
      <c r="AI64" s="11"/>
      <c r="AJ64" s="11"/>
      <c r="AK64" s="11"/>
      <c r="AL64" s="11"/>
    </row>
    <row r="65" spans="1:38" x14ac:dyDescent="0.25">
      <c r="A65" s="38">
        <f>+Données!A65</f>
        <v>5499</v>
      </c>
      <c r="B65" s="250" t="str">
        <f>+Données!B65</f>
        <v>Senarclens</v>
      </c>
      <c r="C65" s="238">
        <f>+Ecrêtage!C65</f>
        <v>19645.120071728084</v>
      </c>
      <c r="D65" s="236"/>
      <c r="E65" s="238">
        <f>Données!AF65+Données!AG65+Données!AH65</f>
        <v>447388</v>
      </c>
      <c r="F65" s="236">
        <f t="shared" si="0"/>
        <v>157160.96057382468</v>
      </c>
      <c r="G65" s="8">
        <f t="shared" si="3"/>
        <v>290227.0394261753</v>
      </c>
      <c r="H65" s="317">
        <f t="shared" si="4"/>
        <v>-217670.27956963147</v>
      </c>
      <c r="J65" s="8">
        <f>Données!AN65</f>
        <v>15291</v>
      </c>
      <c r="K65" s="216">
        <f t="shared" si="1"/>
        <v>19645.120071728084</v>
      </c>
      <c r="L65" s="12">
        <f t="shared" si="5"/>
        <v>0</v>
      </c>
      <c r="M65" s="317">
        <f t="shared" si="6"/>
        <v>0</v>
      </c>
      <c r="O65" s="42">
        <f t="shared" si="7"/>
        <v>-217670.27956963147</v>
      </c>
      <c r="P65" s="274"/>
      <c r="Q65" s="229"/>
      <c r="R65" s="229"/>
      <c r="S65" s="229"/>
      <c r="T65" s="229"/>
      <c r="U65" s="229"/>
      <c r="AF65" s="11"/>
      <c r="AG65" s="11"/>
      <c r="AH65" s="11"/>
      <c r="AI65" s="11"/>
      <c r="AJ65" s="11"/>
      <c r="AK65" s="11"/>
      <c r="AL65" s="11"/>
    </row>
    <row r="66" spans="1:38" x14ac:dyDescent="0.25">
      <c r="A66" s="38">
        <f>+Données!A66</f>
        <v>5501</v>
      </c>
      <c r="B66" s="250" t="str">
        <f>+Données!B66</f>
        <v>Sullens</v>
      </c>
      <c r="C66" s="238">
        <f>+Ecrêtage!C66</f>
        <v>41909.752277748921</v>
      </c>
      <c r="D66" s="236"/>
      <c r="E66" s="238">
        <f>Données!AF66+Données!AG66+Données!AH66</f>
        <v>344000</v>
      </c>
      <c r="F66" s="236">
        <f t="shared" si="0"/>
        <v>335278.01822199137</v>
      </c>
      <c r="G66" s="8">
        <f t="shared" si="3"/>
        <v>8721.9817780086305</v>
      </c>
      <c r="H66" s="317">
        <f t="shared" si="4"/>
        <v>-6541.4863335064729</v>
      </c>
      <c r="J66" s="8">
        <f>Données!AN66</f>
        <v>54509</v>
      </c>
      <c r="K66" s="216">
        <f t="shared" si="1"/>
        <v>41909.752277748921</v>
      </c>
      <c r="L66" s="12">
        <f t="shared" si="5"/>
        <v>12599.247722251079</v>
      </c>
      <c r="M66" s="317">
        <f t="shared" si="6"/>
        <v>-9449.4357916883091</v>
      </c>
      <c r="O66" s="42">
        <f t="shared" si="7"/>
        <v>-15990.922125194782</v>
      </c>
      <c r="P66" s="274"/>
      <c r="Q66" s="229"/>
      <c r="R66" s="229"/>
      <c r="S66" s="229"/>
      <c r="T66" s="229"/>
      <c r="U66" s="229"/>
      <c r="AF66" s="11"/>
      <c r="AG66" s="11"/>
      <c r="AH66" s="11"/>
      <c r="AI66" s="11"/>
      <c r="AJ66" s="11"/>
      <c r="AK66" s="11"/>
      <c r="AL66" s="11"/>
    </row>
    <row r="67" spans="1:38" x14ac:dyDescent="0.25">
      <c r="A67" s="38">
        <f>+Données!A67</f>
        <v>5503</v>
      </c>
      <c r="B67" s="250" t="str">
        <f>+Données!B67</f>
        <v>Vufflens-la-Ville</v>
      </c>
      <c r="C67" s="238">
        <f>+Ecrêtage!C67</f>
        <v>67522.299953701979</v>
      </c>
      <c r="D67" s="236"/>
      <c r="E67" s="238">
        <f>Données!AF67+Données!AG67+Données!AH67</f>
        <v>384604</v>
      </c>
      <c r="F67" s="236">
        <f t="shared" si="0"/>
        <v>540178.39962961583</v>
      </c>
      <c r="G67" s="8">
        <f t="shared" si="3"/>
        <v>0</v>
      </c>
      <c r="H67" s="317">
        <f t="shared" si="4"/>
        <v>0</v>
      </c>
      <c r="J67" s="8">
        <f>Données!AN67</f>
        <v>46671</v>
      </c>
      <c r="K67" s="216">
        <f t="shared" si="1"/>
        <v>67522.299953701979</v>
      </c>
      <c r="L67" s="12">
        <f t="shared" si="5"/>
        <v>0</v>
      </c>
      <c r="M67" s="317">
        <f t="shared" si="6"/>
        <v>0</v>
      </c>
      <c r="O67" s="42">
        <f t="shared" si="7"/>
        <v>0</v>
      </c>
      <c r="P67" s="274"/>
      <c r="Q67" s="229"/>
      <c r="R67" s="229"/>
      <c r="S67" s="229"/>
      <c r="T67" s="229"/>
      <c r="U67" s="229"/>
      <c r="AF67" s="11"/>
      <c r="AG67" s="11"/>
      <c r="AH67" s="11"/>
      <c r="AI67" s="11"/>
      <c r="AJ67" s="11"/>
      <c r="AK67" s="11"/>
      <c r="AL67" s="11"/>
    </row>
    <row r="68" spans="1:38" x14ac:dyDescent="0.25">
      <c r="A68" s="38">
        <f>+Données!A68</f>
        <v>5511</v>
      </c>
      <c r="B68" s="250" t="str">
        <f>+Données!B68</f>
        <v>Assens</v>
      </c>
      <c r="C68" s="238">
        <f>+Ecrêtage!C68</f>
        <v>66087.783372412887</v>
      </c>
      <c r="D68" s="236"/>
      <c r="E68" s="238">
        <f>Données!AF68+Données!AG68+Données!AH68</f>
        <v>737298</v>
      </c>
      <c r="F68" s="236">
        <f t="shared" si="0"/>
        <v>528702.26697930309</v>
      </c>
      <c r="G68" s="8">
        <f t="shared" si="3"/>
        <v>208595.73302069691</v>
      </c>
      <c r="H68" s="317">
        <f t="shared" si="4"/>
        <v>-156446.79976552268</v>
      </c>
      <c r="J68" s="8">
        <f>Données!AN68</f>
        <v>14276</v>
      </c>
      <c r="K68" s="216">
        <f t="shared" si="1"/>
        <v>66087.783372412887</v>
      </c>
      <c r="L68" s="12">
        <f t="shared" si="5"/>
        <v>0</v>
      </c>
      <c r="M68" s="317">
        <f t="shared" si="6"/>
        <v>0</v>
      </c>
      <c r="O68" s="42">
        <f t="shared" si="7"/>
        <v>-156446.79976552268</v>
      </c>
      <c r="P68" s="274"/>
      <c r="Q68" s="229"/>
      <c r="R68" s="229"/>
      <c r="S68" s="229"/>
      <c r="T68" s="229"/>
      <c r="U68" s="229"/>
      <c r="AF68" s="11"/>
      <c r="AG68" s="11"/>
      <c r="AH68" s="11"/>
      <c r="AI68" s="11"/>
      <c r="AJ68" s="11"/>
      <c r="AK68" s="11"/>
      <c r="AL68" s="11"/>
    </row>
    <row r="69" spans="1:38" x14ac:dyDescent="0.25">
      <c r="A69" s="38">
        <f>+Données!A69</f>
        <v>5512</v>
      </c>
      <c r="B69" s="250" t="str">
        <f>+Données!B69</f>
        <v>Bercher</v>
      </c>
      <c r="C69" s="238">
        <f>+Ecrêtage!C69</f>
        <v>40303.726605085889</v>
      </c>
      <c r="D69" s="236"/>
      <c r="E69" s="238">
        <f>Données!AF69+Données!AG69+Données!AH69</f>
        <v>622573</v>
      </c>
      <c r="F69" s="236">
        <f t="shared" si="0"/>
        <v>322429.81284068711</v>
      </c>
      <c r="G69" s="8">
        <f t="shared" si="3"/>
        <v>300143.18715931289</v>
      </c>
      <c r="H69" s="317">
        <f t="shared" si="4"/>
        <v>-225107.39036948467</v>
      </c>
      <c r="J69" s="8">
        <f>Données!AN69</f>
        <v>54283</v>
      </c>
      <c r="K69" s="216">
        <f t="shared" si="1"/>
        <v>40303.726605085889</v>
      </c>
      <c r="L69" s="12">
        <f t="shared" si="5"/>
        <v>13979.273394914111</v>
      </c>
      <c r="M69" s="317">
        <f t="shared" si="6"/>
        <v>-10484.455046185583</v>
      </c>
      <c r="O69" s="42">
        <f t="shared" si="7"/>
        <v>-235591.84541567025</v>
      </c>
      <c r="P69" s="274"/>
      <c r="Q69" s="229"/>
      <c r="R69" s="229"/>
      <c r="S69" s="229"/>
      <c r="T69" s="229"/>
      <c r="U69" s="229"/>
      <c r="AF69" s="11"/>
      <c r="AG69" s="11"/>
      <c r="AH69" s="11"/>
      <c r="AI69" s="11"/>
      <c r="AJ69" s="11"/>
      <c r="AK69" s="11"/>
      <c r="AL69" s="11"/>
    </row>
    <row r="70" spans="1:38" x14ac:dyDescent="0.25">
      <c r="A70" s="38">
        <f>+Données!A70</f>
        <v>5514</v>
      </c>
      <c r="B70" s="250" t="str">
        <f>+Données!B70</f>
        <v>Bottens</v>
      </c>
      <c r="C70" s="238">
        <f>+Ecrêtage!C70</f>
        <v>44188.527468794709</v>
      </c>
      <c r="D70" s="236"/>
      <c r="E70" s="238">
        <f>Données!AF70+Données!AG70+Données!AH70</f>
        <v>274511</v>
      </c>
      <c r="F70" s="236">
        <f t="shared" ref="F70:F133" si="8">+C70*$G$5</f>
        <v>353508.21975035768</v>
      </c>
      <c r="G70" s="8">
        <f t="shared" si="3"/>
        <v>0</v>
      </c>
      <c r="H70" s="317">
        <f t="shared" si="4"/>
        <v>0</v>
      </c>
      <c r="J70" s="8">
        <f>Données!AN70</f>
        <v>20888</v>
      </c>
      <c r="K70" s="216">
        <f t="shared" ref="K70:K133" si="9">C70*L$5</f>
        <v>44188.527468794709</v>
      </c>
      <c r="L70" s="12">
        <f t="shared" si="5"/>
        <v>0</v>
      </c>
      <c r="M70" s="317">
        <f t="shared" si="6"/>
        <v>0</v>
      </c>
      <c r="O70" s="42">
        <f t="shared" ref="O70:O101" si="10">M70+H70</f>
        <v>0</v>
      </c>
      <c r="P70" s="274"/>
      <c r="Q70" s="229"/>
      <c r="R70" s="229"/>
      <c r="S70" s="229"/>
      <c r="T70" s="229"/>
      <c r="U70" s="229"/>
      <c r="AF70" s="11"/>
      <c r="AG70" s="11"/>
      <c r="AH70" s="11"/>
      <c r="AI70" s="11"/>
      <c r="AJ70" s="11"/>
      <c r="AK70" s="11"/>
      <c r="AL70" s="11"/>
    </row>
    <row r="71" spans="1:38" x14ac:dyDescent="0.25">
      <c r="A71" s="38">
        <f>+Données!A71</f>
        <v>5515</v>
      </c>
      <c r="B71" s="250" t="str">
        <f>+Données!B71</f>
        <v>Bretigny-sur-Morrens</v>
      </c>
      <c r="C71" s="238">
        <f>+Ecrêtage!C71</f>
        <v>29581.308918344312</v>
      </c>
      <c r="D71" s="236"/>
      <c r="E71" s="238">
        <f>Données!AF71+Données!AG71+Données!AH71</f>
        <v>307398</v>
      </c>
      <c r="F71" s="236">
        <f t="shared" si="8"/>
        <v>236650.47134675449</v>
      </c>
      <c r="G71" s="8">
        <f t="shared" ref="G71:G134" si="11">IF(E71&gt;F71,E71-F71,0)</f>
        <v>70747.528653245507</v>
      </c>
      <c r="H71" s="317">
        <f t="shared" ref="H71:H134" si="12">-G71*H$5</f>
        <v>-53060.64648993413</v>
      </c>
      <c r="J71" s="8">
        <f>Données!AN71</f>
        <v>12370</v>
      </c>
      <c r="K71" s="216">
        <f t="shared" si="9"/>
        <v>29581.308918344312</v>
      </c>
      <c r="L71" s="12">
        <f t="shared" ref="L71:L134" si="13">IF(J71&gt;K71,J71-K71,0)</f>
        <v>0</v>
      </c>
      <c r="M71" s="317">
        <f t="shared" ref="M71:M134" si="14">-L71*M$5</f>
        <v>0</v>
      </c>
      <c r="O71" s="42">
        <f t="shared" si="10"/>
        <v>-53060.64648993413</v>
      </c>
      <c r="P71" s="274"/>
      <c r="Q71" s="229"/>
      <c r="R71" s="229"/>
      <c r="S71" s="229"/>
      <c r="T71" s="229"/>
      <c r="U71" s="229"/>
      <c r="AF71" s="11"/>
      <c r="AG71" s="11"/>
      <c r="AH71" s="11"/>
      <c r="AI71" s="11"/>
      <c r="AJ71" s="11"/>
      <c r="AK71" s="11"/>
      <c r="AL71" s="11"/>
    </row>
    <row r="72" spans="1:38" x14ac:dyDescent="0.25">
      <c r="A72" s="38">
        <f>+Données!A72</f>
        <v>5516</v>
      </c>
      <c r="B72" s="250" t="str">
        <f>+Données!B72</f>
        <v>Cugy</v>
      </c>
      <c r="C72" s="238">
        <f>+Ecrêtage!C72</f>
        <v>107018.16986148078</v>
      </c>
      <c r="D72" s="236"/>
      <c r="E72" s="238">
        <f>Données!AF72+Données!AG72+Données!AH72</f>
        <v>1073609</v>
      </c>
      <c r="F72" s="236">
        <f t="shared" si="8"/>
        <v>856145.35889184626</v>
      </c>
      <c r="G72" s="8">
        <f t="shared" si="11"/>
        <v>217463.64110815374</v>
      </c>
      <c r="H72" s="317">
        <f t="shared" si="12"/>
        <v>-163097.7308311153</v>
      </c>
      <c r="J72" s="8">
        <f>Données!AN72</f>
        <v>30451</v>
      </c>
      <c r="K72" s="216">
        <f t="shared" si="9"/>
        <v>107018.16986148078</v>
      </c>
      <c r="L72" s="12">
        <f t="shared" si="13"/>
        <v>0</v>
      </c>
      <c r="M72" s="317">
        <f t="shared" si="14"/>
        <v>0</v>
      </c>
      <c r="O72" s="42">
        <f t="shared" si="10"/>
        <v>-163097.7308311153</v>
      </c>
      <c r="P72" s="274"/>
      <c r="Q72" s="229"/>
      <c r="R72" s="229"/>
      <c r="S72" s="229"/>
      <c r="T72" s="229"/>
      <c r="U72" s="229"/>
      <c r="AF72" s="11"/>
      <c r="AG72" s="11"/>
      <c r="AH72" s="11"/>
      <c r="AI72" s="11"/>
      <c r="AJ72" s="11"/>
      <c r="AK72" s="11"/>
      <c r="AL72" s="11"/>
    </row>
    <row r="73" spans="1:38" x14ac:dyDescent="0.25">
      <c r="A73" s="38">
        <f>+Données!A73</f>
        <v>5518</v>
      </c>
      <c r="B73" s="250" t="str">
        <f>+Données!B73</f>
        <v>Echallens</v>
      </c>
      <c r="C73" s="238">
        <f>+Ecrêtage!C73</f>
        <v>178600.86493850421</v>
      </c>
      <c r="D73" s="236"/>
      <c r="E73" s="238">
        <f>Données!AF73+Données!AG73+Données!AH73</f>
        <v>3018237</v>
      </c>
      <c r="F73" s="236">
        <f t="shared" si="8"/>
        <v>1428806.9195080337</v>
      </c>
      <c r="G73" s="8">
        <f t="shared" si="11"/>
        <v>1589430.0804919663</v>
      </c>
      <c r="H73" s="317">
        <f t="shared" si="12"/>
        <v>-1192072.5603689747</v>
      </c>
      <c r="J73" s="8">
        <f>Données!AN73</f>
        <v>43552</v>
      </c>
      <c r="K73" s="216">
        <f t="shared" si="9"/>
        <v>178600.86493850421</v>
      </c>
      <c r="L73" s="12">
        <f t="shared" si="13"/>
        <v>0</v>
      </c>
      <c r="M73" s="317">
        <f t="shared" si="14"/>
        <v>0</v>
      </c>
      <c r="O73" s="42">
        <f t="shared" si="10"/>
        <v>-1192072.5603689747</v>
      </c>
      <c r="P73" s="274"/>
      <c r="Q73" s="229"/>
      <c r="R73" s="229"/>
      <c r="S73" s="229"/>
      <c r="T73" s="229"/>
      <c r="U73" s="229"/>
      <c r="AF73" s="11"/>
      <c r="AG73" s="11"/>
      <c r="AH73" s="11"/>
      <c r="AI73" s="11"/>
      <c r="AJ73" s="11"/>
      <c r="AK73" s="11"/>
      <c r="AL73" s="11"/>
    </row>
    <row r="74" spans="1:38" x14ac:dyDescent="0.25">
      <c r="A74" s="38">
        <f>+Données!A74</f>
        <v>5520</v>
      </c>
      <c r="B74" s="250" t="str">
        <f>+Données!B74</f>
        <v>Essertines-sur-Yverdon</v>
      </c>
      <c r="C74" s="238">
        <f>+Ecrêtage!C74</f>
        <v>29717.541203363555</v>
      </c>
      <c r="D74" s="236"/>
      <c r="E74" s="238">
        <f>Données!AF74+Données!AG74+Données!AH74</f>
        <v>365233</v>
      </c>
      <c r="F74" s="236">
        <f t="shared" si="8"/>
        <v>237740.32962690844</v>
      </c>
      <c r="G74" s="8">
        <f t="shared" si="11"/>
        <v>127492.67037309156</v>
      </c>
      <c r="H74" s="317">
        <f t="shared" si="12"/>
        <v>-95619.502779818664</v>
      </c>
      <c r="J74" s="8">
        <f>Données!AN74</f>
        <v>92890</v>
      </c>
      <c r="K74" s="216">
        <f t="shared" si="9"/>
        <v>29717.541203363555</v>
      </c>
      <c r="L74" s="12">
        <f t="shared" si="13"/>
        <v>63172.458796636449</v>
      </c>
      <c r="M74" s="317">
        <f t="shared" si="14"/>
        <v>-47379.34409747734</v>
      </c>
      <c r="O74" s="42">
        <f t="shared" si="10"/>
        <v>-142998.84687729599</v>
      </c>
      <c r="P74" s="274"/>
      <c r="Q74" s="229"/>
      <c r="R74" s="229"/>
      <c r="S74" s="229"/>
      <c r="T74" s="229"/>
      <c r="U74" s="229"/>
      <c r="AF74" s="11"/>
      <c r="AG74" s="11"/>
      <c r="AH74" s="11"/>
      <c r="AI74" s="11"/>
      <c r="AJ74" s="11"/>
      <c r="AK74" s="11"/>
      <c r="AL74" s="11"/>
    </row>
    <row r="75" spans="1:38" x14ac:dyDescent="0.25">
      <c r="A75" s="38">
        <f>+Données!A75</f>
        <v>5521</v>
      </c>
      <c r="B75" s="250" t="str">
        <f>+Données!B75</f>
        <v>Etagnières</v>
      </c>
      <c r="C75" s="238">
        <f>+Ecrêtage!C75</f>
        <v>46728.684482765391</v>
      </c>
      <c r="D75" s="236"/>
      <c r="E75" s="238">
        <f>Données!AF75+Données!AG75+Données!AH75</f>
        <v>465194</v>
      </c>
      <c r="F75" s="236">
        <f t="shared" si="8"/>
        <v>373829.47586212313</v>
      </c>
      <c r="G75" s="8">
        <f t="shared" si="11"/>
        <v>91364.52413787687</v>
      </c>
      <c r="H75" s="317">
        <f t="shared" si="12"/>
        <v>-68523.393103407652</v>
      </c>
      <c r="J75" s="8">
        <f>Données!AN75</f>
        <v>45116</v>
      </c>
      <c r="K75" s="216">
        <f t="shared" si="9"/>
        <v>46728.684482765391</v>
      </c>
      <c r="L75" s="12">
        <f t="shared" si="13"/>
        <v>0</v>
      </c>
      <c r="M75" s="317">
        <f t="shared" si="14"/>
        <v>0</v>
      </c>
      <c r="O75" s="42">
        <f t="shared" si="10"/>
        <v>-68523.393103407652</v>
      </c>
      <c r="P75" s="274"/>
      <c r="Q75" s="229"/>
      <c r="R75" s="229"/>
      <c r="S75" s="229"/>
      <c r="T75" s="229"/>
      <c r="U75" s="229"/>
      <c r="AF75" s="11"/>
      <c r="AG75" s="11"/>
      <c r="AH75" s="11"/>
      <c r="AI75" s="11"/>
      <c r="AJ75" s="11"/>
      <c r="AK75" s="11"/>
      <c r="AL75" s="11"/>
    </row>
    <row r="76" spans="1:38" x14ac:dyDescent="0.25">
      <c r="A76" s="38">
        <f>+Données!A76</f>
        <v>5522</v>
      </c>
      <c r="B76" s="250" t="str">
        <f>+Données!B76</f>
        <v>Fey</v>
      </c>
      <c r="C76" s="238">
        <f>+Ecrêtage!C76</f>
        <v>23725.546686457117</v>
      </c>
      <c r="D76" s="236"/>
      <c r="E76" s="238">
        <f>Données!AF76+Données!AG76+Données!AH76</f>
        <v>332318</v>
      </c>
      <c r="F76" s="236">
        <f t="shared" si="8"/>
        <v>189804.37349165694</v>
      </c>
      <c r="G76" s="8">
        <f t="shared" si="11"/>
        <v>142513.62650834306</v>
      </c>
      <c r="H76" s="317">
        <f t="shared" si="12"/>
        <v>-106885.2198812573</v>
      </c>
      <c r="J76" s="8">
        <f>Données!AN76</f>
        <v>26942</v>
      </c>
      <c r="K76" s="216">
        <f t="shared" si="9"/>
        <v>23725.546686457117</v>
      </c>
      <c r="L76" s="12">
        <f t="shared" si="13"/>
        <v>3216.4533135428828</v>
      </c>
      <c r="M76" s="317">
        <f t="shared" si="14"/>
        <v>-2412.3399851571621</v>
      </c>
      <c r="O76" s="42">
        <f t="shared" si="10"/>
        <v>-109297.55986641446</v>
      </c>
      <c r="P76" s="274"/>
      <c r="Q76" s="229"/>
      <c r="R76" s="229"/>
      <c r="S76" s="229"/>
      <c r="T76" s="229"/>
      <c r="U76" s="229"/>
      <c r="AF76" s="11"/>
      <c r="AG76" s="11"/>
      <c r="AH76" s="11"/>
      <c r="AI76" s="11"/>
      <c r="AJ76" s="11"/>
      <c r="AK76" s="11"/>
      <c r="AL76" s="11"/>
    </row>
    <row r="77" spans="1:38" x14ac:dyDescent="0.25">
      <c r="A77" s="38">
        <f>+Données!A77</f>
        <v>5523</v>
      </c>
      <c r="B77" s="250" t="str">
        <f>+Données!B77</f>
        <v>Froideville</v>
      </c>
      <c r="C77" s="238">
        <f>+Ecrêtage!C77</f>
        <v>85857.812378374249</v>
      </c>
      <c r="D77" s="236"/>
      <c r="E77" s="238">
        <f>Données!AF77+Données!AG77+Données!AH77</f>
        <v>849590</v>
      </c>
      <c r="F77" s="236">
        <f t="shared" si="8"/>
        <v>686862.49902699399</v>
      </c>
      <c r="G77" s="8">
        <f t="shared" si="11"/>
        <v>162727.50097300601</v>
      </c>
      <c r="H77" s="317">
        <f t="shared" si="12"/>
        <v>-122045.62572975451</v>
      </c>
      <c r="J77" s="8">
        <f>Données!AN77</f>
        <v>10033</v>
      </c>
      <c r="K77" s="216">
        <f t="shared" si="9"/>
        <v>85857.812378374249</v>
      </c>
      <c r="L77" s="12">
        <f t="shared" si="13"/>
        <v>0</v>
      </c>
      <c r="M77" s="317">
        <f t="shared" si="14"/>
        <v>0</v>
      </c>
      <c r="O77" s="42">
        <f t="shared" si="10"/>
        <v>-122045.62572975451</v>
      </c>
      <c r="P77" s="274"/>
      <c r="Q77" s="229"/>
      <c r="R77" s="229"/>
      <c r="S77" s="229"/>
      <c r="T77" s="229"/>
      <c r="U77" s="229"/>
      <c r="AF77" s="11"/>
      <c r="AG77" s="11"/>
      <c r="AH77" s="11"/>
      <c r="AI77" s="11"/>
      <c r="AJ77" s="11"/>
      <c r="AK77" s="11"/>
      <c r="AL77" s="11"/>
    </row>
    <row r="78" spans="1:38" x14ac:dyDescent="0.25">
      <c r="A78" s="38">
        <f>+Données!A78</f>
        <v>5527</v>
      </c>
      <c r="B78" s="250" t="str">
        <f>+Données!B78</f>
        <v>Morrens</v>
      </c>
      <c r="C78" s="238">
        <f>+Ecrêtage!C78</f>
        <v>40562.178421686454</v>
      </c>
      <c r="D78" s="236"/>
      <c r="E78" s="238">
        <f>Données!AF78+Données!AG78+Données!AH78</f>
        <v>436065</v>
      </c>
      <c r="F78" s="236">
        <f t="shared" si="8"/>
        <v>324497.42737349164</v>
      </c>
      <c r="G78" s="8">
        <f t="shared" si="11"/>
        <v>111567.57262650836</v>
      </c>
      <c r="H78" s="317">
        <f t="shared" si="12"/>
        <v>-83675.679469881274</v>
      </c>
      <c r="J78" s="8">
        <f>Données!AN78</f>
        <v>14157</v>
      </c>
      <c r="K78" s="216">
        <f t="shared" si="9"/>
        <v>40562.178421686454</v>
      </c>
      <c r="L78" s="12">
        <f t="shared" si="13"/>
        <v>0</v>
      </c>
      <c r="M78" s="317">
        <f t="shared" si="14"/>
        <v>0</v>
      </c>
      <c r="O78" s="42">
        <f t="shared" si="10"/>
        <v>-83675.679469881274</v>
      </c>
      <c r="P78" s="274"/>
      <c r="Q78" s="229"/>
      <c r="R78" s="229"/>
      <c r="S78" s="229"/>
      <c r="T78" s="229"/>
      <c r="U78" s="229"/>
      <c r="AF78" s="11"/>
      <c r="AG78" s="11"/>
      <c r="AH78" s="11"/>
      <c r="AI78" s="11"/>
      <c r="AJ78" s="11"/>
      <c r="AK78" s="11"/>
      <c r="AL78" s="11"/>
    </row>
    <row r="79" spans="1:38" x14ac:dyDescent="0.25">
      <c r="A79" s="38">
        <f>+Données!A79</f>
        <v>5529</v>
      </c>
      <c r="B79" s="250" t="str">
        <f>+Données!B79</f>
        <v>Oulens-sous-Echallens</v>
      </c>
      <c r="C79" s="238">
        <f>+Ecrêtage!C79</f>
        <v>20197.480835918959</v>
      </c>
      <c r="D79" s="236"/>
      <c r="E79" s="238">
        <f>Données!AF79+Données!AG79+Données!AH79</f>
        <v>249363</v>
      </c>
      <c r="F79" s="236">
        <f t="shared" si="8"/>
        <v>161579.84668735167</v>
      </c>
      <c r="G79" s="8">
        <f t="shared" si="11"/>
        <v>87783.153312648326</v>
      </c>
      <c r="H79" s="317">
        <f t="shared" si="12"/>
        <v>-65837.364984486252</v>
      </c>
      <c r="J79" s="8">
        <f>Données!AN79</f>
        <v>-10471</v>
      </c>
      <c r="K79" s="216">
        <f t="shared" si="9"/>
        <v>20197.480835918959</v>
      </c>
      <c r="L79" s="12">
        <f t="shared" si="13"/>
        <v>0</v>
      </c>
      <c r="M79" s="317">
        <f t="shared" si="14"/>
        <v>0</v>
      </c>
      <c r="O79" s="42">
        <f t="shared" si="10"/>
        <v>-65837.364984486252</v>
      </c>
      <c r="P79" s="274"/>
      <c r="Q79" s="229"/>
      <c r="R79" s="229"/>
      <c r="S79" s="229"/>
      <c r="T79" s="229"/>
      <c r="U79" s="229"/>
      <c r="AF79" s="11"/>
      <c r="AG79" s="11"/>
      <c r="AH79" s="11"/>
      <c r="AI79" s="11"/>
      <c r="AJ79" s="11"/>
      <c r="AK79" s="11"/>
      <c r="AL79" s="11"/>
    </row>
    <row r="80" spans="1:38" x14ac:dyDescent="0.25">
      <c r="A80" s="38">
        <f>+Données!A80</f>
        <v>5530</v>
      </c>
      <c r="B80" s="250" t="str">
        <f>+Données!B80</f>
        <v>Pailly</v>
      </c>
      <c r="C80" s="238">
        <f>+Ecrêtage!C80</f>
        <v>18293.784444479894</v>
      </c>
      <c r="D80" s="236"/>
      <c r="E80" s="238">
        <f>Données!AF80+Données!AG80+Données!AH80</f>
        <v>620225</v>
      </c>
      <c r="F80" s="236">
        <f t="shared" si="8"/>
        <v>146350.27555583915</v>
      </c>
      <c r="G80" s="8">
        <f t="shared" si="11"/>
        <v>473874.72444416082</v>
      </c>
      <c r="H80" s="317">
        <f t="shared" si="12"/>
        <v>-355406.04333312064</v>
      </c>
      <c r="J80" s="8">
        <f>Données!AN80</f>
        <v>42670</v>
      </c>
      <c r="K80" s="216">
        <f t="shared" si="9"/>
        <v>18293.784444479894</v>
      </c>
      <c r="L80" s="12">
        <f t="shared" si="13"/>
        <v>24376.215555520106</v>
      </c>
      <c r="M80" s="317">
        <f t="shared" si="14"/>
        <v>-18282.161666640081</v>
      </c>
      <c r="O80" s="42">
        <f t="shared" si="10"/>
        <v>-373688.20499976072</v>
      </c>
      <c r="P80" s="274"/>
      <c r="Q80" s="229"/>
      <c r="R80" s="229"/>
      <c r="S80" s="229"/>
      <c r="T80" s="229"/>
      <c r="U80" s="229"/>
      <c r="AF80" s="11"/>
      <c r="AG80" s="11"/>
      <c r="AH80" s="11"/>
      <c r="AI80" s="11"/>
      <c r="AJ80" s="11"/>
      <c r="AK80" s="11"/>
      <c r="AL80" s="11"/>
    </row>
    <row r="81" spans="1:38" x14ac:dyDescent="0.25">
      <c r="A81" s="38">
        <f>+Données!A81</f>
        <v>5531</v>
      </c>
      <c r="B81" s="250" t="str">
        <f>+Données!B81</f>
        <v>Penthéréaz</v>
      </c>
      <c r="C81" s="238">
        <f>+Ecrêtage!C81</f>
        <v>13840.342734120952</v>
      </c>
      <c r="D81" s="236"/>
      <c r="E81" s="238">
        <f>Données!AF81+Données!AG81+Données!AH81</f>
        <v>185955</v>
      </c>
      <c r="F81" s="236">
        <f t="shared" si="8"/>
        <v>110722.74187296761</v>
      </c>
      <c r="G81" s="8">
        <f t="shared" si="11"/>
        <v>75232.258127032386</v>
      </c>
      <c r="H81" s="317">
        <f t="shared" si="12"/>
        <v>-56424.193595274293</v>
      </c>
      <c r="J81" s="8">
        <f>Données!AN81</f>
        <v>27135</v>
      </c>
      <c r="K81" s="216">
        <f t="shared" si="9"/>
        <v>13840.342734120952</v>
      </c>
      <c r="L81" s="12">
        <f t="shared" si="13"/>
        <v>13294.657265879048</v>
      </c>
      <c r="M81" s="317">
        <f t="shared" si="14"/>
        <v>-9970.9929494092867</v>
      </c>
      <c r="O81" s="42">
        <f t="shared" si="10"/>
        <v>-66395.186544683587</v>
      </c>
      <c r="P81" s="274"/>
      <c r="Q81" s="229"/>
      <c r="R81" s="229"/>
      <c r="S81" s="229"/>
      <c r="T81" s="229"/>
      <c r="U81" s="229"/>
      <c r="AF81" s="11"/>
      <c r="AG81" s="11"/>
      <c r="AH81" s="11"/>
      <c r="AI81" s="11"/>
      <c r="AJ81" s="11"/>
      <c r="AK81" s="11"/>
      <c r="AL81" s="11"/>
    </row>
    <row r="82" spans="1:38" x14ac:dyDescent="0.25">
      <c r="A82" s="38">
        <f>+Données!A82</f>
        <v>5533</v>
      </c>
      <c r="B82" s="250" t="str">
        <f>+Données!B82</f>
        <v>Poliez-Pittet</v>
      </c>
      <c r="C82" s="238">
        <f>+Ecrêtage!C82</f>
        <v>27171.721019789369</v>
      </c>
      <c r="D82" s="236"/>
      <c r="E82" s="238">
        <f>Données!AF82+Données!AG82+Données!AH82</f>
        <v>187056</v>
      </c>
      <c r="F82" s="236">
        <f t="shared" si="8"/>
        <v>217373.76815831495</v>
      </c>
      <c r="G82" s="8">
        <f t="shared" si="11"/>
        <v>0</v>
      </c>
      <c r="H82" s="317">
        <f t="shared" si="12"/>
        <v>0</v>
      </c>
      <c r="J82" s="8">
        <f>Données!AN82</f>
        <v>71413</v>
      </c>
      <c r="K82" s="216">
        <f t="shared" si="9"/>
        <v>27171.721019789369</v>
      </c>
      <c r="L82" s="12">
        <f t="shared" si="13"/>
        <v>44241.278980210627</v>
      </c>
      <c r="M82" s="317">
        <f t="shared" si="14"/>
        <v>-33180.95923515797</v>
      </c>
      <c r="O82" s="42">
        <f t="shared" si="10"/>
        <v>-33180.95923515797</v>
      </c>
      <c r="P82" s="274"/>
      <c r="Q82" s="229"/>
      <c r="R82" s="229"/>
      <c r="S82" s="229"/>
      <c r="T82" s="229"/>
      <c r="U82" s="229"/>
      <c r="AF82" s="11"/>
      <c r="AG82" s="11"/>
      <c r="AH82" s="11"/>
      <c r="AI82" s="11"/>
      <c r="AJ82" s="11"/>
      <c r="AK82" s="11"/>
      <c r="AL82" s="11"/>
    </row>
    <row r="83" spans="1:38" x14ac:dyDescent="0.25">
      <c r="A83" s="38">
        <f>+Données!A83</f>
        <v>5534</v>
      </c>
      <c r="B83" s="250" t="str">
        <f>+Données!B83</f>
        <v>Rueyres</v>
      </c>
      <c r="C83" s="238">
        <f>+Ecrêtage!C83</f>
        <v>9741.2664246848526</v>
      </c>
      <c r="D83" s="236"/>
      <c r="E83" s="238">
        <f>Données!AF83+Données!AG83+Données!AH83</f>
        <v>77764</v>
      </c>
      <c r="F83" s="236">
        <f t="shared" si="8"/>
        <v>77930.131397478821</v>
      </c>
      <c r="G83" s="8">
        <f t="shared" si="11"/>
        <v>0</v>
      </c>
      <c r="H83" s="317">
        <f t="shared" si="12"/>
        <v>0</v>
      </c>
      <c r="J83" s="8">
        <f>Données!AN83</f>
        <v>12201</v>
      </c>
      <c r="K83" s="216">
        <f t="shared" si="9"/>
        <v>9741.2664246848526</v>
      </c>
      <c r="L83" s="12">
        <f t="shared" si="13"/>
        <v>2459.7335753151474</v>
      </c>
      <c r="M83" s="317">
        <f t="shared" si="14"/>
        <v>-1844.8001814863605</v>
      </c>
      <c r="O83" s="42">
        <f t="shared" si="10"/>
        <v>-1844.8001814863605</v>
      </c>
      <c r="P83" s="274"/>
      <c r="Q83" s="229"/>
      <c r="R83" s="229"/>
      <c r="S83" s="229"/>
      <c r="T83" s="229"/>
      <c r="U83" s="229"/>
      <c r="AF83" s="11"/>
      <c r="AG83" s="11"/>
      <c r="AH83" s="11"/>
      <c r="AI83" s="11"/>
      <c r="AJ83" s="11"/>
      <c r="AK83" s="11"/>
      <c r="AL83" s="11"/>
    </row>
    <row r="84" spans="1:38" x14ac:dyDescent="0.25">
      <c r="A84" s="38">
        <f>+Données!A84</f>
        <v>5535</v>
      </c>
      <c r="B84" s="250" t="str">
        <f>+Données!B84</f>
        <v>Saint-Barthélemy</v>
      </c>
      <c r="C84" s="238">
        <f>+Ecrêtage!C84</f>
        <v>22506.660400000004</v>
      </c>
      <c r="D84" s="236"/>
      <c r="E84" s="238">
        <f>Données!AF84+Données!AG84+Données!AH84</f>
        <v>156644</v>
      </c>
      <c r="F84" s="236">
        <f t="shared" si="8"/>
        <v>180053.28320000003</v>
      </c>
      <c r="G84" s="8">
        <f t="shared" si="11"/>
        <v>0</v>
      </c>
      <c r="H84" s="317">
        <f t="shared" si="12"/>
        <v>0</v>
      </c>
      <c r="J84" s="8">
        <f>Données!AN84</f>
        <v>5915</v>
      </c>
      <c r="K84" s="216">
        <f t="shared" si="9"/>
        <v>22506.660400000004</v>
      </c>
      <c r="L84" s="12">
        <f t="shared" si="13"/>
        <v>0</v>
      </c>
      <c r="M84" s="317">
        <f t="shared" si="14"/>
        <v>0</v>
      </c>
      <c r="O84" s="42">
        <f t="shared" si="10"/>
        <v>0</v>
      </c>
      <c r="P84" s="274"/>
      <c r="Q84" s="229"/>
      <c r="R84" s="229"/>
      <c r="S84" s="229"/>
      <c r="T84" s="229"/>
      <c r="U84" s="229"/>
      <c r="AF84" s="11"/>
      <c r="AG84" s="11"/>
      <c r="AH84" s="11"/>
      <c r="AI84" s="11"/>
      <c r="AJ84" s="11"/>
      <c r="AK84" s="11"/>
      <c r="AL84" s="11"/>
    </row>
    <row r="85" spans="1:38" x14ac:dyDescent="0.25">
      <c r="A85" s="38">
        <f>+Données!A85</f>
        <v>5537</v>
      </c>
      <c r="B85" s="250" t="str">
        <f>+Données!B85</f>
        <v>Villars-le-Terroir</v>
      </c>
      <c r="C85" s="238">
        <f>+Ecrêtage!C85</f>
        <v>37957.948044056422</v>
      </c>
      <c r="D85" s="236"/>
      <c r="E85" s="238">
        <f>Données!AF85+Données!AG85+Données!AH85</f>
        <v>359638</v>
      </c>
      <c r="F85" s="236">
        <f t="shared" si="8"/>
        <v>303663.58435245138</v>
      </c>
      <c r="G85" s="8">
        <f t="shared" si="11"/>
        <v>55974.415647548623</v>
      </c>
      <c r="H85" s="317">
        <f t="shared" si="12"/>
        <v>-41980.811735661468</v>
      </c>
      <c r="J85" s="8">
        <f>Données!AN85</f>
        <v>9974</v>
      </c>
      <c r="K85" s="216">
        <f t="shared" si="9"/>
        <v>37957.948044056422</v>
      </c>
      <c r="L85" s="12">
        <f t="shared" si="13"/>
        <v>0</v>
      </c>
      <c r="M85" s="317">
        <f t="shared" si="14"/>
        <v>0</v>
      </c>
      <c r="O85" s="42">
        <f t="shared" si="10"/>
        <v>-41980.811735661468</v>
      </c>
      <c r="P85" s="274"/>
      <c r="Q85" s="229"/>
      <c r="R85" s="229"/>
      <c r="S85" s="229"/>
      <c r="T85" s="229"/>
      <c r="U85" s="229"/>
      <c r="AF85" s="11"/>
      <c r="AG85" s="11"/>
      <c r="AH85" s="11"/>
      <c r="AI85" s="11"/>
      <c r="AJ85" s="11"/>
      <c r="AK85" s="11"/>
      <c r="AL85" s="11"/>
    </row>
    <row r="86" spans="1:38" x14ac:dyDescent="0.25">
      <c r="A86" s="38">
        <f>+Données!A86</f>
        <v>5539</v>
      </c>
      <c r="B86" s="250" t="str">
        <f>+Données!B86</f>
        <v>Vuarrens</v>
      </c>
      <c r="C86" s="238">
        <f>+Ecrêtage!C86</f>
        <v>35955.043474705482</v>
      </c>
      <c r="D86" s="236"/>
      <c r="E86" s="238">
        <f>Données!AF86+Données!AG86+Données!AH86</f>
        <v>271803</v>
      </c>
      <c r="F86" s="236">
        <f t="shared" si="8"/>
        <v>287640.34779764386</v>
      </c>
      <c r="G86" s="8">
        <f t="shared" si="11"/>
        <v>0</v>
      </c>
      <c r="H86" s="317">
        <f t="shared" si="12"/>
        <v>0</v>
      </c>
      <c r="J86" s="8">
        <f>Données!AN86</f>
        <v>84633</v>
      </c>
      <c r="K86" s="216">
        <f t="shared" si="9"/>
        <v>35955.043474705482</v>
      </c>
      <c r="L86" s="12">
        <f t="shared" si="13"/>
        <v>48677.956525294518</v>
      </c>
      <c r="M86" s="317">
        <f t="shared" si="14"/>
        <v>-36508.467393970888</v>
      </c>
      <c r="O86" s="42">
        <f t="shared" si="10"/>
        <v>-36508.467393970888</v>
      </c>
      <c r="P86" s="274"/>
      <c r="Q86" s="229"/>
      <c r="R86" s="229"/>
      <c r="S86" s="229"/>
      <c r="T86" s="229"/>
      <c r="U86" s="229"/>
      <c r="AF86" s="11"/>
      <c r="AG86" s="11"/>
      <c r="AH86" s="11"/>
      <c r="AI86" s="11"/>
      <c r="AJ86" s="11"/>
      <c r="AK86" s="11"/>
      <c r="AL86" s="11"/>
    </row>
    <row r="87" spans="1:38" x14ac:dyDescent="0.25">
      <c r="A87" s="38">
        <f>+Données!A87</f>
        <v>5540</v>
      </c>
      <c r="B87" s="250" t="str">
        <f>+Données!B87</f>
        <v>Montilliez</v>
      </c>
      <c r="C87" s="238">
        <f>+Ecrêtage!C87</f>
        <v>66216.365354079026</v>
      </c>
      <c r="D87" s="236"/>
      <c r="E87" s="238">
        <f>Données!AF87+Données!AG87+Données!AH87</f>
        <v>846543</v>
      </c>
      <c r="F87" s="236">
        <f t="shared" si="8"/>
        <v>529730.9228326322</v>
      </c>
      <c r="G87" s="8">
        <f t="shared" si="11"/>
        <v>316812.0771673678</v>
      </c>
      <c r="H87" s="317">
        <f t="shared" si="12"/>
        <v>-237609.05787552585</v>
      </c>
      <c r="J87" s="8">
        <f>Données!AN87</f>
        <v>88050</v>
      </c>
      <c r="K87" s="216">
        <f t="shared" si="9"/>
        <v>66216.365354079026</v>
      </c>
      <c r="L87" s="12">
        <f t="shared" si="13"/>
        <v>21833.634645920974</v>
      </c>
      <c r="M87" s="317">
        <f t="shared" si="14"/>
        <v>-16375.225984440731</v>
      </c>
      <c r="O87" s="42">
        <f t="shared" si="10"/>
        <v>-253984.28385996658</v>
      </c>
      <c r="P87" s="274"/>
      <c r="Q87" s="229"/>
      <c r="R87" s="229"/>
      <c r="S87" s="229"/>
      <c r="T87" s="229"/>
      <c r="U87" s="229"/>
      <c r="AF87" s="11"/>
      <c r="AG87" s="11"/>
      <c r="AH87" s="11"/>
      <c r="AI87" s="11"/>
      <c r="AJ87" s="11"/>
      <c r="AK87" s="11"/>
      <c r="AL87" s="11"/>
    </row>
    <row r="88" spans="1:38" x14ac:dyDescent="0.25">
      <c r="A88" s="38">
        <f>+Données!A88</f>
        <v>5541</v>
      </c>
      <c r="B88" s="250" t="str">
        <f>+Données!B88</f>
        <v>Goumoëns</v>
      </c>
      <c r="C88" s="238">
        <f>+Ecrêtage!C88</f>
        <v>36974.846186713199</v>
      </c>
      <c r="D88" s="236"/>
      <c r="E88" s="238">
        <f>Données!AF88+Données!AG88+Données!AH88</f>
        <v>310789</v>
      </c>
      <c r="F88" s="236">
        <f t="shared" si="8"/>
        <v>295798.76949370559</v>
      </c>
      <c r="G88" s="8">
        <f t="shared" si="11"/>
        <v>14990.230506294407</v>
      </c>
      <c r="H88" s="317">
        <f t="shared" si="12"/>
        <v>-11242.672879720805</v>
      </c>
      <c r="J88" s="8">
        <f>Données!AN88</f>
        <v>40602</v>
      </c>
      <c r="K88" s="216">
        <f t="shared" si="9"/>
        <v>36974.846186713199</v>
      </c>
      <c r="L88" s="12">
        <f t="shared" si="13"/>
        <v>3627.1538132868009</v>
      </c>
      <c r="M88" s="317">
        <f t="shared" si="14"/>
        <v>-2720.3653599651007</v>
      </c>
      <c r="O88" s="42">
        <f t="shared" si="10"/>
        <v>-13963.038239685906</v>
      </c>
      <c r="P88" s="274"/>
      <c r="Q88" s="229"/>
      <c r="R88" s="229"/>
      <c r="S88" s="229"/>
      <c r="T88" s="229"/>
      <c r="U88" s="229"/>
      <c r="AF88" s="11"/>
      <c r="AG88" s="11"/>
      <c r="AH88" s="11"/>
      <c r="AI88" s="11"/>
      <c r="AJ88" s="11"/>
      <c r="AK88" s="11"/>
      <c r="AL88" s="11"/>
    </row>
    <row r="89" spans="1:38" x14ac:dyDescent="0.25">
      <c r="A89" s="38">
        <f>+Données!A89</f>
        <v>5551</v>
      </c>
      <c r="B89" s="250" t="str">
        <f>+Données!B89</f>
        <v>Bonvillars</v>
      </c>
      <c r="C89" s="238">
        <f>+Ecrêtage!C89</f>
        <v>19152.288613413803</v>
      </c>
      <c r="D89" s="236"/>
      <c r="E89" s="238">
        <f>Données!AF89+Données!AG89+Données!AH89</f>
        <v>224033</v>
      </c>
      <c r="F89" s="236">
        <f t="shared" si="8"/>
        <v>153218.30890731042</v>
      </c>
      <c r="G89" s="8">
        <f t="shared" si="11"/>
        <v>70814.69109268958</v>
      </c>
      <c r="H89" s="317">
        <f t="shared" si="12"/>
        <v>-53111.018319517185</v>
      </c>
      <c r="J89" s="8">
        <f>Données!AN89</f>
        <v>22184</v>
      </c>
      <c r="K89" s="216">
        <f t="shared" si="9"/>
        <v>19152.288613413803</v>
      </c>
      <c r="L89" s="12">
        <f t="shared" si="13"/>
        <v>3031.7113865861975</v>
      </c>
      <c r="M89" s="317">
        <f t="shared" si="14"/>
        <v>-2273.7835399396481</v>
      </c>
      <c r="O89" s="42">
        <f t="shared" si="10"/>
        <v>-55384.801859456835</v>
      </c>
      <c r="P89" s="274"/>
      <c r="Q89" s="229"/>
      <c r="R89" s="229"/>
      <c r="S89" s="229"/>
      <c r="T89" s="229"/>
      <c r="U89" s="229"/>
      <c r="AF89" s="11"/>
      <c r="AG89" s="11"/>
      <c r="AH89" s="11"/>
      <c r="AI89" s="11"/>
      <c r="AJ89" s="11"/>
      <c r="AK89" s="11"/>
      <c r="AL89" s="11"/>
    </row>
    <row r="90" spans="1:38" x14ac:dyDescent="0.25">
      <c r="A90" s="38">
        <f>+Données!A90</f>
        <v>5552</v>
      </c>
      <c r="B90" s="250" t="str">
        <f>+Données!B90</f>
        <v>Bullet</v>
      </c>
      <c r="C90" s="238">
        <f>+Ecrêtage!C90</f>
        <v>17562.45286713287</v>
      </c>
      <c r="D90" s="236"/>
      <c r="E90" s="238">
        <f>Données!AF90+Données!AG90+Données!AH90</f>
        <v>352354</v>
      </c>
      <c r="F90" s="236">
        <f t="shared" si="8"/>
        <v>140499.62293706296</v>
      </c>
      <c r="G90" s="8">
        <f t="shared" si="11"/>
        <v>211854.37706293704</v>
      </c>
      <c r="H90" s="317">
        <f t="shared" si="12"/>
        <v>-158890.78279720279</v>
      </c>
      <c r="J90" s="8">
        <f>Données!AN90</f>
        <v>51675</v>
      </c>
      <c r="K90" s="216">
        <f t="shared" si="9"/>
        <v>17562.45286713287</v>
      </c>
      <c r="L90" s="12">
        <f t="shared" si="13"/>
        <v>34112.547132867126</v>
      </c>
      <c r="M90" s="317">
        <f t="shared" si="14"/>
        <v>-25584.410349650345</v>
      </c>
      <c r="O90" s="42">
        <f t="shared" si="10"/>
        <v>-184475.19314685313</v>
      </c>
      <c r="P90" s="274"/>
      <c r="Q90" s="229"/>
      <c r="R90" s="229"/>
      <c r="S90" s="229"/>
      <c r="T90" s="229"/>
      <c r="U90" s="229"/>
      <c r="AF90" s="11"/>
      <c r="AG90" s="11"/>
      <c r="AH90" s="11"/>
      <c r="AI90" s="11"/>
      <c r="AJ90" s="11"/>
      <c r="AK90" s="11"/>
      <c r="AL90" s="11"/>
    </row>
    <row r="91" spans="1:38" x14ac:dyDescent="0.25">
      <c r="A91" s="38">
        <f>+Données!A91</f>
        <v>5553</v>
      </c>
      <c r="B91" s="250" t="str">
        <f>+Données!B91</f>
        <v>Champagne</v>
      </c>
      <c r="C91" s="238">
        <f>+Ecrêtage!C91</f>
        <v>38621.939977657414</v>
      </c>
      <c r="D91" s="236"/>
      <c r="E91" s="238">
        <f>Données!AF91+Données!AG91+Données!AH91</f>
        <v>502586</v>
      </c>
      <c r="F91" s="236">
        <f t="shared" si="8"/>
        <v>308975.51982125931</v>
      </c>
      <c r="G91" s="8">
        <f t="shared" si="11"/>
        <v>193610.48017874069</v>
      </c>
      <c r="H91" s="317">
        <f t="shared" si="12"/>
        <v>-145207.86013405552</v>
      </c>
      <c r="J91" s="8">
        <f>Données!AN91</f>
        <v>35731</v>
      </c>
      <c r="K91" s="216">
        <f t="shared" si="9"/>
        <v>38621.939977657414</v>
      </c>
      <c r="L91" s="12">
        <f t="shared" si="13"/>
        <v>0</v>
      </c>
      <c r="M91" s="317">
        <f t="shared" si="14"/>
        <v>0</v>
      </c>
      <c r="O91" s="42">
        <f t="shared" si="10"/>
        <v>-145207.86013405552</v>
      </c>
      <c r="P91" s="274"/>
      <c r="Q91" s="229"/>
      <c r="R91" s="229"/>
      <c r="S91" s="229"/>
      <c r="T91" s="229"/>
      <c r="U91" s="229"/>
      <c r="AF91" s="11"/>
      <c r="AG91" s="11"/>
      <c r="AH91" s="11"/>
      <c r="AI91" s="11"/>
      <c r="AJ91" s="11"/>
      <c r="AK91" s="11"/>
      <c r="AL91" s="11"/>
    </row>
    <row r="92" spans="1:38" x14ac:dyDescent="0.25">
      <c r="A92" s="38">
        <f>+Données!A92</f>
        <v>5554</v>
      </c>
      <c r="B92" s="250" t="str">
        <f>+Données!B92</f>
        <v>Concise</v>
      </c>
      <c r="C92" s="238">
        <f>+Ecrêtage!C92</f>
        <v>32321.208248272062</v>
      </c>
      <c r="D92" s="236"/>
      <c r="E92" s="238">
        <f>Données!AF92+Données!AG92+Données!AH92</f>
        <v>503251</v>
      </c>
      <c r="F92" s="236">
        <f t="shared" si="8"/>
        <v>258569.66598617649</v>
      </c>
      <c r="G92" s="8">
        <f t="shared" si="11"/>
        <v>244681.33401382351</v>
      </c>
      <c r="H92" s="317">
        <f t="shared" si="12"/>
        <v>-183511.00051036762</v>
      </c>
      <c r="J92" s="8">
        <f>Données!AN92</f>
        <v>50185</v>
      </c>
      <c r="K92" s="216">
        <f t="shared" si="9"/>
        <v>32321.208248272062</v>
      </c>
      <c r="L92" s="12">
        <f t="shared" si="13"/>
        <v>17863.791751727938</v>
      </c>
      <c r="M92" s="317">
        <f t="shared" si="14"/>
        <v>-13397.843813795953</v>
      </c>
      <c r="O92" s="42">
        <f t="shared" si="10"/>
        <v>-196908.84432416357</v>
      </c>
      <c r="P92" s="274"/>
      <c r="Q92" s="229"/>
      <c r="R92" s="229"/>
      <c r="S92" s="229"/>
      <c r="T92" s="229"/>
      <c r="U92" s="229"/>
      <c r="AF92" s="11"/>
      <c r="AG92" s="11"/>
      <c r="AH92" s="11"/>
      <c r="AI92" s="11"/>
      <c r="AJ92" s="11"/>
      <c r="AK92" s="11"/>
      <c r="AL92" s="11"/>
    </row>
    <row r="93" spans="1:38" x14ac:dyDescent="0.25">
      <c r="A93" s="38">
        <f>+Données!A93</f>
        <v>5555</v>
      </c>
      <c r="B93" s="250" t="str">
        <f>+Données!B93</f>
        <v>Corcelles-près-Concise</v>
      </c>
      <c r="C93" s="238">
        <f>+Ecrêtage!C93</f>
        <v>13590.982580275477</v>
      </c>
      <c r="D93" s="236"/>
      <c r="E93" s="238">
        <f>Données!AF93+Données!AG93+Données!AH93</f>
        <v>326361</v>
      </c>
      <c r="F93" s="236">
        <f t="shared" si="8"/>
        <v>108727.86064220381</v>
      </c>
      <c r="G93" s="8">
        <f t="shared" si="11"/>
        <v>217633.13935779617</v>
      </c>
      <c r="H93" s="317">
        <f t="shared" si="12"/>
        <v>-163224.85451834713</v>
      </c>
      <c r="J93" s="8">
        <f>Données!AN93</f>
        <v>21080</v>
      </c>
      <c r="K93" s="216">
        <f t="shared" si="9"/>
        <v>13590.982580275477</v>
      </c>
      <c r="L93" s="12">
        <f t="shared" si="13"/>
        <v>7489.0174197245233</v>
      </c>
      <c r="M93" s="317">
        <f t="shared" si="14"/>
        <v>-5616.7630647933929</v>
      </c>
      <c r="O93" s="42">
        <f t="shared" si="10"/>
        <v>-168841.61758314053</v>
      </c>
      <c r="P93" s="274"/>
      <c r="Q93" s="229"/>
      <c r="R93" s="229"/>
      <c r="S93" s="229"/>
      <c r="T93" s="229"/>
      <c r="U93" s="229"/>
      <c r="AF93" s="11"/>
      <c r="AG93" s="11"/>
      <c r="AH93" s="11"/>
      <c r="AI93" s="11"/>
      <c r="AJ93" s="11"/>
      <c r="AK93" s="11"/>
      <c r="AL93" s="11"/>
    </row>
    <row r="94" spans="1:38" x14ac:dyDescent="0.25">
      <c r="A94" s="38">
        <f>+Données!A94</f>
        <v>5556</v>
      </c>
      <c r="B94" s="250" t="str">
        <f>+Données!B94</f>
        <v>Fiez</v>
      </c>
      <c r="C94" s="238">
        <f>+Ecrêtage!C94</f>
        <v>13811.370927055856</v>
      </c>
      <c r="D94" s="236"/>
      <c r="E94" s="238">
        <f>Données!AF94+Données!AG94+Données!AH94</f>
        <v>114569</v>
      </c>
      <c r="F94" s="236">
        <f t="shared" si="8"/>
        <v>110490.96741644685</v>
      </c>
      <c r="G94" s="8">
        <f t="shared" si="11"/>
        <v>4078.0325835531548</v>
      </c>
      <c r="H94" s="317">
        <f t="shared" si="12"/>
        <v>-3058.5244376648661</v>
      </c>
      <c r="J94" s="8">
        <f>Données!AN94</f>
        <v>34820</v>
      </c>
      <c r="K94" s="216">
        <f t="shared" si="9"/>
        <v>13811.370927055856</v>
      </c>
      <c r="L94" s="12">
        <f t="shared" si="13"/>
        <v>21008.629072944146</v>
      </c>
      <c r="M94" s="317">
        <f t="shared" si="14"/>
        <v>-15756.47180470811</v>
      </c>
      <c r="O94" s="42">
        <f t="shared" si="10"/>
        <v>-18814.996242372974</v>
      </c>
      <c r="P94" s="274"/>
      <c r="Q94" s="229"/>
      <c r="R94" s="229"/>
      <c r="S94" s="229"/>
      <c r="T94" s="229"/>
      <c r="U94" s="229"/>
      <c r="AF94" s="11"/>
      <c r="AG94" s="11"/>
      <c r="AH94" s="11"/>
      <c r="AI94" s="11"/>
      <c r="AJ94" s="11"/>
      <c r="AK94" s="11"/>
      <c r="AL94" s="11"/>
    </row>
    <row r="95" spans="1:38" x14ac:dyDescent="0.25">
      <c r="A95" s="38">
        <f>+Données!A95</f>
        <v>5557</v>
      </c>
      <c r="B95" s="250" t="str">
        <f>+Données!B95</f>
        <v>Fontaines-sur-Grandson</v>
      </c>
      <c r="C95" s="238">
        <f>+Ecrêtage!C95</f>
        <v>5898.4472463768097</v>
      </c>
      <c r="D95" s="236"/>
      <c r="E95" s="238">
        <f>Données!AF95+Données!AG95+Données!AH95</f>
        <v>53299</v>
      </c>
      <c r="F95" s="236">
        <f t="shared" si="8"/>
        <v>47187.577971014478</v>
      </c>
      <c r="G95" s="8">
        <f t="shared" si="11"/>
        <v>6111.422028985522</v>
      </c>
      <c r="H95" s="317">
        <f t="shared" si="12"/>
        <v>-4583.5665217391415</v>
      </c>
      <c r="J95" s="8">
        <f>Données!AN95</f>
        <v>8704</v>
      </c>
      <c r="K95" s="216">
        <f t="shared" si="9"/>
        <v>5898.4472463768097</v>
      </c>
      <c r="L95" s="12">
        <f t="shared" si="13"/>
        <v>2805.5527536231903</v>
      </c>
      <c r="M95" s="317">
        <f t="shared" si="14"/>
        <v>-2104.1645652173929</v>
      </c>
      <c r="O95" s="42">
        <f t="shared" si="10"/>
        <v>-6687.7310869565345</v>
      </c>
      <c r="P95" s="274"/>
      <c r="Q95" s="229"/>
      <c r="R95" s="229"/>
      <c r="S95" s="229"/>
      <c r="T95" s="229"/>
      <c r="U95" s="229"/>
      <c r="AF95" s="11"/>
      <c r="AG95" s="11"/>
      <c r="AH95" s="11"/>
      <c r="AI95" s="11"/>
      <c r="AJ95" s="11"/>
      <c r="AK95" s="11"/>
      <c r="AL95" s="11"/>
    </row>
    <row r="96" spans="1:38" x14ac:dyDescent="0.25">
      <c r="A96" s="38">
        <f>+Données!A96</f>
        <v>5559</v>
      </c>
      <c r="B96" s="250" t="str">
        <f>+Données!B96</f>
        <v>Giez</v>
      </c>
      <c r="C96" s="238">
        <f>+Ecrêtage!C96</f>
        <v>17108.440303030304</v>
      </c>
      <c r="D96" s="236"/>
      <c r="E96" s="238">
        <f>Données!AF96+Données!AG96+Données!AH96</f>
        <v>151947</v>
      </c>
      <c r="F96" s="236">
        <f t="shared" si="8"/>
        <v>136867.52242424243</v>
      </c>
      <c r="G96" s="8">
        <f t="shared" si="11"/>
        <v>15079.47757575757</v>
      </c>
      <c r="H96" s="317">
        <f t="shared" si="12"/>
        <v>-11309.608181818177</v>
      </c>
      <c r="J96" s="8">
        <f>Données!AN96</f>
        <v>10641</v>
      </c>
      <c r="K96" s="216">
        <f t="shared" si="9"/>
        <v>17108.440303030304</v>
      </c>
      <c r="L96" s="12">
        <f t="shared" si="13"/>
        <v>0</v>
      </c>
      <c r="M96" s="317">
        <f t="shared" si="14"/>
        <v>0</v>
      </c>
      <c r="O96" s="42">
        <f t="shared" si="10"/>
        <v>-11309.608181818177</v>
      </c>
      <c r="P96" s="274"/>
      <c r="Q96" s="229"/>
      <c r="R96" s="229"/>
      <c r="S96" s="229"/>
      <c r="T96" s="229"/>
      <c r="U96" s="229"/>
      <c r="AF96" s="11"/>
      <c r="AG96" s="11"/>
      <c r="AH96" s="11"/>
      <c r="AI96" s="11"/>
      <c r="AJ96" s="11"/>
      <c r="AK96" s="11"/>
      <c r="AL96" s="11"/>
    </row>
    <row r="97" spans="1:38" x14ac:dyDescent="0.25">
      <c r="A97" s="38">
        <f>+Données!A97</f>
        <v>5560</v>
      </c>
      <c r="B97" s="250" t="str">
        <f>+Données!B97</f>
        <v>Grandevent</v>
      </c>
      <c r="C97" s="238">
        <f>+Ecrêtage!C97</f>
        <v>6167.5355002978977</v>
      </c>
      <c r="D97" s="236"/>
      <c r="E97" s="238">
        <f>Données!AF97+Données!AG97+Données!AH97</f>
        <v>56374</v>
      </c>
      <c r="F97" s="236">
        <f t="shared" si="8"/>
        <v>49340.284002383181</v>
      </c>
      <c r="G97" s="8">
        <f t="shared" si="11"/>
        <v>7033.7159976168186</v>
      </c>
      <c r="H97" s="317">
        <f t="shared" si="12"/>
        <v>-5275.286998212614</v>
      </c>
      <c r="J97" s="8">
        <f>Données!AN97</f>
        <v>11648</v>
      </c>
      <c r="K97" s="216">
        <f t="shared" si="9"/>
        <v>6167.5355002978977</v>
      </c>
      <c r="L97" s="12">
        <f t="shared" si="13"/>
        <v>5480.4644997021023</v>
      </c>
      <c r="M97" s="317">
        <f t="shared" si="14"/>
        <v>-4110.3483747765767</v>
      </c>
      <c r="O97" s="42">
        <f t="shared" si="10"/>
        <v>-9385.6353729891907</v>
      </c>
      <c r="P97" s="274"/>
      <c r="Q97" s="229"/>
      <c r="R97" s="229"/>
      <c r="S97" s="229"/>
      <c r="T97" s="229"/>
      <c r="U97" s="229"/>
      <c r="AF97" s="11"/>
      <c r="AG97" s="11"/>
      <c r="AH97" s="11"/>
      <c r="AI97" s="11"/>
      <c r="AJ97" s="11"/>
      <c r="AK97" s="11"/>
      <c r="AL97" s="11"/>
    </row>
    <row r="98" spans="1:38" x14ac:dyDescent="0.25">
      <c r="A98" s="38">
        <f>+Données!A98</f>
        <v>5561</v>
      </c>
      <c r="B98" s="250" t="str">
        <f>+Données!B98</f>
        <v>Grandson</v>
      </c>
      <c r="C98" s="238">
        <f>+Ecrêtage!C98</f>
        <v>114698.81047200582</v>
      </c>
      <c r="D98" s="236"/>
      <c r="E98" s="238">
        <f>Données!AF98+Données!AG98+Données!AH98</f>
        <v>2273751</v>
      </c>
      <c r="F98" s="236">
        <f t="shared" si="8"/>
        <v>917590.48377604655</v>
      </c>
      <c r="G98" s="8">
        <f t="shared" si="11"/>
        <v>1356160.5162239536</v>
      </c>
      <c r="H98" s="317">
        <f t="shared" si="12"/>
        <v>-1017120.3871679652</v>
      </c>
      <c r="J98" s="8">
        <f>Données!AN98</f>
        <v>62863</v>
      </c>
      <c r="K98" s="216">
        <f t="shared" si="9"/>
        <v>114698.81047200582</v>
      </c>
      <c r="L98" s="12">
        <f t="shared" si="13"/>
        <v>0</v>
      </c>
      <c r="M98" s="317">
        <f t="shared" si="14"/>
        <v>0</v>
      </c>
      <c r="O98" s="42">
        <f t="shared" si="10"/>
        <v>-1017120.3871679652</v>
      </c>
      <c r="P98" s="274"/>
      <c r="Q98" s="229"/>
      <c r="R98" s="229"/>
      <c r="S98" s="229"/>
      <c r="T98" s="229"/>
      <c r="U98" s="229"/>
      <c r="AF98" s="11"/>
      <c r="AG98" s="11"/>
      <c r="AH98" s="11"/>
      <c r="AI98" s="11"/>
      <c r="AJ98" s="11"/>
      <c r="AK98" s="11"/>
      <c r="AL98" s="11"/>
    </row>
    <row r="99" spans="1:38" x14ac:dyDescent="0.25">
      <c r="A99" s="38">
        <f>+Données!A99</f>
        <v>5562</v>
      </c>
      <c r="B99" s="250" t="str">
        <f>+Données!B99</f>
        <v>Mauborget</v>
      </c>
      <c r="C99" s="238">
        <f>+Ecrêtage!C99</f>
        <v>6036.4454253269014</v>
      </c>
      <c r="D99" s="236"/>
      <c r="E99" s="238">
        <f>Données!AF99+Données!AG99+Données!AH99</f>
        <v>54042</v>
      </c>
      <c r="F99" s="236">
        <f t="shared" si="8"/>
        <v>48291.563402615211</v>
      </c>
      <c r="G99" s="8">
        <f t="shared" si="11"/>
        <v>5750.4365973847889</v>
      </c>
      <c r="H99" s="317">
        <f t="shared" si="12"/>
        <v>-4312.8274480385917</v>
      </c>
      <c r="J99" s="8">
        <f>Données!AN99</f>
        <v>7737</v>
      </c>
      <c r="K99" s="216">
        <f t="shared" si="9"/>
        <v>6036.4454253269014</v>
      </c>
      <c r="L99" s="12">
        <f t="shared" si="13"/>
        <v>1700.5545746730986</v>
      </c>
      <c r="M99" s="317">
        <f t="shared" si="14"/>
        <v>-1275.415931004824</v>
      </c>
      <c r="O99" s="42">
        <f t="shared" si="10"/>
        <v>-5588.2433790434152</v>
      </c>
      <c r="P99" s="274"/>
      <c r="Q99" s="229"/>
      <c r="R99" s="229"/>
      <c r="S99" s="229"/>
      <c r="T99" s="229"/>
      <c r="U99" s="229"/>
      <c r="AF99" s="11"/>
      <c r="AG99" s="11"/>
      <c r="AH99" s="11"/>
      <c r="AI99" s="11"/>
      <c r="AJ99" s="11"/>
      <c r="AK99" s="11"/>
      <c r="AL99" s="11"/>
    </row>
    <row r="100" spans="1:38" x14ac:dyDescent="0.25">
      <c r="A100" s="38">
        <f>+Données!A100</f>
        <v>5563</v>
      </c>
      <c r="B100" s="250" t="str">
        <f>+Données!B100</f>
        <v>Mutrux</v>
      </c>
      <c r="C100" s="238">
        <f>+Ecrêtage!C100</f>
        <v>4073.4583735660226</v>
      </c>
      <c r="D100" s="236"/>
      <c r="E100" s="238">
        <f>Données!AF100+Données!AG100+Données!AH100</f>
        <v>94440</v>
      </c>
      <c r="F100" s="236">
        <f t="shared" si="8"/>
        <v>32587.666988528181</v>
      </c>
      <c r="G100" s="8">
        <f t="shared" si="11"/>
        <v>61852.333011471819</v>
      </c>
      <c r="H100" s="317">
        <f t="shared" si="12"/>
        <v>-46389.249758603866</v>
      </c>
      <c r="J100" s="8">
        <f>Données!AN100</f>
        <v>5871</v>
      </c>
      <c r="K100" s="216">
        <f t="shared" si="9"/>
        <v>4073.4583735660226</v>
      </c>
      <c r="L100" s="12">
        <f t="shared" si="13"/>
        <v>1797.5416264339774</v>
      </c>
      <c r="M100" s="317">
        <f t="shared" si="14"/>
        <v>-1348.156219825483</v>
      </c>
      <c r="O100" s="42">
        <f t="shared" si="10"/>
        <v>-47737.405978429349</v>
      </c>
      <c r="P100" s="274"/>
      <c r="Q100" s="229"/>
      <c r="R100" s="229"/>
      <c r="S100" s="229"/>
      <c r="T100" s="229"/>
      <c r="U100" s="229"/>
      <c r="AF100" s="11"/>
      <c r="AG100" s="11"/>
      <c r="AH100" s="11"/>
      <c r="AI100" s="11"/>
      <c r="AJ100" s="11"/>
      <c r="AK100" s="11"/>
      <c r="AL100" s="11"/>
    </row>
    <row r="101" spans="1:38" x14ac:dyDescent="0.25">
      <c r="A101" s="38">
        <f>+Données!A101</f>
        <v>5564</v>
      </c>
      <c r="B101" s="250" t="str">
        <f>+Données!B101</f>
        <v>Novalles</v>
      </c>
      <c r="C101" s="238">
        <f>+Ecrêtage!C101</f>
        <v>2091.5278618421053</v>
      </c>
      <c r="D101" s="236"/>
      <c r="E101" s="238">
        <f>Données!AF101+Données!AG101+Données!AH101</f>
        <v>19881</v>
      </c>
      <c r="F101" s="236">
        <f t="shared" si="8"/>
        <v>16732.222894736842</v>
      </c>
      <c r="G101" s="8">
        <f t="shared" si="11"/>
        <v>3148.7771052631579</v>
      </c>
      <c r="H101" s="317">
        <f t="shared" si="12"/>
        <v>-2361.5828289473684</v>
      </c>
      <c r="J101" s="8">
        <f>Données!AN101</f>
        <v>3062</v>
      </c>
      <c r="K101" s="216">
        <f t="shared" si="9"/>
        <v>2091.5278618421053</v>
      </c>
      <c r="L101" s="12">
        <f t="shared" si="13"/>
        <v>970.47213815789473</v>
      </c>
      <c r="M101" s="317">
        <f t="shared" si="14"/>
        <v>-727.85410361842105</v>
      </c>
      <c r="O101" s="42">
        <f t="shared" si="10"/>
        <v>-3089.4369325657894</v>
      </c>
      <c r="P101" s="274"/>
      <c r="Q101" s="229"/>
      <c r="R101" s="229"/>
      <c r="S101" s="229"/>
      <c r="T101" s="229"/>
      <c r="U101" s="229"/>
      <c r="AF101" s="11"/>
      <c r="AG101" s="11"/>
      <c r="AH101" s="11"/>
      <c r="AI101" s="11"/>
      <c r="AJ101" s="11"/>
      <c r="AK101" s="11"/>
      <c r="AL101" s="11"/>
    </row>
    <row r="102" spans="1:38" x14ac:dyDescent="0.25">
      <c r="A102" s="38">
        <f>+Données!A102</f>
        <v>5565</v>
      </c>
      <c r="B102" s="250" t="str">
        <f>+Données!B102</f>
        <v>Onnens</v>
      </c>
      <c r="C102" s="238">
        <f>+Ecrêtage!C102</f>
        <v>19614.777543776931</v>
      </c>
      <c r="D102" s="236"/>
      <c r="E102" s="238">
        <f>Données!AF102+Données!AG102+Données!AH102</f>
        <v>216886</v>
      </c>
      <c r="F102" s="236">
        <f t="shared" si="8"/>
        <v>156918.22035021544</v>
      </c>
      <c r="G102" s="8">
        <f t="shared" si="11"/>
        <v>59967.779649784556</v>
      </c>
      <c r="H102" s="317">
        <f t="shared" si="12"/>
        <v>-44975.834737338417</v>
      </c>
      <c r="J102" s="8">
        <f>Données!AN102</f>
        <v>18412</v>
      </c>
      <c r="K102" s="216">
        <f t="shared" si="9"/>
        <v>19614.777543776931</v>
      </c>
      <c r="L102" s="12">
        <f t="shared" si="13"/>
        <v>0</v>
      </c>
      <c r="M102" s="317">
        <f t="shared" si="14"/>
        <v>0</v>
      </c>
      <c r="O102" s="42">
        <f t="shared" ref="O102:O133" si="15">M102+H102</f>
        <v>-44975.834737338417</v>
      </c>
      <c r="P102" s="274"/>
      <c r="Q102" s="229"/>
      <c r="R102" s="229"/>
      <c r="S102" s="229"/>
      <c r="T102" s="229"/>
      <c r="U102" s="229"/>
      <c r="AF102" s="11"/>
      <c r="AG102" s="11"/>
      <c r="AH102" s="11"/>
      <c r="AI102" s="11"/>
      <c r="AJ102" s="11"/>
      <c r="AK102" s="11"/>
      <c r="AL102" s="11"/>
    </row>
    <row r="103" spans="1:38" x14ac:dyDescent="0.25">
      <c r="A103" s="38">
        <f>+Données!A103</f>
        <v>5566</v>
      </c>
      <c r="B103" s="250" t="str">
        <f>+Données!B103</f>
        <v>Provence</v>
      </c>
      <c r="C103" s="238">
        <f>+Ecrêtage!C103</f>
        <v>7592.3490248426833</v>
      </c>
      <c r="D103" s="236"/>
      <c r="E103" s="238">
        <f>Données!AF103+Données!AG103+Données!AH103</f>
        <v>468393</v>
      </c>
      <c r="F103" s="236">
        <f t="shared" si="8"/>
        <v>60738.792198741467</v>
      </c>
      <c r="G103" s="8">
        <f t="shared" si="11"/>
        <v>407654.20780125854</v>
      </c>
      <c r="H103" s="317">
        <f t="shared" si="12"/>
        <v>-305740.65585094388</v>
      </c>
      <c r="J103" s="8">
        <f>Données!AN103</f>
        <v>33815</v>
      </c>
      <c r="K103" s="216">
        <f t="shared" si="9"/>
        <v>7592.3490248426833</v>
      </c>
      <c r="L103" s="12">
        <f t="shared" si="13"/>
        <v>26222.650975157318</v>
      </c>
      <c r="M103" s="317">
        <f t="shared" si="14"/>
        <v>-19666.988231367988</v>
      </c>
      <c r="O103" s="42">
        <f t="shared" si="15"/>
        <v>-325407.64408231189</v>
      </c>
      <c r="P103" s="274"/>
      <c r="Q103" s="229"/>
      <c r="R103" s="229"/>
      <c r="S103" s="229"/>
      <c r="T103" s="229"/>
      <c r="U103" s="229"/>
      <c r="AF103" s="11"/>
      <c r="AG103" s="11"/>
      <c r="AH103" s="11"/>
      <c r="AI103" s="11"/>
      <c r="AJ103" s="11"/>
      <c r="AK103" s="11"/>
      <c r="AL103" s="11"/>
    </row>
    <row r="104" spans="1:38" x14ac:dyDescent="0.25">
      <c r="A104" s="38">
        <f>+Données!A104</f>
        <v>5568</v>
      </c>
      <c r="B104" s="250" t="str">
        <f>+Données!B104</f>
        <v>Sainte-Croix</v>
      </c>
      <c r="C104" s="238">
        <f>+Ecrêtage!C104</f>
        <v>106408.06903013417</v>
      </c>
      <c r="D104" s="236"/>
      <c r="E104" s="238">
        <f>Données!AF104+Données!AG104+Données!AH104</f>
        <v>2685452</v>
      </c>
      <c r="F104" s="236">
        <f t="shared" si="8"/>
        <v>851264.55224107334</v>
      </c>
      <c r="G104" s="8">
        <f t="shared" si="11"/>
        <v>1834187.4477589265</v>
      </c>
      <c r="H104" s="317">
        <f t="shared" si="12"/>
        <v>-1375640.585819195</v>
      </c>
      <c r="J104" s="8">
        <f>Données!AN104</f>
        <v>247521</v>
      </c>
      <c r="K104" s="216">
        <f t="shared" si="9"/>
        <v>106408.06903013417</v>
      </c>
      <c r="L104" s="12">
        <f t="shared" si="13"/>
        <v>141112.93096986582</v>
      </c>
      <c r="M104" s="317">
        <f t="shared" si="14"/>
        <v>-105834.69822739936</v>
      </c>
      <c r="O104" s="42">
        <f t="shared" si="15"/>
        <v>-1481475.2840465943</v>
      </c>
      <c r="P104" s="274"/>
      <c r="Q104" s="229"/>
      <c r="R104" s="229"/>
      <c r="S104" s="229"/>
      <c r="T104" s="229"/>
      <c r="U104" s="229"/>
      <c r="AF104" s="11"/>
      <c r="AG104" s="11"/>
      <c r="AH104" s="11"/>
      <c r="AI104" s="11"/>
      <c r="AJ104" s="11"/>
      <c r="AK104" s="11"/>
      <c r="AL104" s="11"/>
    </row>
    <row r="105" spans="1:38" x14ac:dyDescent="0.25">
      <c r="A105" s="38">
        <f>+Données!A105</f>
        <v>5571</v>
      </c>
      <c r="B105" s="250" t="str">
        <f>+Données!B105</f>
        <v>Tévenon</v>
      </c>
      <c r="C105" s="238">
        <f>+Ecrêtage!C105</f>
        <v>21375.598965432913</v>
      </c>
      <c r="D105" s="236"/>
      <c r="E105" s="238">
        <f>Données!AF105+Données!AG105+Données!AH105</f>
        <v>351971</v>
      </c>
      <c r="F105" s="236">
        <f t="shared" si="8"/>
        <v>171004.79172346331</v>
      </c>
      <c r="G105" s="8">
        <f t="shared" si="11"/>
        <v>180966.20827653669</v>
      </c>
      <c r="H105" s="317">
        <f t="shared" si="12"/>
        <v>-135724.65620740253</v>
      </c>
      <c r="J105" s="8">
        <f>Données!AN105</f>
        <v>52207</v>
      </c>
      <c r="K105" s="216">
        <f t="shared" si="9"/>
        <v>21375.598965432913</v>
      </c>
      <c r="L105" s="12">
        <f t="shared" si="13"/>
        <v>30831.401034567087</v>
      </c>
      <c r="M105" s="317">
        <f t="shared" si="14"/>
        <v>-23123.550775925316</v>
      </c>
      <c r="O105" s="42">
        <f t="shared" si="15"/>
        <v>-158848.20698332784</v>
      </c>
      <c r="P105" s="274"/>
      <c r="Q105" s="229"/>
      <c r="R105" s="229"/>
      <c r="S105" s="229"/>
      <c r="T105" s="229"/>
      <c r="U105" s="229"/>
      <c r="AF105" s="11"/>
      <c r="AG105" s="11"/>
      <c r="AH105" s="11"/>
      <c r="AI105" s="11"/>
      <c r="AJ105" s="11"/>
      <c r="AK105" s="11"/>
      <c r="AL105" s="11"/>
    </row>
    <row r="106" spans="1:38" x14ac:dyDescent="0.25">
      <c r="A106" s="38">
        <f>+Données!A106</f>
        <v>5581</v>
      </c>
      <c r="B106" s="250" t="str">
        <f>+Données!B106</f>
        <v>Belmont-sur-Lausanne</v>
      </c>
      <c r="C106" s="238">
        <f>+Ecrêtage!C106</f>
        <v>212399.01953543225</v>
      </c>
      <c r="D106" s="236"/>
      <c r="E106" s="238">
        <f>Données!AF106+Données!AG106+Données!AH106</f>
        <v>2667715</v>
      </c>
      <c r="F106" s="236">
        <f t="shared" si="8"/>
        <v>1699192.156283458</v>
      </c>
      <c r="G106" s="8">
        <f t="shared" si="11"/>
        <v>968522.843716542</v>
      </c>
      <c r="H106" s="317">
        <f t="shared" si="12"/>
        <v>-726392.13278740644</v>
      </c>
      <c r="J106" s="8">
        <f>Données!AN106</f>
        <v>18402</v>
      </c>
      <c r="K106" s="216">
        <f t="shared" si="9"/>
        <v>212399.01953543225</v>
      </c>
      <c r="L106" s="12">
        <f t="shared" si="13"/>
        <v>0</v>
      </c>
      <c r="M106" s="317">
        <f t="shared" si="14"/>
        <v>0</v>
      </c>
      <c r="O106" s="42">
        <f t="shared" si="15"/>
        <v>-726392.13278740644</v>
      </c>
      <c r="P106" s="274"/>
      <c r="Q106" s="229"/>
      <c r="R106" s="229"/>
      <c r="S106" s="229"/>
      <c r="T106" s="229"/>
      <c r="U106" s="229"/>
      <c r="AF106" s="11"/>
      <c r="AG106" s="11"/>
      <c r="AH106" s="11"/>
      <c r="AI106" s="11"/>
      <c r="AJ106" s="11"/>
      <c r="AK106" s="11"/>
      <c r="AL106" s="11"/>
    </row>
    <row r="107" spans="1:38" x14ac:dyDescent="0.25">
      <c r="A107" s="38">
        <f>+Données!A107</f>
        <v>5582</v>
      </c>
      <c r="B107" s="250" t="str">
        <f>+Données!B107</f>
        <v>Cheseaux-sur-Lausanne</v>
      </c>
      <c r="C107" s="238">
        <f>+Ecrêtage!C107</f>
        <v>163661.81439852438</v>
      </c>
      <c r="D107" s="236"/>
      <c r="E107" s="238">
        <f>Données!AF107+Données!AG107+Données!AH107</f>
        <v>1858258</v>
      </c>
      <c r="F107" s="236">
        <f t="shared" si="8"/>
        <v>1309294.515188195</v>
      </c>
      <c r="G107" s="8">
        <f t="shared" si="11"/>
        <v>548963.48481180496</v>
      </c>
      <c r="H107" s="317">
        <f t="shared" si="12"/>
        <v>-411722.61360885372</v>
      </c>
      <c r="J107" s="8">
        <f>Données!AN107</f>
        <v>69630</v>
      </c>
      <c r="K107" s="216">
        <f t="shared" si="9"/>
        <v>163661.81439852438</v>
      </c>
      <c r="L107" s="12">
        <f t="shared" si="13"/>
        <v>0</v>
      </c>
      <c r="M107" s="317">
        <f t="shared" si="14"/>
        <v>0</v>
      </c>
      <c r="O107" s="42">
        <f t="shared" si="15"/>
        <v>-411722.61360885372</v>
      </c>
      <c r="P107" s="274"/>
      <c r="Q107" s="229"/>
      <c r="R107" s="229"/>
      <c r="S107" s="229"/>
      <c r="T107" s="229"/>
      <c r="U107" s="229"/>
      <c r="AF107" s="11"/>
      <c r="AG107" s="11"/>
      <c r="AH107" s="11"/>
      <c r="AI107" s="11"/>
      <c r="AJ107" s="11"/>
      <c r="AK107" s="11"/>
      <c r="AL107" s="11"/>
    </row>
    <row r="108" spans="1:38" x14ac:dyDescent="0.25">
      <c r="A108" s="38">
        <f>+Données!A108</f>
        <v>5583</v>
      </c>
      <c r="B108" s="250" t="str">
        <f>+Données!B108</f>
        <v>Crissier</v>
      </c>
      <c r="C108" s="238">
        <f>+Ecrêtage!C108</f>
        <v>366439.37058398779</v>
      </c>
      <c r="D108" s="236"/>
      <c r="E108" s="238">
        <f>Données!AF108+Données!AG108+Données!AH108</f>
        <v>6583716</v>
      </c>
      <c r="F108" s="236">
        <f t="shared" si="8"/>
        <v>2931514.9646719024</v>
      </c>
      <c r="G108" s="8">
        <f t="shared" si="11"/>
        <v>3652201.0353280976</v>
      </c>
      <c r="H108" s="317">
        <f t="shared" si="12"/>
        <v>-2739150.7764960732</v>
      </c>
      <c r="J108" s="8">
        <f>Données!AN108</f>
        <v>104841</v>
      </c>
      <c r="K108" s="216">
        <f t="shared" si="9"/>
        <v>366439.37058398779</v>
      </c>
      <c r="L108" s="12">
        <f t="shared" si="13"/>
        <v>0</v>
      </c>
      <c r="M108" s="317">
        <f t="shared" si="14"/>
        <v>0</v>
      </c>
      <c r="O108" s="42">
        <f t="shared" si="15"/>
        <v>-2739150.7764960732</v>
      </c>
      <c r="P108" s="274"/>
      <c r="Q108" s="229"/>
      <c r="R108" s="229"/>
      <c r="S108" s="229"/>
      <c r="T108" s="229"/>
      <c r="U108" s="229"/>
      <c r="AF108" s="11"/>
      <c r="AG108" s="11"/>
      <c r="AH108" s="11"/>
      <c r="AI108" s="11"/>
      <c r="AJ108" s="11"/>
      <c r="AK108" s="11"/>
      <c r="AL108" s="11"/>
    </row>
    <row r="109" spans="1:38" x14ac:dyDescent="0.25">
      <c r="A109" s="38">
        <f>+Données!A109</f>
        <v>5584</v>
      </c>
      <c r="B109" s="250" t="str">
        <f>+Données!B109</f>
        <v>Epalinges</v>
      </c>
      <c r="C109" s="238">
        <f>+Ecrêtage!C109</f>
        <v>481828.05446555291</v>
      </c>
      <c r="D109" s="236"/>
      <c r="E109" s="238">
        <f>Données!AF109+Données!AG109+Données!AH109</f>
        <v>8360276</v>
      </c>
      <c r="F109" s="236">
        <f t="shared" si="8"/>
        <v>3854624.4357244233</v>
      </c>
      <c r="G109" s="8">
        <f t="shared" si="11"/>
        <v>4505651.5642755767</v>
      </c>
      <c r="H109" s="317">
        <f t="shared" si="12"/>
        <v>-3379238.6732066823</v>
      </c>
      <c r="J109" s="8">
        <f>Données!AN109</f>
        <v>293602</v>
      </c>
      <c r="K109" s="216">
        <f t="shared" si="9"/>
        <v>481828.05446555291</v>
      </c>
      <c r="L109" s="12">
        <f t="shared" si="13"/>
        <v>0</v>
      </c>
      <c r="M109" s="317">
        <f t="shared" si="14"/>
        <v>0</v>
      </c>
      <c r="O109" s="42">
        <f t="shared" si="15"/>
        <v>-3379238.6732066823</v>
      </c>
      <c r="P109" s="274"/>
      <c r="Q109" s="229"/>
      <c r="R109" s="229"/>
      <c r="S109" s="229"/>
      <c r="T109" s="229"/>
      <c r="U109" s="229"/>
      <c r="AF109" s="11"/>
      <c r="AG109" s="11"/>
      <c r="AH109" s="11"/>
      <c r="AI109" s="11"/>
      <c r="AJ109" s="11"/>
      <c r="AK109" s="11"/>
      <c r="AL109" s="11"/>
    </row>
    <row r="110" spans="1:38" x14ac:dyDescent="0.25">
      <c r="A110" s="38">
        <f>+Données!A110</f>
        <v>5585</v>
      </c>
      <c r="B110" s="250" t="str">
        <f>+Données!B110</f>
        <v>Jouxtens-Mézery</v>
      </c>
      <c r="C110" s="238">
        <f>+Ecrêtage!C110</f>
        <v>202456.81185453033</v>
      </c>
      <c r="D110" s="236"/>
      <c r="E110" s="238">
        <f>Données!AF110+Données!AG110+Données!AH110</f>
        <v>563943</v>
      </c>
      <c r="F110" s="236">
        <f t="shared" si="8"/>
        <v>1619654.4948362426</v>
      </c>
      <c r="G110" s="8">
        <f t="shared" si="11"/>
        <v>0</v>
      </c>
      <c r="H110" s="317">
        <f t="shared" si="12"/>
        <v>0</v>
      </c>
      <c r="J110" s="8">
        <f>Données!AN110</f>
        <v>41246</v>
      </c>
      <c r="K110" s="216">
        <f t="shared" si="9"/>
        <v>202456.81185453033</v>
      </c>
      <c r="L110" s="12">
        <f t="shared" si="13"/>
        <v>0</v>
      </c>
      <c r="M110" s="317">
        <f t="shared" si="14"/>
        <v>0</v>
      </c>
      <c r="O110" s="42">
        <f t="shared" si="15"/>
        <v>0</v>
      </c>
      <c r="P110" s="274"/>
      <c r="Q110" s="229"/>
      <c r="R110" s="229"/>
      <c r="S110" s="229"/>
      <c r="T110" s="229"/>
      <c r="U110" s="229"/>
      <c r="AF110" s="11"/>
      <c r="AG110" s="11"/>
      <c r="AH110" s="11"/>
      <c r="AI110" s="11"/>
      <c r="AJ110" s="11"/>
      <c r="AK110" s="11"/>
      <c r="AL110" s="11"/>
    </row>
    <row r="111" spans="1:38" x14ac:dyDescent="0.25">
      <c r="A111" s="38">
        <f>+Données!A111</f>
        <v>5586</v>
      </c>
      <c r="B111" s="250" t="str">
        <f>+Données!B111</f>
        <v>Lausanne</v>
      </c>
      <c r="C111" s="238">
        <f>+Ecrêtage!C111</f>
        <v>6147866.1896833694</v>
      </c>
      <c r="D111" s="236"/>
      <c r="E111" s="238">
        <f>Données!AF111+Données!AG111+Données!AH111</f>
        <v>110010218</v>
      </c>
      <c r="F111" s="236">
        <f t="shared" si="8"/>
        <v>49182929.517466955</v>
      </c>
      <c r="G111" s="8">
        <f t="shared" si="11"/>
        <v>60827288.482533045</v>
      </c>
      <c r="H111" s="317">
        <f t="shared" si="12"/>
        <v>-45620466.361899786</v>
      </c>
      <c r="J111" s="8">
        <f>Données!AN111</f>
        <v>2119471</v>
      </c>
      <c r="K111" s="216">
        <f t="shared" si="9"/>
        <v>6147866.1896833694</v>
      </c>
      <c r="L111" s="12">
        <f t="shared" si="13"/>
        <v>0</v>
      </c>
      <c r="M111" s="317">
        <f t="shared" si="14"/>
        <v>0</v>
      </c>
      <c r="O111" s="42">
        <f t="shared" si="15"/>
        <v>-45620466.361899786</v>
      </c>
      <c r="P111" s="274"/>
      <c r="Q111" s="229"/>
      <c r="R111" s="229"/>
      <c r="S111" s="229"/>
      <c r="T111" s="229"/>
      <c r="U111" s="229"/>
      <c r="AF111" s="11"/>
      <c r="AG111" s="11"/>
      <c r="AH111" s="11"/>
      <c r="AI111" s="11"/>
      <c r="AJ111" s="11"/>
      <c r="AK111" s="11"/>
      <c r="AL111" s="11"/>
    </row>
    <row r="112" spans="1:38" x14ac:dyDescent="0.25">
      <c r="A112" s="38">
        <f>+Données!A112</f>
        <v>5587</v>
      </c>
      <c r="B112" s="250" t="str">
        <f>+Données!B112</f>
        <v>Le Mont-sur-Lausanne</v>
      </c>
      <c r="C112" s="238">
        <f>+Ecrêtage!C112</f>
        <v>442283.52488437272</v>
      </c>
      <c r="D112" s="236"/>
      <c r="E112" s="238">
        <f>Données!AF112+Données!AG112+Données!AH112</f>
        <v>6420583</v>
      </c>
      <c r="F112" s="236">
        <f t="shared" si="8"/>
        <v>3538268.1990749817</v>
      </c>
      <c r="G112" s="8">
        <f t="shared" si="11"/>
        <v>2882314.8009250183</v>
      </c>
      <c r="H112" s="317">
        <f t="shared" si="12"/>
        <v>-2161736.1006937637</v>
      </c>
      <c r="J112" s="8">
        <f>Données!AN112</f>
        <v>47469</v>
      </c>
      <c r="K112" s="216">
        <f t="shared" si="9"/>
        <v>442283.52488437272</v>
      </c>
      <c r="L112" s="12">
        <f t="shared" si="13"/>
        <v>0</v>
      </c>
      <c r="M112" s="317">
        <f t="shared" si="14"/>
        <v>0</v>
      </c>
      <c r="O112" s="42">
        <f t="shared" si="15"/>
        <v>-2161736.1006937637</v>
      </c>
      <c r="P112" s="274"/>
      <c r="Q112" s="229"/>
      <c r="R112" s="229"/>
      <c r="S112" s="229"/>
      <c r="T112" s="229"/>
      <c r="U112" s="229"/>
      <c r="AF112" s="11"/>
      <c r="AG112" s="11"/>
      <c r="AH112" s="11"/>
      <c r="AI112" s="11"/>
      <c r="AJ112" s="11"/>
      <c r="AK112" s="11"/>
      <c r="AL112" s="11"/>
    </row>
    <row r="113" spans="1:38" x14ac:dyDescent="0.25">
      <c r="A113" s="38">
        <f>+Données!A113</f>
        <v>5588</v>
      </c>
      <c r="B113" s="250" t="str">
        <f>+Données!B113</f>
        <v>Paudex</v>
      </c>
      <c r="C113" s="238">
        <f>+Ecrêtage!C113</f>
        <v>135325.41739882343</v>
      </c>
      <c r="D113" s="236"/>
      <c r="E113" s="238">
        <f>Données!AF113+Données!AG113+Données!AH113</f>
        <v>787482</v>
      </c>
      <c r="F113" s="236">
        <f t="shared" si="8"/>
        <v>1082603.3391905874</v>
      </c>
      <c r="G113" s="8">
        <f t="shared" si="11"/>
        <v>0</v>
      </c>
      <c r="H113" s="317">
        <f t="shared" si="12"/>
        <v>0</v>
      </c>
      <c r="J113" s="8">
        <f>Données!AN113</f>
        <v>0</v>
      </c>
      <c r="K113" s="216">
        <f t="shared" si="9"/>
        <v>135325.41739882343</v>
      </c>
      <c r="L113" s="12">
        <f t="shared" si="13"/>
        <v>0</v>
      </c>
      <c r="M113" s="317">
        <f t="shared" si="14"/>
        <v>0</v>
      </c>
      <c r="O113" s="42">
        <f t="shared" si="15"/>
        <v>0</v>
      </c>
      <c r="P113" s="274"/>
      <c r="Q113" s="229"/>
      <c r="R113" s="229"/>
      <c r="S113" s="229"/>
      <c r="T113" s="229"/>
      <c r="U113" s="229"/>
      <c r="AF113" s="11"/>
      <c r="AG113" s="11"/>
      <c r="AH113" s="11"/>
      <c r="AI113" s="11"/>
      <c r="AJ113" s="11"/>
      <c r="AK113" s="11"/>
      <c r="AL113" s="11"/>
    </row>
    <row r="114" spans="1:38" x14ac:dyDescent="0.25">
      <c r="A114" s="38">
        <f>+Données!A114</f>
        <v>5589</v>
      </c>
      <c r="B114" s="250" t="str">
        <f>+Données!B114</f>
        <v>Prilly</v>
      </c>
      <c r="C114" s="238">
        <f>+Ecrêtage!C114</f>
        <v>453159.46835878264</v>
      </c>
      <c r="D114" s="236"/>
      <c r="E114" s="238">
        <f>Données!AF114+Données!AG114+Données!AH114</f>
        <v>7107230</v>
      </c>
      <c r="F114" s="236">
        <f t="shared" si="8"/>
        <v>3625275.7468702612</v>
      </c>
      <c r="G114" s="8">
        <f t="shared" si="11"/>
        <v>3481954.2531297388</v>
      </c>
      <c r="H114" s="317">
        <f t="shared" si="12"/>
        <v>-2611465.689847304</v>
      </c>
      <c r="J114" s="8">
        <f>Données!AN114</f>
        <v>21738</v>
      </c>
      <c r="K114" s="216">
        <f t="shared" si="9"/>
        <v>453159.46835878264</v>
      </c>
      <c r="L114" s="12">
        <f t="shared" si="13"/>
        <v>0</v>
      </c>
      <c r="M114" s="317">
        <f t="shared" si="14"/>
        <v>0</v>
      </c>
      <c r="O114" s="42">
        <f t="shared" si="15"/>
        <v>-2611465.689847304</v>
      </c>
      <c r="P114" s="274"/>
      <c r="Q114" s="229"/>
      <c r="R114" s="229"/>
      <c r="S114" s="229"/>
      <c r="T114" s="229"/>
      <c r="U114" s="229"/>
      <c r="AF114" s="11"/>
      <c r="AG114" s="11"/>
      <c r="AH114" s="11"/>
      <c r="AI114" s="11"/>
      <c r="AJ114" s="11"/>
      <c r="AK114" s="11"/>
      <c r="AL114" s="11"/>
    </row>
    <row r="115" spans="1:38" x14ac:dyDescent="0.25">
      <c r="A115" s="38">
        <f>+Données!A115</f>
        <v>5590</v>
      </c>
      <c r="B115" s="250" t="str">
        <f>+Données!B115</f>
        <v>Pully</v>
      </c>
      <c r="C115" s="238">
        <f>+Ecrêtage!C115</f>
        <v>1476232.2063472071</v>
      </c>
      <c r="D115" s="236"/>
      <c r="E115" s="238">
        <f>Données!AF115+Données!AG115+Données!AH115</f>
        <v>14954765</v>
      </c>
      <c r="F115" s="236">
        <f t="shared" si="8"/>
        <v>11809857.650777657</v>
      </c>
      <c r="G115" s="8">
        <f t="shared" si="11"/>
        <v>3144907.3492223434</v>
      </c>
      <c r="H115" s="317">
        <f t="shared" si="12"/>
        <v>-2358680.5119167576</v>
      </c>
      <c r="J115" s="8">
        <f>Données!AN115</f>
        <v>599997</v>
      </c>
      <c r="K115" s="216">
        <f t="shared" si="9"/>
        <v>1476232.2063472071</v>
      </c>
      <c r="L115" s="12">
        <f t="shared" si="13"/>
        <v>0</v>
      </c>
      <c r="M115" s="317">
        <f t="shared" si="14"/>
        <v>0</v>
      </c>
      <c r="O115" s="42">
        <f t="shared" si="15"/>
        <v>-2358680.5119167576</v>
      </c>
      <c r="P115" s="274"/>
      <c r="Q115" s="229"/>
      <c r="R115" s="229"/>
      <c r="S115" s="229"/>
      <c r="T115" s="229"/>
      <c r="U115" s="229"/>
      <c r="AF115" s="11"/>
      <c r="AG115" s="11"/>
      <c r="AH115" s="11"/>
      <c r="AI115" s="11"/>
      <c r="AJ115" s="11"/>
      <c r="AK115" s="11"/>
      <c r="AL115" s="11"/>
    </row>
    <row r="116" spans="1:38" x14ac:dyDescent="0.25">
      <c r="A116" s="38">
        <f>+Données!A116</f>
        <v>5591</v>
      </c>
      <c r="B116" s="250" t="str">
        <f>+Données!B116</f>
        <v>Renens</v>
      </c>
      <c r="C116" s="238">
        <f>+Ecrêtage!C116</f>
        <v>594878.13045762118</v>
      </c>
      <c r="D116" s="236"/>
      <c r="E116" s="238">
        <f>Données!AF116+Données!AG116+Données!AH116</f>
        <v>12427945</v>
      </c>
      <c r="F116" s="236">
        <f t="shared" si="8"/>
        <v>4759025.0436609695</v>
      </c>
      <c r="G116" s="8">
        <f t="shared" si="11"/>
        <v>7668919.9563390305</v>
      </c>
      <c r="H116" s="317">
        <f t="shared" si="12"/>
        <v>-5751689.9672542727</v>
      </c>
      <c r="J116" s="8">
        <f>Données!AN116</f>
        <v>38153</v>
      </c>
      <c r="K116" s="216">
        <f t="shared" si="9"/>
        <v>594878.13045762118</v>
      </c>
      <c r="L116" s="12">
        <f t="shared" si="13"/>
        <v>0</v>
      </c>
      <c r="M116" s="317">
        <f t="shared" si="14"/>
        <v>0</v>
      </c>
      <c r="O116" s="42">
        <f t="shared" si="15"/>
        <v>-5751689.9672542727</v>
      </c>
      <c r="P116" s="274"/>
      <c r="Q116" s="229"/>
      <c r="R116" s="229"/>
      <c r="S116" s="229"/>
      <c r="T116" s="229"/>
      <c r="U116" s="229"/>
      <c r="AF116" s="11"/>
      <c r="AG116" s="11"/>
      <c r="AH116" s="11"/>
      <c r="AI116" s="11"/>
      <c r="AJ116" s="11"/>
      <c r="AK116" s="11"/>
      <c r="AL116" s="11"/>
    </row>
    <row r="117" spans="1:38" x14ac:dyDescent="0.25">
      <c r="A117" s="38">
        <f>+Données!A117</f>
        <v>5592</v>
      </c>
      <c r="B117" s="250" t="str">
        <f>+Données!B117</f>
        <v>Romanel-sur-Lausanne</v>
      </c>
      <c r="C117" s="238">
        <f>+Ecrêtage!C117</f>
        <v>121107.61842839372</v>
      </c>
      <c r="D117" s="236"/>
      <c r="E117" s="238">
        <f>Données!AF117+Données!AG117+Données!AH117</f>
        <v>1240820</v>
      </c>
      <c r="F117" s="236">
        <f t="shared" si="8"/>
        <v>968860.94742714975</v>
      </c>
      <c r="G117" s="8">
        <f t="shared" si="11"/>
        <v>271959.05257285025</v>
      </c>
      <c r="H117" s="317">
        <f t="shared" si="12"/>
        <v>-203969.28942963769</v>
      </c>
      <c r="J117" s="8">
        <f>Données!AN117</f>
        <v>9229</v>
      </c>
      <c r="K117" s="216">
        <f t="shared" si="9"/>
        <v>121107.61842839372</v>
      </c>
      <c r="L117" s="12">
        <f t="shared" si="13"/>
        <v>0</v>
      </c>
      <c r="M117" s="317">
        <f t="shared" si="14"/>
        <v>0</v>
      </c>
      <c r="O117" s="42">
        <f t="shared" si="15"/>
        <v>-203969.28942963769</v>
      </c>
      <c r="P117" s="274"/>
      <c r="Q117" s="229"/>
      <c r="R117" s="229"/>
      <c r="S117" s="229"/>
      <c r="T117" s="229"/>
      <c r="U117" s="229"/>
      <c r="AF117" s="11"/>
      <c r="AG117" s="11"/>
      <c r="AH117" s="11"/>
      <c r="AI117" s="11"/>
      <c r="AJ117" s="11"/>
      <c r="AK117" s="11"/>
      <c r="AL117" s="11"/>
    </row>
    <row r="118" spans="1:38" x14ac:dyDescent="0.25">
      <c r="A118" s="38">
        <f>+Données!A118</f>
        <v>5601</v>
      </c>
      <c r="B118" s="250" t="str">
        <f>+Données!B118</f>
        <v>Chexbres</v>
      </c>
      <c r="C118" s="238">
        <f>+Ecrêtage!C118</f>
        <v>98052.639768384004</v>
      </c>
      <c r="D118" s="236"/>
      <c r="E118" s="238">
        <f>Données!AF118+Données!AG118+Données!AH118</f>
        <v>1267678</v>
      </c>
      <c r="F118" s="236">
        <f t="shared" si="8"/>
        <v>784421.11814707203</v>
      </c>
      <c r="G118" s="8">
        <f t="shared" si="11"/>
        <v>483256.88185292797</v>
      </c>
      <c r="H118" s="317">
        <f t="shared" si="12"/>
        <v>-362442.66138969595</v>
      </c>
      <c r="J118" s="8">
        <f>Données!AN118</f>
        <v>34556</v>
      </c>
      <c r="K118" s="216">
        <f t="shared" si="9"/>
        <v>98052.639768384004</v>
      </c>
      <c r="L118" s="12">
        <f t="shared" si="13"/>
        <v>0</v>
      </c>
      <c r="M118" s="317">
        <f t="shared" si="14"/>
        <v>0</v>
      </c>
      <c r="O118" s="42">
        <f t="shared" si="15"/>
        <v>-362442.66138969595</v>
      </c>
      <c r="P118" s="274"/>
      <c r="Q118" s="229"/>
      <c r="R118" s="229"/>
      <c r="S118" s="229"/>
      <c r="T118" s="229"/>
      <c r="U118" s="229"/>
      <c r="AF118" s="11"/>
      <c r="AG118" s="11"/>
      <c r="AH118" s="11"/>
      <c r="AI118" s="11"/>
      <c r="AJ118" s="11"/>
      <c r="AK118" s="11"/>
      <c r="AL118" s="11"/>
    </row>
    <row r="119" spans="1:38" x14ac:dyDescent="0.25">
      <c r="A119" s="38">
        <f>+Données!A119</f>
        <v>5604</v>
      </c>
      <c r="B119" s="250" t="str">
        <f>+Données!B119</f>
        <v>Forel (Lavaux)</v>
      </c>
      <c r="C119" s="238">
        <f>+Ecrêtage!C119</f>
        <v>71266.170275257027</v>
      </c>
      <c r="D119" s="236"/>
      <c r="E119" s="238">
        <f>Données!AF119+Données!AG119+Données!AH119</f>
        <v>960145</v>
      </c>
      <c r="F119" s="236">
        <f t="shared" si="8"/>
        <v>570129.36220205622</v>
      </c>
      <c r="G119" s="8">
        <f t="shared" si="11"/>
        <v>390015.63779794378</v>
      </c>
      <c r="H119" s="317">
        <f t="shared" si="12"/>
        <v>-292511.72834845784</v>
      </c>
      <c r="J119" s="8">
        <f>Données!AN119</f>
        <v>36482</v>
      </c>
      <c r="K119" s="216">
        <f t="shared" si="9"/>
        <v>71266.170275257027</v>
      </c>
      <c r="L119" s="12">
        <f t="shared" si="13"/>
        <v>0</v>
      </c>
      <c r="M119" s="317">
        <f t="shared" si="14"/>
        <v>0</v>
      </c>
      <c r="O119" s="42">
        <f t="shared" si="15"/>
        <v>-292511.72834845784</v>
      </c>
      <c r="P119" s="274"/>
      <c r="Q119" s="229"/>
      <c r="R119" s="229"/>
      <c r="S119" s="229"/>
      <c r="T119" s="229"/>
      <c r="U119" s="229"/>
      <c r="AF119" s="11"/>
      <c r="AG119" s="11"/>
      <c r="AH119" s="11"/>
      <c r="AI119" s="11"/>
      <c r="AJ119" s="11"/>
      <c r="AK119" s="11"/>
      <c r="AL119" s="11"/>
    </row>
    <row r="120" spans="1:38" x14ac:dyDescent="0.25">
      <c r="A120" s="38">
        <f>+Données!A120</f>
        <v>5606</v>
      </c>
      <c r="B120" s="250" t="str">
        <f>+Données!B120</f>
        <v>Lutry</v>
      </c>
      <c r="C120" s="238">
        <f>+Ecrêtage!C120</f>
        <v>874192.86279135477</v>
      </c>
      <c r="D120" s="236"/>
      <c r="E120" s="238">
        <f>Données!AF120+Données!AG120+Données!AH120</f>
        <v>9860964</v>
      </c>
      <c r="F120" s="236">
        <f t="shared" si="8"/>
        <v>6993542.9023308381</v>
      </c>
      <c r="G120" s="8">
        <f t="shared" si="11"/>
        <v>2867421.0976691619</v>
      </c>
      <c r="H120" s="317">
        <f t="shared" si="12"/>
        <v>-2150565.8232518714</v>
      </c>
      <c r="J120" s="8">
        <f>Données!AN120</f>
        <v>245737</v>
      </c>
      <c r="K120" s="216">
        <f t="shared" si="9"/>
        <v>874192.86279135477</v>
      </c>
      <c r="L120" s="12">
        <f t="shared" si="13"/>
        <v>0</v>
      </c>
      <c r="M120" s="317">
        <f t="shared" si="14"/>
        <v>0</v>
      </c>
      <c r="O120" s="42">
        <f t="shared" si="15"/>
        <v>-2150565.8232518714</v>
      </c>
      <c r="P120" s="274"/>
      <c r="Q120" s="229"/>
      <c r="R120" s="229"/>
      <c r="S120" s="229"/>
      <c r="T120" s="229"/>
      <c r="U120" s="229"/>
      <c r="AF120" s="11"/>
      <c r="AG120" s="11"/>
      <c r="AH120" s="11"/>
      <c r="AI120" s="11"/>
      <c r="AJ120" s="11"/>
      <c r="AK120" s="11"/>
      <c r="AL120" s="11"/>
    </row>
    <row r="121" spans="1:38" x14ac:dyDescent="0.25">
      <c r="A121" s="38">
        <f>+Données!A121</f>
        <v>5607</v>
      </c>
      <c r="B121" s="250" t="str">
        <f>+Données!B121</f>
        <v>Puidoux</v>
      </c>
      <c r="C121" s="238">
        <f>+Ecrêtage!C121</f>
        <v>102748.27893179639</v>
      </c>
      <c r="D121" s="236"/>
      <c r="E121" s="238">
        <f>Données!AF121+Données!AG121+Données!AH121</f>
        <v>1963068</v>
      </c>
      <c r="F121" s="236">
        <f t="shared" si="8"/>
        <v>821986.23145437113</v>
      </c>
      <c r="G121" s="8">
        <f t="shared" si="11"/>
        <v>1141081.768545629</v>
      </c>
      <c r="H121" s="317">
        <f t="shared" si="12"/>
        <v>-855811.32640922174</v>
      </c>
      <c r="J121" s="8">
        <f>Données!AN121</f>
        <v>-2029</v>
      </c>
      <c r="K121" s="216">
        <f t="shared" si="9"/>
        <v>102748.27893179639</v>
      </c>
      <c r="L121" s="12">
        <f t="shared" si="13"/>
        <v>0</v>
      </c>
      <c r="M121" s="317">
        <f t="shared" si="14"/>
        <v>0</v>
      </c>
      <c r="O121" s="42">
        <f t="shared" si="15"/>
        <v>-855811.32640922174</v>
      </c>
      <c r="P121" s="274"/>
      <c r="Q121" s="229"/>
      <c r="R121" s="229"/>
      <c r="S121" s="229"/>
      <c r="T121" s="229"/>
      <c r="U121" s="229"/>
      <c r="AF121" s="11"/>
      <c r="AG121" s="11"/>
      <c r="AH121" s="11"/>
      <c r="AI121" s="11"/>
      <c r="AJ121" s="11"/>
      <c r="AK121" s="11"/>
      <c r="AL121" s="11"/>
    </row>
    <row r="122" spans="1:38" x14ac:dyDescent="0.25">
      <c r="A122" s="38">
        <f>+Données!A122</f>
        <v>5609</v>
      </c>
      <c r="B122" s="250" t="str">
        <f>+Données!B122</f>
        <v>Rivaz</v>
      </c>
      <c r="C122" s="238">
        <f>+Ecrêtage!C122</f>
        <v>16045.690421494986</v>
      </c>
      <c r="D122" s="236"/>
      <c r="E122" s="238">
        <f>Données!AF122+Données!AG122+Données!AH122</f>
        <v>155468</v>
      </c>
      <c r="F122" s="236">
        <f t="shared" si="8"/>
        <v>128365.52337195989</v>
      </c>
      <c r="G122" s="8">
        <f t="shared" si="11"/>
        <v>27102.476628040109</v>
      </c>
      <c r="H122" s="317">
        <f t="shared" si="12"/>
        <v>-20326.857471030082</v>
      </c>
      <c r="J122" s="8">
        <f>Données!AN122</f>
        <v>21288</v>
      </c>
      <c r="K122" s="216">
        <f t="shared" si="9"/>
        <v>16045.690421494986</v>
      </c>
      <c r="L122" s="12">
        <f t="shared" si="13"/>
        <v>5242.3095785050136</v>
      </c>
      <c r="M122" s="317">
        <f t="shared" si="14"/>
        <v>-3931.7321838787602</v>
      </c>
      <c r="O122" s="42">
        <f t="shared" si="15"/>
        <v>-24258.589654908843</v>
      </c>
      <c r="P122" s="274"/>
      <c r="Q122" s="229"/>
      <c r="R122" s="229"/>
      <c r="S122" s="229"/>
      <c r="T122" s="229"/>
      <c r="U122" s="229"/>
      <c r="AF122" s="11"/>
      <c r="AG122" s="11"/>
      <c r="AH122" s="11"/>
      <c r="AI122" s="11"/>
      <c r="AJ122" s="11"/>
      <c r="AK122" s="11"/>
      <c r="AL122" s="11"/>
    </row>
    <row r="123" spans="1:38" x14ac:dyDescent="0.25">
      <c r="A123" s="38">
        <f>+Données!A123</f>
        <v>5610</v>
      </c>
      <c r="B123" s="250" t="str">
        <f>+Données!B123</f>
        <v>St-Saphorin (Lavaux)</v>
      </c>
      <c r="C123" s="238">
        <f>+Ecrêtage!C123</f>
        <v>19212.066388684874</v>
      </c>
      <c r="D123" s="236"/>
      <c r="E123" s="238">
        <f>Données!AF123+Données!AG123+Données!AH123</f>
        <v>161701</v>
      </c>
      <c r="F123" s="236">
        <f t="shared" si="8"/>
        <v>153696.53110947899</v>
      </c>
      <c r="G123" s="8">
        <f t="shared" si="11"/>
        <v>8004.468890521006</v>
      </c>
      <c r="H123" s="317">
        <f t="shared" si="12"/>
        <v>-6003.3516678907545</v>
      </c>
      <c r="J123" s="8">
        <f>Données!AN123</f>
        <v>-2371</v>
      </c>
      <c r="K123" s="216">
        <f t="shared" si="9"/>
        <v>19212.066388684874</v>
      </c>
      <c r="L123" s="12">
        <f t="shared" si="13"/>
        <v>0</v>
      </c>
      <c r="M123" s="317">
        <f t="shared" si="14"/>
        <v>0</v>
      </c>
      <c r="O123" s="42">
        <f t="shared" si="15"/>
        <v>-6003.3516678907545</v>
      </c>
      <c r="P123" s="274"/>
      <c r="Q123" s="229"/>
      <c r="R123" s="229"/>
      <c r="S123" s="229"/>
      <c r="T123" s="229"/>
      <c r="U123" s="229"/>
      <c r="AF123" s="11"/>
      <c r="AG123" s="11"/>
      <c r="AH123" s="11"/>
      <c r="AI123" s="11"/>
      <c r="AJ123" s="11"/>
      <c r="AK123" s="11"/>
      <c r="AL123" s="11"/>
    </row>
    <row r="124" spans="1:38" x14ac:dyDescent="0.25">
      <c r="A124" s="38">
        <f>+Données!A124</f>
        <v>5611</v>
      </c>
      <c r="B124" s="250" t="str">
        <f>+Données!B124</f>
        <v>Savigny</v>
      </c>
      <c r="C124" s="238">
        <f>+Ecrêtage!C124</f>
        <v>136601.19868900886</v>
      </c>
      <c r="D124" s="236"/>
      <c r="E124" s="238">
        <f>Données!AF124+Données!AG124+Données!AH124</f>
        <v>1776664</v>
      </c>
      <c r="F124" s="236">
        <f t="shared" si="8"/>
        <v>1092809.5895120709</v>
      </c>
      <c r="G124" s="8">
        <f t="shared" si="11"/>
        <v>683854.41048792913</v>
      </c>
      <c r="H124" s="317">
        <f t="shared" si="12"/>
        <v>-512890.80786594684</v>
      </c>
      <c r="J124" s="8">
        <f>Données!AN124</f>
        <v>95762</v>
      </c>
      <c r="K124" s="216">
        <f t="shared" si="9"/>
        <v>136601.19868900886</v>
      </c>
      <c r="L124" s="12">
        <f t="shared" si="13"/>
        <v>0</v>
      </c>
      <c r="M124" s="317">
        <f t="shared" si="14"/>
        <v>0</v>
      </c>
      <c r="O124" s="42">
        <f t="shared" si="15"/>
        <v>-512890.80786594684</v>
      </c>
      <c r="P124" s="274"/>
      <c r="Q124" s="229"/>
      <c r="R124" s="229"/>
      <c r="S124" s="229"/>
      <c r="T124" s="229"/>
      <c r="U124" s="229"/>
      <c r="AF124" s="11"/>
      <c r="AG124" s="11"/>
      <c r="AH124" s="11"/>
      <c r="AI124" s="11"/>
      <c r="AJ124" s="11"/>
      <c r="AK124" s="11"/>
      <c r="AL124" s="11"/>
    </row>
    <row r="125" spans="1:38" x14ac:dyDescent="0.25">
      <c r="A125" s="38">
        <f>+Données!A125</f>
        <v>5613</v>
      </c>
      <c r="B125" s="250" t="str">
        <f>+Données!B125</f>
        <v>Bourg-en-Lavaux</v>
      </c>
      <c r="C125" s="238">
        <f>+Ecrêtage!C125</f>
        <v>343743.87305637199</v>
      </c>
      <c r="D125" s="236"/>
      <c r="E125" s="238">
        <f>Données!AF125+Données!AG125+Données!AH125</f>
        <v>2555005</v>
      </c>
      <c r="F125" s="236">
        <f t="shared" si="8"/>
        <v>2749950.9844509759</v>
      </c>
      <c r="G125" s="8">
        <f t="shared" si="11"/>
        <v>0</v>
      </c>
      <c r="H125" s="317">
        <f t="shared" si="12"/>
        <v>0</v>
      </c>
      <c r="J125" s="8">
        <f>Données!AN125</f>
        <v>145215</v>
      </c>
      <c r="K125" s="216">
        <f t="shared" si="9"/>
        <v>343743.87305637199</v>
      </c>
      <c r="L125" s="12">
        <f t="shared" si="13"/>
        <v>0</v>
      </c>
      <c r="M125" s="317">
        <f t="shared" si="14"/>
        <v>0</v>
      </c>
      <c r="O125" s="42">
        <f t="shared" si="15"/>
        <v>0</v>
      </c>
      <c r="P125" s="274"/>
      <c r="Q125" s="229"/>
      <c r="R125" s="229"/>
      <c r="S125" s="229"/>
      <c r="T125" s="229"/>
      <c r="U125" s="229"/>
      <c r="AF125" s="11"/>
      <c r="AG125" s="11"/>
      <c r="AH125" s="11"/>
      <c r="AI125" s="11"/>
      <c r="AJ125" s="11"/>
      <c r="AK125" s="11"/>
      <c r="AL125" s="11"/>
    </row>
    <row r="126" spans="1:38" x14ac:dyDescent="0.25">
      <c r="A126" s="38">
        <f>+Données!A126</f>
        <v>5621</v>
      </c>
      <c r="B126" s="250" t="str">
        <f>+Données!B126</f>
        <v>Aclens</v>
      </c>
      <c r="C126" s="238">
        <f>+Ecrêtage!C126</f>
        <v>32263.209585065993</v>
      </c>
      <c r="D126" s="236"/>
      <c r="E126" s="238">
        <f>Données!AF126+Données!AG126+Données!AH126</f>
        <v>311052</v>
      </c>
      <c r="F126" s="236">
        <f t="shared" si="8"/>
        <v>258105.67668052795</v>
      </c>
      <c r="G126" s="8">
        <f t="shared" si="11"/>
        <v>52946.323319472052</v>
      </c>
      <c r="H126" s="317">
        <f t="shared" si="12"/>
        <v>-39709.742489604039</v>
      </c>
      <c r="J126" s="8">
        <f>Données!AN126</f>
        <v>11253</v>
      </c>
      <c r="K126" s="216">
        <f t="shared" si="9"/>
        <v>32263.209585065993</v>
      </c>
      <c r="L126" s="12">
        <f t="shared" si="13"/>
        <v>0</v>
      </c>
      <c r="M126" s="317">
        <f t="shared" si="14"/>
        <v>0</v>
      </c>
      <c r="O126" s="42">
        <f t="shared" si="15"/>
        <v>-39709.742489604039</v>
      </c>
      <c r="P126" s="274"/>
      <c r="Q126" s="229"/>
      <c r="R126" s="229"/>
      <c r="S126" s="229"/>
      <c r="T126" s="229"/>
      <c r="U126" s="229"/>
      <c r="AF126" s="11"/>
      <c r="AG126" s="11"/>
      <c r="AH126" s="11"/>
      <c r="AI126" s="11"/>
      <c r="AJ126" s="11"/>
      <c r="AK126" s="11"/>
      <c r="AL126" s="11"/>
    </row>
    <row r="127" spans="1:38" x14ac:dyDescent="0.25">
      <c r="A127" s="38">
        <f>+Données!A127</f>
        <v>5622</v>
      </c>
      <c r="B127" s="250" t="str">
        <f>+Données!B127</f>
        <v>Bremblens</v>
      </c>
      <c r="C127" s="238">
        <f>+Ecrêtage!C127</f>
        <v>27798.843685819211</v>
      </c>
      <c r="D127" s="236"/>
      <c r="E127" s="238">
        <f>Données!AF127+Données!AG127+Données!AH127</f>
        <v>174835</v>
      </c>
      <c r="F127" s="236">
        <f t="shared" si="8"/>
        <v>222390.74948655369</v>
      </c>
      <c r="G127" s="8">
        <f t="shared" si="11"/>
        <v>0</v>
      </c>
      <c r="H127" s="317">
        <f t="shared" si="12"/>
        <v>0</v>
      </c>
      <c r="J127" s="8">
        <f>Données!AN127</f>
        <v>2400</v>
      </c>
      <c r="K127" s="216">
        <f t="shared" si="9"/>
        <v>27798.843685819211</v>
      </c>
      <c r="L127" s="12">
        <f t="shared" si="13"/>
        <v>0</v>
      </c>
      <c r="M127" s="317">
        <f t="shared" si="14"/>
        <v>0</v>
      </c>
      <c r="O127" s="42">
        <f t="shared" si="15"/>
        <v>0</v>
      </c>
      <c r="P127" s="274"/>
      <c r="Q127" s="229"/>
      <c r="R127" s="229"/>
      <c r="S127" s="229"/>
      <c r="T127" s="229"/>
      <c r="U127" s="229"/>
      <c r="AF127" s="11"/>
      <c r="AG127" s="11"/>
      <c r="AH127" s="11"/>
      <c r="AI127" s="11"/>
      <c r="AJ127" s="11"/>
      <c r="AK127" s="11"/>
      <c r="AL127" s="11"/>
    </row>
    <row r="128" spans="1:38" x14ac:dyDescent="0.25">
      <c r="A128" s="38">
        <f>+Données!A128</f>
        <v>5623</v>
      </c>
      <c r="B128" s="250" t="str">
        <f>+Données!B128</f>
        <v>Buchillon</v>
      </c>
      <c r="C128" s="238">
        <f>+Ecrêtage!C128</f>
        <v>94505.231730769228</v>
      </c>
      <c r="D128" s="236"/>
      <c r="E128" s="238">
        <f>Données!AF128+Données!AG128+Données!AH128</f>
        <v>214635</v>
      </c>
      <c r="F128" s="236">
        <f t="shared" si="8"/>
        <v>756041.85384615383</v>
      </c>
      <c r="G128" s="8">
        <f t="shared" si="11"/>
        <v>0</v>
      </c>
      <c r="H128" s="317">
        <f t="shared" si="12"/>
        <v>0</v>
      </c>
      <c r="J128" s="8">
        <f>Données!AN128</f>
        <v>12926</v>
      </c>
      <c r="K128" s="216">
        <f t="shared" si="9"/>
        <v>94505.231730769228</v>
      </c>
      <c r="L128" s="12">
        <f t="shared" si="13"/>
        <v>0</v>
      </c>
      <c r="M128" s="317">
        <f t="shared" si="14"/>
        <v>0</v>
      </c>
      <c r="O128" s="42">
        <f t="shared" si="15"/>
        <v>0</v>
      </c>
      <c r="P128" s="274"/>
      <c r="Q128" s="229"/>
      <c r="R128" s="229"/>
      <c r="S128" s="229"/>
      <c r="T128" s="229"/>
      <c r="U128" s="229"/>
      <c r="AF128" s="11"/>
      <c r="AG128" s="11"/>
      <c r="AH128" s="11"/>
      <c r="AI128" s="11"/>
      <c r="AJ128" s="11"/>
      <c r="AK128" s="11"/>
      <c r="AL128" s="11"/>
    </row>
    <row r="129" spans="1:38" x14ac:dyDescent="0.25">
      <c r="A129" s="38">
        <f>+Données!A129</f>
        <v>5624</v>
      </c>
      <c r="B129" s="250" t="str">
        <f>+Données!B129</f>
        <v>Bussigny</v>
      </c>
      <c r="C129" s="238">
        <f>+Ecrêtage!C129</f>
        <v>350915.44619957998</v>
      </c>
      <c r="D129" s="236"/>
      <c r="E129" s="238">
        <f>Données!AF129+Données!AG129+Données!AH129</f>
        <v>4601552.45</v>
      </c>
      <c r="F129" s="236">
        <f t="shared" si="8"/>
        <v>2807323.5695966398</v>
      </c>
      <c r="G129" s="8">
        <f t="shared" si="11"/>
        <v>1794228.8804033604</v>
      </c>
      <c r="H129" s="317">
        <f t="shared" si="12"/>
        <v>-1345671.6603025203</v>
      </c>
      <c r="J129" s="8">
        <f>Données!AN129</f>
        <v>208419.82</v>
      </c>
      <c r="K129" s="216">
        <f t="shared" si="9"/>
        <v>350915.44619957998</v>
      </c>
      <c r="L129" s="12">
        <f t="shared" si="13"/>
        <v>0</v>
      </c>
      <c r="M129" s="317">
        <f t="shared" si="14"/>
        <v>0</v>
      </c>
      <c r="O129" s="42">
        <f t="shared" si="15"/>
        <v>-1345671.6603025203</v>
      </c>
      <c r="P129" s="274"/>
      <c r="Q129" s="229"/>
      <c r="R129" s="229"/>
      <c r="S129" s="229"/>
      <c r="T129" s="229"/>
      <c r="U129" s="229"/>
      <c r="AF129" s="11"/>
      <c r="AG129" s="11"/>
      <c r="AH129" s="11"/>
      <c r="AI129" s="11"/>
      <c r="AJ129" s="11"/>
      <c r="AK129" s="11"/>
      <c r="AL129" s="11"/>
    </row>
    <row r="130" spans="1:38" x14ac:dyDescent="0.25">
      <c r="A130" s="38">
        <f>+Données!A130</f>
        <v>5627</v>
      </c>
      <c r="B130" s="250" t="str">
        <f>+Données!B130</f>
        <v>Chavannes-près-Renens</v>
      </c>
      <c r="C130" s="238">
        <f>+Ecrêtage!C130</f>
        <v>162426.10008602153</v>
      </c>
      <c r="D130" s="236"/>
      <c r="E130" s="238">
        <f>Données!AF130+Données!AG130+Données!AH130</f>
        <v>3282236</v>
      </c>
      <c r="F130" s="236">
        <f t="shared" si="8"/>
        <v>1299408.8006881722</v>
      </c>
      <c r="G130" s="8">
        <f t="shared" si="11"/>
        <v>1982827.1993118278</v>
      </c>
      <c r="H130" s="317">
        <f t="shared" si="12"/>
        <v>-1487120.3994838707</v>
      </c>
      <c r="J130" s="8">
        <f>Données!AN130</f>
        <v>11150</v>
      </c>
      <c r="K130" s="216">
        <f t="shared" si="9"/>
        <v>162426.10008602153</v>
      </c>
      <c r="L130" s="12">
        <f t="shared" si="13"/>
        <v>0</v>
      </c>
      <c r="M130" s="317">
        <f t="shared" si="14"/>
        <v>0</v>
      </c>
      <c r="O130" s="42">
        <f t="shared" si="15"/>
        <v>-1487120.3994838707</v>
      </c>
      <c r="P130" s="274"/>
      <c r="Q130" s="229"/>
      <c r="R130" s="229"/>
      <c r="S130" s="229"/>
      <c r="T130" s="229"/>
      <c r="U130" s="229"/>
      <c r="AF130" s="11"/>
      <c r="AG130" s="11"/>
      <c r="AH130" s="11"/>
      <c r="AI130" s="11"/>
      <c r="AJ130" s="11"/>
      <c r="AK130" s="11"/>
      <c r="AL130" s="11"/>
    </row>
    <row r="131" spans="1:38" x14ac:dyDescent="0.25">
      <c r="A131" s="38">
        <f>+Données!A131</f>
        <v>5628</v>
      </c>
      <c r="B131" s="250" t="str">
        <f>+Données!B131</f>
        <v>Chigny</v>
      </c>
      <c r="C131" s="238">
        <f>+Ecrêtage!C131</f>
        <v>24622.507795875023</v>
      </c>
      <c r="D131" s="236"/>
      <c r="E131" s="238">
        <f>Données!AF131+Données!AG131+Données!AH131</f>
        <v>90665</v>
      </c>
      <c r="F131" s="236">
        <f t="shared" si="8"/>
        <v>196980.06236700018</v>
      </c>
      <c r="G131" s="8">
        <f t="shared" si="11"/>
        <v>0</v>
      </c>
      <c r="H131" s="317">
        <f t="shared" si="12"/>
        <v>0</v>
      </c>
      <c r="J131" s="8">
        <f>Données!AN131</f>
        <v>-1121</v>
      </c>
      <c r="K131" s="216">
        <f t="shared" si="9"/>
        <v>24622.507795875023</v>
      </c>
      <c r="L131" s="12">
        <f t="shared" si="13"/>
        <v>0</v>
      </c>
      <c r="M131" s="317">
        <f t="shared" si="14"/>
        <v>0</v>
      </c>
      <c r="O131" s="42">
        <f t="shared" si="15"/>
        <v>0</v>
      </c>
      <c r="P131" s="274"/>
      <c r="Q131" s="229"/>
      <c r="R131" s="229"/>
      <c r="S131" s="229"/>
      <c r="T131" s="229"/>
      <c r="U131" s="229"/>
      <c r="AF131" s="11"/>
      <c r="AG131" s="11"/>
      <c r="AH131" s="11"/>
      <c r="AI131" s="11"/>
      <c r="AJ131" s="11"/>
      <c r="AK131" s="11"/>
      <c r="AL131" s="11"/>
    </row>
    <row r="132" spans="1:38" x14ac:dyDescent="0.25">
      <c r="A132" s="38">
        <f>+Données!A132</f>
        <v>5629</v>
      </c>
      <c r="B132" s="250" t="str">
        <f>+Données!B132</f>
        <v>Clarmont</v>
      </c>
      <c r="C132" s="238">
        <f>+Ecrêtage!C132</f>
        <v>8520.6241427524346</v>
      </c>
      <c r="D132" s="236"/>
      <c r="E132" s="238">
        <f>Données!AF132+Données!AG132+Données!AH132</f>
        <v>117072</v>
      </c>
      <c r="F132" s="236">
        <f t="shared" si="8"/>
        <v>68164.993142019477</v>
      </c>
      <c r="G132" s="8">
        <f t="shared" si="11"/>
        <v>48907.006857980523</v>
      </c>
      <c r="H132" s="317">
        <f t="shared" si="12"/>
        <v>-36680.255143485396</v>
      </c>
      <c r="J132" s="8">
        <f>Données!AN132</f>
        <v>57</v>
      </c>
      <c r="K132" s="216">
        <f t="shared" si="9"/>
        <v>8520.6241427524346</v>
      </c>
      <c r="L132" s="12">
        <f t="shared" si="13"/>
        <v>0</v>
      </c>
      <c r="M132" s="317">
        <f t="shared" si="14"/>
        <v>0</v>
      </c>
      <c r="O132" s="42">
        <f t="shared" si="15"/>
        <v>-36680.255143485396</v>
      </c>
      <c r="P132" s="274"/>
      <c r="Q132" s="229"/>
      <c r="R132" s="229"/>
      <c r="S132" s="229"/>
      <c r="T132" s="229"/>
      <c r="U132" s="229"/>
      <c r="AF132" s="11"/>
      <c r="AG132" s="11"/>
      <c r="AH132" s="11"/>
      <c r="AI132" s="11"/>
      <c r="AJ132" s="11"/>
      <c r="AK132" s="11"/>
      <c r="AL132" s="11"/>
    </row>
    <row r="133" spans="1:38" x14ac:dyDescent="0.25">
      <c r="A133" s="38">
        <f>+Données!A133</f>
        <v>5631</v>
      </c>
      <c r="B133" s="250" t="str">
        <f>+Données!B133</f>
        <v>Denens</v>
      </c>
      <c r="C133" s="238">
        <f>+Ecrêtage!C133</f>
        <v>43443.742275876699</v>
      </c>
      <c r="D133" s="236"/>
      <c r="E133" s="238">
        <f>Données!AF133+Données!AG133+Données!AH133</f>
        <v>188426</v>
      </c>
      <c r="F133" s="236">
        <f t="shared" si="8"/>
        <v>347549.93820701359</v>
      </c>
      <c r="G133" s="8">
        <f t="shared" si="11"/>
        <v>0</v>
      </c>
      <c r="H133" s="317">
        <f t="shared" si="12"/>
        <v>0</v>
      </c>
      <c r="J133" s="8">
        <f>Données!AN133</f>
        <v>1804</v>
      </c>
      <c r="K133" s="216">
        <f t="shared" si="9"/>
        <v>43443.742275876699</v>
      </c>
      <c r="L133" s="12">
        <f t="shared" si="13"/>
        <v>0</v>
      </c>
      <c r="M133" s="317">
        <f t="shared" si="14"/>
        <v>0</v>
      </c>
      <c r="O133" s="42">
        <f t="shared" si="15"/>
        <v>0</v>
      </c>
      <c r="P133" s="274"/>
      <c r="Q133" s="229"/>
      <c r="R133" s="229"/>
      <c r="S133" s="229"/>
      <c r="T133" s="229"/>
      <c r="U133" s="229"/>
      <c r="AF133" s="11"/>
      <c r="AG133" s="11"/>
      <c r="AH133" s="11"/>
      <c r="AI133" s="11"/>
      <c r="AJ133" s="11"/>
      <c r="AK133" s="11"/>
      <c r="AL133" s="11"/>
    </row>
    <row r="134" spans="1:38" x14ac:dyDescent="0.25">
      <c r="A134" s="38">
        <f>+Données!A134</f>
        <v>5632</v>
      </c>
      <c r="B134" s="250" t="str">
        <f>+Données!B134</f>
        <v>Denges</v>
      </c>
      <c r="C134" s="238">
        <f>+Ecrêtage!C134</f>
        <v>76401.256884060669</v>
      </c>
      <c r="D134" s="236"/>
      <c r="E134" s="238">
        <f>Données!AF134+Données!AG134+Données!AH134</f>
        <v>740167</v>
      </c>
      <c r="F134" s="236">
        <f t="shared" ref="F134:F197" si="16">+C134*$G$5</f>
        <v>611210.05507248535</v>
      </c>
      <c r="G134" s="8">
        <f t="shared" si="11"/>
        <v>128956.94492751465</v>
      </c>
      <c r="H134" s="317">
        <f t="shared" si="12"/>
        <v>-96717.708695635985</v>
      </c>
      <c r="J134" s="8">
        <f>Données!AN134</f>
        <v>-1499</v>
      </c>
      <c r="K134" s="216">
        <f t="shared" ref="K134:K197" si="17">C134*L$5</f>
        <v>76401.256884060669</v>
      </c>
      <c r="L134" s="12">
        <f t="shared" si="13"/>
        <v>0</v>
      </c>
      <c r="M134" s="317">
        <f t="shared" si="14"/>
        <v>0</v>
      </c>
      <c r="O134" s="42">
        <f t="shared" ref="O134:O154" si="18">M134+H134</f>
        <v>-96717.708695635985</v>
      </c>
      <c r="P134" s="274"/>
      <c r="Q134" s="229"/>
      <c r="R134" s="229"/>
      <c r="S134" s="229"/>
      <c r="T134" s="229"/>
      <c r="U134" s="229"/>
      <c r="AF134" s="11"/>
      <c r="AG134" s="11"/>
      <c r="AH134" s="11"/>
      <c r="AI134" s="11"/>
      <c r="AJ134" s="11"/>
      <c r="AK134" s="11"/>
      <c r="AL134" s="11"/>
    </row>
    <row r="135" spans="1:38" x14ac:dyDescent="0.25">
      <c r="A135" s="38">
        <f>+Données!A135</f>
        <v>5633</v>
      </c>
      <c r="B135" s="250" t="str">
        <f>+Données!B135</f>
        <v>Echandens</v>
      </c>
      <c r="C135" s="238">
        <f>+Ecrêtage!C135</f>
        <v>148314.25599471925</v>
      </c>
      <c r="D135" s="236"/>
      <c r="E135" s="238">
        <f>Données!AF135+Données!AG135+Données!AH135</f>
        <v>2027110</v>
      </c>
      <c r="F135" s="236">
        <f t="shared" si="16"/>
        <v>1186514.047957754</v>
      </c>
      <c r="G135" s="8">
        <f t="shared" ref="G135:G198" si="19">IF(E135&gt;F135,E135-F135,0)</f>
        <v>840595.952042246</v>
      </c>
      <c r="H135" s="317">
        <f t="shared" ref="H135:H198" si="20">-G135*H$5</f>
        <v>-630446.96403168445</v>
      </c>
      <c r="J135" s="8">
        <f>Données!AN135</f>
        <v>-4989</v>
      </c>
      <c r="K135" s="216">
        <f t="shared" si="17"/>
        <v>148314.25599471925</v>
      </c>
      <c r="L135" s="12">
        <f t="shared" ref="L135:L198" si="21">IF(J135&gt;K135,J135-K135,0)</f>
        <v>0</v>
      </c>
      <c r="M135" s="317">
        <f t="shared" ref="M135:M198" si="22">-L135*M$5</f>
        <v>0</v>
      </c>
      <c r="O135" s="42">
        <f t="shared" si="18"/>
        <v>-630446.96403168445</v>
      </c>
      <c r="P135" s="274"/>
      <c r="Q135" s="229"/>
      <c r="R135" s="229"/>
      <c r="S135" s="229"/>
      <c r="T135" s="229"/>
      <c r="U135" s="229"/>
      <c r="AF135" s="11"/>
      <c r="AG135" s="11"/>
      <c r="AH135" s="11"/>
      <c r="AI135" s="11"/>
      <c r="AJ135" s="11"/>
      <c r="AK135" s="11"/>
      <c r="AL135" s="11"/>
    </row>
    <row r="136" spans="1:38" x14ac:dyDescent="0.25">
      <c r="A136" s="38">
        <f>+Données!A136</f>
        <v>5634</v>
      </c>
      <c r="B136" s="250" t="str">
        <f>+Données!B136</f>
        <v>Echichens</v>
      </c>
      <c r="C136" s="238">
        <f>+Ecrêtage!C136</f>
        <v>164062.1340206177</v>
      </c>
      <c r="D136" s="236"/>
      <c r="E136" s="238">
        <f>Données!AF136+Données!AG136+Données!AH136</f>
        <v>1277948</v>
      </c>
      <c r="F136" s="236">
        <f t="shared" si="16"/>
        <v>1312497.0721649416</v>
      </c>
      <c r="G136" s="8">
        <f t="shared" si="19"/>
        <v>0</v>
      </c>
      <c r="H136" s="317">
        <f t="shared" si="20"/>
        <v>0</v>
      </c>
      <c r="J136" s="8">
        <f>Données!AN136</f>
        <v>12937</v>
      </c>
      <c r="K136" s="216">
        <f t="shared" si="17"/>
        <v>164062.1340206177</v>
      </c>
      <c r="L136" s="12">
        <f t="shared" si="21"/>
        <v>0</v>
      </c>
      <c r="M136" s="317">
        <f t="shared" si="22"/>
        <v>0</v>
      </c>
      <c r="O136" s="42">
        <f t="shared" si="18"/>
        <v>0</v>
      </c>
      <c r="P136" s="274"/>
      <c r="Q136" s="229"/>
      <c r="R136" s="229"/>
      <c r="S136" s="229"/>
      <c r="T136" s="229"/>
      <c r="U136" s="229"/>
      <c r="AF136" s="11"/>
      <c r="AG136" s="11"/>
      <c r="AH136" s="11"/>
      <c r="AI136" s="11"/>
      <c r="AJ136" s="11"/>
      <c r="AK136" s="11"/>
      <c r="AL136" s="11"/>
    </row>
    <row r="137" spans="1:38" x14ac:dyDescent="0.25">
      <c r="A137" s="38">
        <f>+Données!A137</f>
        <v>5635</v>
      </c>
      <c r="B137" s="250" t="str">
        <f>+Données!B137</f>
        <v>Ecublens</v>
      </c>
      <c r="C137" s="238">
        <f>+Ecrêtage!C137</f>
        <v>502164.08712629444</v>
      </c>
      <c r="D137" s="236"/>
      <c r="E137" s="238">
        <f>Données!AF137+Données!AG137+Données!AH137</f>
        <v>8179366</v>
      </c>
      <c r="F137" s="236">
        <f t="shared" si="16"/>
        <v>4017312.6970103555</v>
      </c>
      <c r="G137" s="8">
        <f t="shared" si="19"/>
        <v>4162053.3029896445</v>
      </c>
      <c r="H137" s="317">
        <f t="shared" si="20"/>
        <v>-3121539.9772422332</v>
      </c>
      <c r="J137" s="8">
        <f>Données!AN137</f>
        <v>165089</v>
      </c>
      <c r="K137" s="216">
        <f t="shared" si="17"/>
        <v>502164.08712629444</v>
      </c>
      <c r="L137" s="12">
        <f t="shared" si="21"/>
        <v>0</v>
      </c>
      <c r="M137" s="317">
        <f t="shared" si="22"/>
        <v>0</v>
      </c>
      <c r="O137" s="42">
        <f t="shared" si="18"/>
        <v>-3121539.9772422332</v>
      </c>
      <c r="P137" s="274"/>
      <c r="Q137" s="229"/>
      <c r="R137" s="229"/>
      <c r="S137" s="229"/>
      <c r="T137" s="229"/>
      <c r="U137" s="229"/>
      <c r="AF137" s="11"/>
      <c r="AG137" s="11"/>
      <c r="AH137" s="11"/>
      <c r="AI137" s="11"/>
      <c r="AJ137" s="11"/>
      <c r="AK137" s="11"/>
      <c r="AL137" s="11"/>
    </row>
    <row r="138" spans="1:38" x14ac:dyDescent="0.25">
      <c r="A138" s="38">
        <f>+Données!A138</f>
        <v>5636</v>
      </c>
      <c r="B138" s="250" t="str">
        <f>+Données!B138</f>
        <v>Etoy</v>
      </c>
      <c r="C138" s="238">
        <f>+Ecrêtage!C138</f>
        <v>170184.11203181112</v>
      </c>
      <c r="D138" s="236"/>
      <c r="E138" s="238">
        <f>Données!AF138+Données!AG138+Données!AH138</f>
        <v>1141444</v>
      </c>
      <c r="F138" s="236">
        <f t="shared" si="16"/>
        <v>1361472.896254489</v>
      </c>
      <c r="G138" s="8">
        <f t="shared" si="19"/>
        <v>0</v>
      </c>
      <c r="H138" s="317">
        <f t="shared" si="20"/>
        <v>0</v>
      </c>
      <c r="J138" s="8">
        <f>Données!AN138</f>
        <v>20069</v>
      </c>
      <c r="K138" s="216">
        <f t="shared" si="17"/>
        <v>170184.11203181112</v>
      </c>
      <c r="L138" s="12">
        <f t="shared" si="21"/>
        <v>0</v>
      </c>
      <c r="M138" s="317">
        <f t="shared" si="22"/>
        <v>0</v>
      </c>
      <c r="O138" s="42">
        <f t="shared" si="18"/>
        <v>0</v>
      </c>
      <c r="P138" s="274"/>
      <c r="Q138" s="229"/>
      <c r="R138" s="229"/>
      <c r="S138" s="229"/>
      <c r="T138" s="229"/>
      <c r="U138" s="229"/>
      <c r="AF138" s="11"/>
      <c r="AG138" s="11"/>
      <c r="AH138" s="11"/>
      <c r="AI138" s="11"/>
      <c r="AJ138" s="11"/>
      <c r="AK138" s="11"/>
      <c r="AL138" s="11"/>
    </row>
    <row r="139" spans="1:38" x14ac:dyDescent="0.25">
      <c r="A139" s="38">
        <f>+Données!A139</f>
        <v>5637</v>
      </c>
      <c r="B139" s="250" t="str">
        <f>+Données!B139</f>
        <v>Lavigny</v>
      </c>
      <c r="C139" s="238">
        <f>+Ecrêtage!C139</f>
        <v>41191.053632524527</v>
      </c>
      <c r="D139" s="236"/>
      <c r="E139" s="238">
        <f>Données!AF139+Données!AG139+Données!AH139</f>
        <v>526659</v>
      </c>
      <c r="F139" s="236">
        <f t="shared" si="16"/>
        <v>329528.42906019621</v>
      </c>
      <c r="G139" s="8">
        <f t="shared" si="19"/>
        <v>197130.57093980379</v>
      </c>
      <c r="H139" s="317">
        <f t="shared" si="20"/>
        <v>-147847.92820485285</v>
      </c>
      <c r="J139" s="8">
        <f>Données!AN139</f>
        <v>0</v>
      </c>
      <c r="K139" s="216">
        <f t="shared" si="17"/>
        <v>41191.053632524527</v>
      </c>
      <c r="L139" s="12">
        <f t="shared" si="21"/>
        <v>0</v>
      </c>
      <c r="M139" s="317">
        <f t="shared" si="22"/>
        <v>0</v>
      </c>
      <c r="O139" s="42">
        <f t="shared" si="18"/>
        <v>-147847.92820485285</v>
      </c>
      <c r="P139" s="274"/>
      <c r="Q139" s="229"/>
      <c r="R139" s="229"/>
      <c r="S139" s="229"/>
      <c r="T139" s="229"/>
      <c r="U139" s="229"/>
      <c r="AF139" s="11"/>
      <c r="AG139" s="11"/>
      <c r="AH139" s="11"/>
      <c r="AI139" s="11"/>
      <c r="AJ139" s="11"/>
      <c r="AK139" s="11"/>
      <c r="AL139" s="11"/>
    </row>
    <row r="140" spans="1:38" x14ac:dyDescent="0.25">
      <c r="A140" s="38">
        <f>+Données!A140</f>
        <v>5638</v>
      </c>
      <c r="B140" s="250" t="str">
        <f>+Données!B140</f>
        <v>Lonay</v>
      </c>
      <c r="C140" s="238">
        <f>+Ecrêtage!C140</f>
        <v>145471.80629203771</v>
      </c>
      <c r="D140" s="236"/>
      <c r="E140" s="238">
        <f>Données!AF140+Données!AG140+Données!AH140</f>
        <v>1786123</v>
      </c>
      <c r="F140" s="236">
        <f t="shared" si="16"/>
        <v>1163774.4503363017</v>
      </c>
      <c r="G140" s="8">
        <f t="shared" si="19"/>
        <v>622348.5496636983</v>
      </c>
      <c r="H140" s="317">
        <f t="shared" si="20"/>
        <v>-466761.41224777373</v>
      </c>
      <c r="J140" s="8">
        <f>Données!AN140</f>
        <v>24513</v>
      </c>
      <c r="K140" s="216">
        <f t="shared" si="17"/>
        <v>145471.80629203771</v>
      </c>
      <c r="L140" s="12">
        <f t="shared" si="21"/>
        <v>0</v>
      </c>
      <c r="M140" s="317">
        <f t="shared" si="22"/>
        <v>0</v>
      </c>
      <c r="O140" s="42">
        <f t="shared" si="18"/>
        <v>-466761.41224777373</v>
      </c>
      <c r="P140" s="274"/>
      <c r="Q140" s="229"/>
      <c r="R140" s="229"/>
      <c r="S140" s="229"/>
      <c r="T140" s="229"/>
      <c r="U140" s="229"/>
      <c r="AF140" s="11"/>
      <c r="AG140" s="11"/>
      <c r="AH140" s="11"/>
      <c r="AI140" s="11"/>
      <c r="AJ140" s="11"/>
      <c r="AK140" s="11"/>
      <c r="AL140" s="11"/>
    </row>
    <row r="141" spans="1:38" x14ac:dyDescent="0.25">
      <c r="A141" s="38">
        <f>+Données!A141</f>
        <v>5639</v>
      </c>
      <c r="B141" s="250" t="str">
        <f>+Données!B141</f>
        <v>Lully</v>
      </c>
      <c r="C141" s="238">
        <f>+Ecrêtage!C141</f>
        <v>45737.117540983607</v>
      </c>
      <c r="D141" s="236"/>
      <c r="E141" s="238">
        <f>Données!AF141+Données!AG141+Données!AH141</f>
        <v>0</v>
      </c>
      <c r="F141" s="236">
        <f t="shared" si="16"/>
        <v>365896.94032786886</v>
      </c>
      <c r="G141" s="8">
        <f t="shared" si="19"/>
        <v>0</v>
      </c>
      <c r="H141" s="317">
        <f t="shared" si="20"/>
        <v>0</v>
      </c>
      <c r="J141" s="8">
        <f>Données!AN141</f>
        <v>0</v>
      </c>
      <c r="K141" s="216">
        <f t="shared" si="17"/>
        <v>45737.117540983607</v>
      </c>
      <c r="L141" s="12">
        <f t="shared" si="21"/>
        <v>0</v>
      </c>
      <c r="M141" s="317">
        <f t="shared" si="22"/>
        <v>0</v>
      </c>
      <c r="O141" s="42">
        <f t="shared" si="18"/>
        <v>0</v>
      </c>
      <c r="P141" s="274"/>
      <c r="Q141" s="229"/>
      <c r="R141" s="229"/>
      <c r="S141" s="229"/>
      <c r="T141" s="229"/>
      <c r="U141" s="229"/>
      <c r="AF141" s="11"/>
      <c r="AG141" s="11"/>
      <c r="AH141" s="11"/>
      <c r="AI141" s="11"/>
      <c r="AJ141" s="11"/>
      <c r="AK141" s="11"/>
      <c r="AL141" s="11"/>
    </row>
    <row r="142" spans="1:38" x14ac:dyDescent="0.25">
      <c r="A142" s="38">
        <f>+Données!A142</f>
        <v>5640</v>
      </c>
      <c r="B142" s="250" t="str">
        <f>+Données!B142</f>
        <v>Lussy-sur-Morges</v>
      </c>
      <c r="C142" s="238">
        <f>+Ecrêtage!C142</f>
        <v>57022.810752581783</v>
      </c>
      <c r="D142" s="236"/>
      <c r="E142" s="238">
        <f>Données!AF142+Données!AG142+Données!AH142</f>
        <v>352910</v>
      </c>
      <c r="F142" s="236">
        <f t="shared" si="16"/>
        <v>456182.48602065427</v>
      </c>
      <c r="G142" s="8">
        <f t="shared" si="19"/>
        <v>0</v>
      </c>
      <c r="H142" s="317">
        <f t="shared" si="20"/>
        <v>0</v>
      </c>
      <c r="J142" s="8">
        <f>Données!AN142</f>
        <v>4870</v>
      </c>
      <c r="K142" s="216">
        <f t="shared" si="17"/>
        <v>57022.810752581783</v>
      </c>
      <c r="L142" s="12">
        <f t="shared" si="21"/>
        <v>0</v>
      </c>
      <c r="M142" s="317">
        <f t="shared" si="22"/>
        <v>0</v>
      </c>
      <c r="O142" s="42">
        <f t="shared" si="18"/>
        <v>0</v>
      </c>
      <c r="P142" s="274"/>
      <c r="Q142" s="229"/>
      <c r="R142" s="229"/>
      <c r="S142" s="229"/>
      <c r="T142" s="229"/>
      <c r="U142" s="229"/>
      <c r="AF142" s="11"/>
      <c r="AG142" s="11"/>
      <c r="AH142" s="11"/>
      <c r="AI142" s="11"/>
      <c r="AJ142" s="11"/>
      <c r="AK142" s="11"/>
      <c r="AL142" s="11"/>
    </row>
    <row r="143" spans="1:38" x14ac:dyDescent="0.25">
      <c r="A143" s="38">
        <f>+Données!A143</f>
        <v>5642</v>
      </c>
      <c r="B143" s="250" t="str">
        <f>+Données!B143</f>
        <v>Morges</v>
      </c>
      <c r="C143" s="238">
        <f>+Ecrêtage!C143</f>
        <v>872528.88072343986</v>
      </c>
      <c r="D143" s="236"/>
      <c r="E143" s="238">
        <f>Données!AF143+Données!AG143+Données!AH143</f>
        <v>7889564</v>
      </c>
      <c r="F143" s="236">
        <f t="shared" si="16"/>
        <v>6980231.0457875188</v>
      </c>
      <c r="G143" s="8">
        <f t="shared" si="19"/>
        <v>909332.95421248116</v>
      </c>
      <c r="H143" s="317">
        <f t="shared" si="20"/>
        <v>-681999.71565936087</v>
      </c>
      <c r="J143" s="8">
        <f>Données!AN143</f>
        <v>22292</v>
      </c>
      <c r="K143" s="216">
        <f t="shared" si="17"/>
        <v>872528.88072343986</v>
      </c>
      <c r="L143" s="12">
        <f t="shared" si="21"/>
        <v>0</v>
      </c>
      <c r="M143" s="317">
        <f t="shared" si="22"/>
        <v>0</v>
      </c>
      <c r="O143" s="42">
        <f t="shared" si="18"/>
        <v>-681999.71565936087</v>
      </c>
      <c r="P143" s="274"/>
      <c r="Q143" s="229"/>
      <c r="R143" s="229"/>
      <c r="S143" s="229"/>
      <c r="T143" s="229"/>
      <c r="U143" s="229"/>
      <c r="AF143" s="11"/>
      <c r="AG143" s="11"/>
      <c r="AH143" s="11"/>
      <c r="AI143" s="11"/>
      <c r="AJ143" s="11"/>
      <c r="AK143" s="11"/>
      <c r="AL143" s="11"/>
    </row>
    <row r="144" spans="1:38" x14ac:dyDescent="0.25">
      <c r="A144" s="38">
        <f>+Données!A144</f>
        <v>5643</v>
      </c>
      <c r="B144" s="250" t="str">
        <f>+Données!B144</f>
        <v>Préverenges</v>
      </c>
      <c r="C144" s="238">
        <f>+Ecrêtage!C144</f>
        <v>262179.27559609117</v>
      </c>
      <c r="D144" s="236"/>
      <c r="E144" s="238">
        <f>Données!AF144+Données!AG144+Données!AH144</f>
        <v>1576127</v>
      </c>
      <c r="F144" s="236">
        <f t="shared" si="16"/>
        <v>2097434.2047687294</v>
      </c>
      <c r="G144" s="8">
        <f t="shared" si="19"/>
        <v>0</v>
      </c>
      <c r="H144" s="317">
        <f t="shared" si="20"/>
        <v>0</v>
      </c>
      <c r="J144" s="8">
        <f>Données!AN144</f>
        <v>150</v>
      </c>
      <c r="K144" s="216">
        <f t="shared" si="17"/>
        <v>262179.27559609117</v>
      </c>
      <c r="L144" s="12">
        <f t="shared" si="21"/>
        <v>0</v>
      </c>
      <c r="M144" s="317">
        <f t="shared" si="22"/>
        <v>0</v>
      </c>
      <c r="O144" s="42">
        <f t="shared" si="18"/>
        <v>0</v>
      </c>
      <c r="P144" s="274"/>
      <c r="Q144" s="229"/>
      <c r="R144" s="229"/>
      <c r="S144" s="229"/>
      <c r="T144" s="229"/>
      <c r="U144" s="229"/>
      <c r="AF144" s="11"/>
      <c r="AG144" s="11"/>
      <c r="AH144" s="11"/>
      <c r="AI144" s="11"/>
      <c r="AJ144" s="11"/>
      <c r="AK144" s="11"/>
      <c r="AL144" s="11"/>
    </row>
    <row r="145" spans="1:38" x14ac:dyDescent="0.25">
      <c r="A145" s="38">
        <f>+Données!A145</f>
        <v>5645</v>
      </c>
      <c r="B145" s="250" t="str">
        <f>+Données!B145</f>
        <v>Romanel-sur-Morges</v>
      </c>
      <c r="C145" s="238">
        <f>+Ecrêtage!C145</f>
        <v>27311.487285492814</v>
      </c>
      <c r="D145" s="236"/>
      <c r="E145" s="238">
        <f>Données!AF145+Données!AG145+Données!AH145</f>
        <v>311813</v>
      </c>
      <c r="F145" s="236">
        <f t="shared" si="16"/>
        <v>218491.89828394252</v>
      </c>
      <c r="G145" s="8">
        <f t="shared" si="19"/>
        <v>93321.101716057485</v>
      </c>
      <c r="H145" s="317">
        <f t="shared" si="20"/>
        <v>-69990.826287043106</v>
      </c>
      <c r="J145" s="8">
        <f>Données!AN145</f>
        <v>8064</v>
      </c>
      <c r="K145" s="216">
        <f t="shared" si="17"/>
        <v>27311.487285492814</v>
      </c>
      <c r="L145" s="12">
        <f t="shared" si="21"/>
        <v>0</v>
      </c>
      <c r="M145" s="317">
        <f t="shared" si="22"/>
        <v>0</v>
      </c>
      <c r="O145" s="42">
        <f t="shared" si="18"/>
        <v>-69990.826287043106</v>
      </c>
      <c r="P145" s="274"/>
      <c r="Q145" s="229"/>
      <c r="R145" s="229"/>
      <c r="S145" s="229"/>
      <c r="T145" s="229"/>
      <c r="U145" s="229"/>
      <c r="AF145" s="11"/>
      <c r="AG145" s="11"/>
      <c r="AH145" s="11"/>
      <c r="AI145" s="11"/>
      <c r="AJ145" s="11"/>
      <c r="AK145" s="11"/>
      <c r="AL145" s="11"/>
    </row>
    <row r="146" spans="1:38" x14ac:dyDescent="0.25">
      <c r="A146" s="38">
        <f>+Données!A146</f>
        <v>5646</v>
      </c>
      <c r="B146" s="250" t="str">
        <f>+Données!B146</f>
        <v>Saint-Prex</v>
      </c>
      <c r="C146" s="238">
        <f>+Ecrêtage!C146</f>
        <v>536854.93998205999</v>
      </c>
      <c r="D146" s="236"/>
      <c r="E146" s="238">
        <f>Données!AF146+Données!AG146+Données!AH146</f>
        <v>1091591</v>
      </c>
      <c r="F146" s="236">
        <f t="shared" si="16"/>
        <v>4294839.51985648</v>
      </c>
      <c r="G146" s="8">
        <f t="shared" si="19"/>
        <v>0</v>
      </c>
      <c r="H146" s="317">
        <f t="shared" si="20"/>
        <v>0</v>
      </c>
      <c r="J146" s="8">
        <f>Données!AN146</f>
        <v>24583</v>
      </c>
      <c r="K146" s="216">
        <f t="shared" si="17"/>
        <v>536854.93998205999</v>
      </c>
      <c r="L146" s="12">
        <f t="shared" si="21"/>
        <v>0</v>
      </c>
      <c r="M146" s="317">
        <f t="shared" si="22"/>
        <v>0</v>
      </c>
      <c r="O146" s="42">
        <f t="shared" si="18"/>
        <v>0</v>
      </c>
      <c r="P146" s="274"/>
      <c r="Q146" s="229"/>
      <c r="R146" s="229"/>
      <c r="S146" s="229"/>
      <c r="T146" s="229"/>
      <c r="U146" s="229"/>
      <c r="AF146" s="11"/>
      <c r="AG146" s="11"/>
      <c r="AH146" s="11"/>
      <c r="AI146" s="11"/>
      <c r="AJ146" s="11"/>
      <c r="AK146" s="11"/>
      <c r="AL146" s="11"/>
    </row>
    <row r="147" spans="1:38" x14ac:dyDescent="0.25">
      <c r="A147" s="38">
        <f>+Données!A147</f>
        <v>5648</v>
      </c>
      <c r="B147" s="250" t="str">
        <f>+Données!B147</f>
        <v>Saint-Sulpice</v>
      </c>
      <c r="C147" s="238">
        <f>+Ecrêtage!C147</f>
        <v>395932.06546066038</v>
      </c>
      <c r="D147" s="236"/>
      <c r="E147" s="238">
        <f>Données!AF147+Données!AG147+Données!AH147</f>
        <v>2903692</v>
      </c>
      <c r="F147" s="236">
        <f t="shared" si="16"/>
        <v>3167456.523685283</v>
      </c>
      <c r="G147" s="8">
        <f t="shared" si="19"/>
        <v>0</v>
      </c>
      <c r="H147" s="317">
        <f t="shared" si="20"/>
        <v>0</v>
      </c>
      <c r="J147" s="8">
        <f>Données!AN147</f>
        <v>38476</v>
      </c>
      <c r="K147" s="216">
        <f t="shared" si="17"/>
        <v>395932.06546066038</v>
      </c>
      <c r="L147" s="12">
        <f t="shared" si="21"/>
        <v>0</v>
      </c>
      <c r="M147" s="317">
        <f t="shared" si="22"/>
        <v>0</v>
      </c>
      <c r="O147" s="42">
        <f t="shared" si="18"/>
        <v>0</v>
      </c>
      <c r="P147" s="274"/>
      <c r="Q147" s="229"/>
      <c r="R147" s="229"/>
      <c r="S147" s="229"/>
      <c r="T147" s="229"/>
      <c r="U147" s="229"/>
      <c r="AF147" s="11"/>
      <c r="AG147" s="11"/>
      <c r="AH147" s="11"/>
      <c r="AI147" s="11"/>
      <c r="AJ147" s="11"/>
      <c r="AK147" s="11"/>
      <c r="AL147" s="11"/>
    </row>
    <row r="148" spans="1:38" x14ac:dyDescent="0.25">
      <c r="A148" s="38">
        <f>+Données!A148</f>
        <v>5649</v>
      </c>
      <c r="B148" s="250" t="str">
        <f>+Données!B148</f>
        <v>Tolochenaz</v>
      </c>
      <c r="C148" s="238">
        <f>+Ecrêtage!C148</f>
        <v>197599.65546190951</v>
      </c>
      <c r="D148" s="236"/>
      <c r="E148" s="238">
        <f>Données!AF148+Données!AG148+Données!AH148</f>
        <v>1073424</v>
      </c>
      <c r="F148" s="236">
        <f t="shared" si="16"/>
        <v>1580797.2436952761</v>
      </c>
      <c r="G148" s="8">
        <f t="shared" si="19"/>
        <v>0</v>
      </c>
      <c r="H148" s="317">
        <f t="shared" si="20"/>
        <v>0</v>
      </c>
      <c r="J148" s="8">
        <f>Données!AN148</f>
        <v>3513</v>
      </c>
      <c r="K148" s="216">
        <f t="shared" si="17"/>
        <v>197599.65546190951</v>
      </c>
      <c r="L148" s="12">
        <f t="shared" si="21"/>
        <v>0</v>
      </c>
      <c r="M148" s="317">
        <f t="shared" si="22"/>
        <v>0</v>
      </c>
      <c r="O148" s="42">
        <f t="shared" si="18"/>
        <v>0</v>
      </c>
      <c r="P148" s="274"/>
      <c r="Q148" s="229"/>
      <c r="R148" s="229"/>
      <c r="S148" s="229"/>
      <c r="T148" s="229"/>
      <c r="U148" s="229"/>
      <c r="AF148" s="11"/>
      <c r="AG148" s="11"/>
      <c r="AH148" s="11"/>
      <c r="AI148" s="11"/>
      <c r="AJ148" s="11"/>
      <c r="AK148" s="11"/>
      <c r="AL148" s="11"/>
    </row>
    <row r="149" spans="1:38" x14ac:dyDescent="0.25">
      <c r="A149" s="38">
        <f>+Données!A149</f>
        <v>5650</v>
      </c>
      <c r="B149" s="250" t="str">
        <f>+Données!B149</f>
        <v>Vaux-sur-Morges</v>
      </c>
      <c r="C149" s="238">
        <f>+Ecrêtage!C149</f>
        <v>63000.299031725983</v>
      </c>
      <c r="D149" s="236"/>
      <c r="E149" s="238">
        <f>Données!AF149+Données!AG149+Données!AH149</f>
        <v>0</v>
      </c>
      <c r="F149" s="236">
        <f t="shared" si="16"/>
        <v>504002.39225380786</v>
      </c>
      <c r="G149" s="8">
        <f t="shared" si="19"/>
        <v>0</v>
      </c>
      <c r="H149" s="317">
        <f t="shared" si="20"/>
        <v>0</v>
      </c>
      <c r="J149" s="8">
        <f>Données!AN149</f>
        <v>0</v>
      </c>
      <c r="K149" s="216">
        <f t="shared" si="17"/>
        <v>63000.299031725983</v>
      </c>
      <c r="L149" s="12">
        <f t="shared" si="21"/>
        <v>0</v>
      </c>
      <c r="M149" s="317">
        <f t="shared" si="22"/>
        <v>0</v>
      </c>
      <c r="O149" s="42">
        <f t="shared" si="18"/>
        <v>0</v>
      </c>
      <c r="P149" s="274"/>
      <c r="Q149" s="229"/>
      <c r="R149" s="229"/>
      <c r="S149" s="229"/>
      <c r="T149" s="229"/>
      <c r="U149" s="229"/>
      <c r="AF149" s="11"/>
      <c r="AG149" s="11"/>
      <c r="AH149" s="11"/>
      <c r="AI149" s="11"/>
      <c r="AJ149" s="11"/>
      <c r="AK149" s="11"/>
      <c r="AL149" s="11"/>
    </row>
    <row r="150" spans="1:38" x14ac:dyDescent="0.25">
      <c r="A150" s="38">
        <f>+Données!A150</f>
        <v>5651</v>
      </c>
      <c r="B150" s="250" t="str">
        <f>+Données!B150</f>
        <v>Villars-Sainte-Croix</v>
      </c>
      <c r="C150" s="238">
        <f>+Ecrêtage!C150</f>
        <v>55609.921242717981</v>
      </c>
      <c r="D150" s="236"/>
      <c r="E150" s="238">
        <f>Données!AF150+Données!AG150+Données!AH150</f>
        <v>310784</v>
      </c>
      <c r="F150" s="236">
        <f t="shared" si="16"/>
        <v>444879.36994174385</v>
      </c>
      <c r="G150" s="8">
        <f t="shared" si="19"/>
        <v>0</v>
      </c>
      <c r="H150" s="317">
        <f t="shared" si="20"/>
        <v>0</v>
      </c>
      <c r="J150" s="8">
        <f>Données!AN150</f>
        <v>19969</v>
      </c>
      <c r="K150" s="216">
        <f t="shared" si="17"/>
        <v>55609.921242717981</v>
      </c>
      <c r="L150" s="12">
        <f t="shared" si="21"/>
        <v>0</v>
      </c>
      <c r="M150" s="317">
        <f t="shared" si="22"/>
        <v>0</v>
      </c>
      <c r="O150" s="42">
        <f t="shared" si="18"/>
        <v>0</v>
      </c>
      <c r="P150" s="274"/>
      <c r="Q150" s="229"/>
      <c r="R150" s="229"/>
      <c r="S150" s="229"/>
      <c r="T150" s="229"/>
      <c r="U150" s="229"/>
      <c r="AF150" s="11"/>
      <c r="AG150" s="11"/>
      <c r="AH150" s="11"/>
      <c r="AI150" s="11"/>
      <c r="AJ150" s="11"/>
      <c r="AK150" s="11"/>
      <c r="AL150" s="11"/>
    </row>
    <row r="151" spans="1:38" x14ac:dyDescent="0.25">
      <c r="A151" s="38">
        <f>+Données!A151</f>
        <v>5652</v>
      </c>
      <c r="B151" s="250" t="str">
        <f>+Données!B151</f>
        <v>Villars-sous-Yens</v>
      </c>
      <c r="C151" s="238">
        <f>+Ecrêtage!C151</f>
        <v>25655.145757874605</v>
      </c>
      <c r="D151" s="236"/>
      <c r="E151" s="238">
        <f>Données!AF151+Données!AG151+Données!AH151</f>
        <v>223874</v>
      </c>
      <c r="F151" s="236">
        <f t="shared" si="16"/>
        <v>205241.16606299684</v>
      </c>
      <c r="G151" s="8">
        <f t="shared" si="19"/>
        <v>18632.833937003161</v>
      </c>
      <c r="H151" s="317">
        <f t="shared" si="20"/>
        <v>-13974.625452752371</v>
      </c>
      <c r="J151" s="8">
        <f>Données!AN151</f>
        <v>9963</v>
      </c>
      <c r="K151" s="216">
        <f t="shared" si="17"/>
        <v>25655.145757874605</v>
      </c>
      <c r="L151" s="12">
        <f t="shared" si="21"/>
        <v>0</v>
      </c>
      <c r="M151" s="317">
        <f t="shared" si="22"/>
        <v>0</v>
      </c>
      <c r="O151" s="42">
        <f t="shared" si="18"/>
        <v>-13974.625452752371</v>
      </c>
      <c r="P151" s="274"/>
      <c r="Q151" s="229"/>
      <c r="R151" s="229"/>
      <c r="S151" s="229"/>
      <c r="T151" s="229"/>
      <c r="U151" s="229"/>
      <c r="AF151" s="11"/>
      <c r="AG151" s="11"/>
      <c r="AH151" s="11"/>
      <c r="AI151" s="11"/>
      <c r="AJ151" s="11"/>
      <c r="AK151" s="11"/>
      <c r="AL151" s="11"/>
    </row>
    <row r="152" spans="1:38" x14ac:dyDescent="0.25">
      <c r="A152" s="38">
        <f>+Données!A152</f>
        <v>5653</v>
      </c>
      <c r="B152" s="250" t="str">
        <f>+Données!B152</f>
        <v>Vufflens-le-Château</v>
      </c>
      <c r="C152" s="238">
        <f>+Ecrêtage!C152</f>
        <v>68766.939221326931</v>
      </c>
      <c r="D152" s="236"/>
      <c r="E152" s="238">
        <f>Données!AF152+Données!AG152+Données!AH152</f>
        <v>220482</v>
      </c>
      <c r="F152" s="236">
        <f t="shared" si="16"/>
        <v>550135.51377061545</v>
      </c>
      <c r="G152" s="8">
        <f t="shared" si="19"/>
        <v>0</v>
      </c>
      <c r="H152" s="317">
        <f t="shared" si="20"/>
        <v>0</v>
      </c>
      <c r="J152" s="8">
        <f>Données!AN152</f>
        <v>16453</v>
      </c>
      <c r="K152" s="216">
        <f t="shared" si="17"/>
        <v>68766.939221326931</v>
      </c>
      <c r="L152" s="12">
        <f t="shared" si="21"/>
        <v>0</v>
      </c>
      <c r="M152" s="317">
        <f t="shared" si="22"/>
        <v>0</v>
      </c>
      <c r="O152" s="42">
        <f t="shared" si="18"/>
        <v>0</v>
      </c>
      <c r="P152" s="274"/>
      <c r="Q152" s="229"/>
      <c r="R152" s="229"/>
      <c r="S152" s="229"/>
      <c r="T152" s="229"/>
      <c r="U152" s="229"/>
      <c r="AF152" s="11"/>
      <c r="AG152" s="11"/>
      <c r="AH152" s="11"/>
      <c r="AI152" s="11"/>
      <c r="AJ152" s="11"/>
      <c r="AK152" s="11"/>
      <c r="AL152" s="11"/>
    </row>
    <row r="153" spans="1:38" x14ac:dyDescent="0.25">
      <c r="A153" s="38">
        <f>+Données!A153</f>
        <v>5654</v>
      </c>
      <c r="B153" s="250" t="str">
        <f>+Données!B153</f>
        <v>Vullierens</v>
      </c>
      <c r="C153" s="238">
        <f>+Ecrêtage!C153</f>
        <v>19265.305994004091</v>
      </c>
      <c r="D153" s="236"/>
      <c r="E153" s="238">
        <f>Données!AF153+Données!AG153+Données!AH153</f>
        <v>187726</v>
      </c>
      <c r="F153" s="236">
        <f t="shared" si="16"/>
        <v>154122.44795203273</v>
      </c>
      <c r="G153" s="8">
        <f t="shared" si="19"/>
        <v>33603.55204796727</v>
      </c>
      <c r="H153" s="317">
        <f t="shared" si="20"/>
        <v>-25202.664035975453</v>
      </c>
      <c r="J153" s="8">
        <f>Données!AN153</f>
        <v>3267</v>
      </c>
      <c r="K153" s="216">
        <f t="shared" si="17"/>
        <v>19265.305994004091</v>
      </c>
      <c r="L153" s="12">
        <f t="shared" si="21"/>
        <v>0</v>
      </c>
      <c r="M153" s="317">
        <f t="shared" si="22"/>
        <v>0</v>
      </c>
      <c r="O153" s="42">
        <f t="shared" si="18"/>
        <v>-25202.664035975453</v>
      </c>
      <c r="P153" s="274"/>
      <c r="Q153" s="229"/>
      <c r="R153" s="229"/>
      <c r="S153" s="229"/>
      <c r="T153" s="229"/>
      <c r="U153" s="229"/>
      <c r="AF153" s="11"/>
      <c r="AG153" s="11"/>
      <c r="AH153" s="11"/>
      <c r="AI153" s="11"/>
      <c r="AJ153" s="11"/>
      <c r="AK153" s="11"/>
      <c r="AL153" s="11"/>
    </row>
    <row r="154" spans="1:38" x14ac:dyDescent="0.25">
      <c r="A154" s="38">
        <f>+Données!A154</f>
        <v>5655</v>
      </c>
      <c r="B154" s="250" t="str">
        <f>+Données!B154</f>
        <v>Yens</v>
      </c>
      <c r="C154" s="238">
        <f>+Ecrêtage!C154</f>
        <v>90850.412022589255</v>
      </c>
      <c r="D154" s="236"/>
      <c r="E154" s="238">
        <f>Données!AF154+Données!AG154+Données!AH154</f>
        <v>0</v>
      </c>
      <c r="F154" s="236">
        <f t="shared" si="16"/>
        <v>726803.29618071404</v>
      </c>
      <c r="G154" s="8">
        <f t="shared" si="19"/>
        <v>0</v>
      </c>
      <c r="H154" s="317">
        <f t="shared" si="20"/>
        <v>0</v>
      </c>
      <c r="J154" s="8">
        <f>Données!AN154</f>
        <v>0</v>
      </c>
      <c r="K154" s="216">
        <f t="shared" si="17"/>
        <v>90850.412022589255</v>
      </c>
      <c r="L154" s="12">
        <f t="shared" si="21"/>
        <v>0</v>
      </c>
      <c r="M154" s="317">
        <f t="shared" si="22"/>
        <v>0</v>
      </c>
      <c r="O154" s="42">
        <f t="shared" si="18"/>
        <v>0</v>
      </c>
      <c r="P154" s="274"/>
      <c r="Q154" s="229"/>
      <c r="R154" s="229"/>
      <c r="S154" s="229"/>
      <c r="T154" s="229"/>
      <c r="U154" s="229"/>
      <c r="AF154" s="11"/>
      <c r="AG154" s="11"/>
      <c r="AH154" s="11"/>
      <c r="AI154" s="11"/>
      <c r="AJ154" s="11"/>
      <c r="AK154" s="11"/>
      <c r="AL154" s="11"/>
    </row>
    <row r="155" spans="1:38" s="220" customFormat="1" x14ac:dyDescent="0.25">
      <c r="A155" s="38">
        <f>+Données!A155</f>
        <v>5656</v>
      </c>
      <c r="B155" s="250" t="str">
        <f>+Données!B155</f>
        <v>Hautemorges</v>
      </c>
      <c r="C155" s="238">
        <f>+Ecrêtage!C155</f>
        <v>160995.06048587704</v>
      </c>
      <c r="D155" s="236"/>
      <c r="E155" s="238">
        <f>Données!AF155+Données!AG155+Données!AH155</f>
        <v>3218914</v>
      </c>
      <c r="F155" s="236">
        <f t="shared" si="16"/>
        <v>1287960.4838870163</v>
      </c>
      <c r="G155" s="8">
        <f t="shared" si="19"/>
        <v>1930953.5161129837</v>
      </c>
      <c r="H155" s="317">
        <f t="shared" si="20"/>
        <v>-1448215.1370847379</v>
      </c>
      <c r="I155" s="239"/>
      <c r="J155" s="8">
        <f>Données!AN155</f>
        <v>88871</v>
      </c>
      <c r="K155" s="216">
        <f t="shared" si="17"/>
        <v>160995.06048587704</v>
      </c>
      <c r="L155" s="239">
        <f t="shared" si="21"/>
        <v>0</v>
      </c>
      <c r="M155" s="317">
        <f t="shared" si="22"/>
        <v>0</v>
      </c>
      <c r="N155" s="239"/>
      <c r="O155" s="42"/>
      <c r="P155" s="274"/>
      <c r="Q155" s="229"/>
      <c r="R155" s="229"/>
      <c r="S155" s="229"/>
      <c r="T155" s="229"/>
      <c r="U155" s="229"/>
    </row>
    <row r="156" spans="1:38" x14ac:dyDescent="0.25">
      <c r="A156" s="38">
        <f>+Données!A156</f>
        <v>5661</v>
      </c>
      <c r="B156" s="250" t="str">
        <f>+Données!B156</f>
        <v>Boulens</v>
      </c>
      <c r="C156" s="238">
        <f>+Ecrêtage!C156</f>
        <v>10163.82569082424</v>
      </c>
      <c r="D156" s="236"/>
      <c r="E156" s="238">
        <f>Données!AF156+Données!AG156+Données!AH156</f>
        <v>68474</v>
      </c>
      <c r="F156" s="236">
        <f t="shared" si="16"/>
        <v>81310.605526593921</v>
      </c>
      <c r="G156" s="8">
        <f t="shared" si="19"/>
        <v>0</v>
      </c>
      <c r="H156" s="317">
        <f t="shared" si="20"/>
        <v>0</v>
      </c>
      <c r="J156" s="8">
        <f>Données!AN156</f>
        <v>28387</v>
      </c>
      <c r="K156" s="216">
        <f t="shared" si="17"/>
        <v>10163.82569082424</v>
      </c>
      <c r="L156" s="12">
        <f t="shared" si="21"/>
        <v>18223.17430917576</v>
      </c>
      <c r="M156" s="317">
        <f t="shared" si="22"/>
        <v>-13667.38073188182</v>
      </c>
      <c r="O156" s="42">
        <f t="shared" ref="O156:O187" si="23">M156+H156</f>
        <v>-13667.38073188182</v>
      </c>
      <c r="P156" s="274"/>
      <c r="Q156" s="229"/>
      <c r="R156" s="229"/>
      <c r="S156" s="229"/>
      <c r="T156" s="229"/>
      <c r="U156" s="229"/>
      <c r="AF156" s="11"/>
      <c r="AG156" s="11"/>
      <c r="AH156" s="11"/>
      <c r="AI156" s="11"/>
      <c r="AJ156" s="11"/>
      <c r="AK156" s="11"/>
      <c r="AL156" s="11"/>
    </row>
    <row r="157" spans="1:38" x14ac:dyDescent="0.25">
      <c r="A157" s="38">
        <f>+Données!A157</f>
        <v>5663</v>
      </c>
      <c r="B157" s="250" t="str">
        <f>+Données!B157</f>
        <v>Bussy-sur-Moudon</v>
      </c>
      <c r="C157" s="238">
        <f>+Ecrêtage!C157</f>
        <v>5406.7758852371026</v>
      </c>
      <c r="D157" s="236"/>
      <c r="E157" s="238">
        <f>Données!AF157+Données!AG157+Données!AH157</f>
        <v>42604</v>
      </c>
      <c r="F157" s="236">
        <f t="shared" si="16"/>
        <v>43254.20708189682</v>
      </c>
      <c r="G157" s="8">
        <f t="shared" si="19"/>
        <v>0</v>
      </c>
      <c r="H157" s="317">
        <f t="shared" si="20"/>
        <v>0</v>
      </c>
      <c r="J157" s="8">
        <f>Données!AN157</f>
        <v>4240</v>
      </c>
      <c r="K157" s="216">
        <f t="shared" si="17"/>
        <v>5406.7758852371026</v>
      </c>
      <c r="L157" s="12">
        <f t="shared" si="21"/>
        <v>0</v>
      </c>
      <c r="M157" s="317">
        <f t="shared" si="22"/>
        <v>0</v>
      </c>
      <c r="O157" s="42">
        <f t="shared" si="23"/>
        <v>0</v>
      </c>
      <c r="P157" s="274"/>
      <c r="Q157" s="229"/>
      <c r="R157" s="229"/>
      <c r="S157" s="229"/>
      <c r="T157" s="229"/>
      <c r="U157" s="229"/>
      <c r="AF157" s="11"/>
      <c r="AG157" s="11"/>
      <c r="AH157" s="11"/>
      <c r="AI157" s="11"/>
      <c r="AJ157" s="11"/>
      <c r="AK157" s="11"/>
      <c r="AL157" s="11"/>
    </row>
    <row r="158" spans="1:38" x14ac:dyDescent="0.25">
      <c r="A158" s="38">
        <f>+Données!A158</f>
        <v>5665</v>
      </c>
      <c r="B158" s="250" t="str">
        <f>+Données!B158</f>
        <v>Chavannes-sur-Moudon</v>
      </c>
      <c r="C158" s="238">
        <f>+Ecrêtage!C158</f>
        <v>6834.7640808977276</v>
      </c>
      <c r="D158" s="236"/>
      <c r="E158" s="238">
        <f>Données!AF158+Données!AG158+Données!AH158</f>
        <v>40748</v>
      </c>
      <c r="F158" s="236">
        <f t="shared" si="16"/>
        <v>54678.112647181821</v>
      </c>
      <c r="G158" s="8">
        <f t="shared" si="19"/>
        <v>0</v>
      </c>
      <c r="H158" s="317">
        <f t="shared" si="20"/>
        <v>0</v>
      </c>
      <c r="J158" s="8">
        <f>Données!AN158</f>
        <v>9904</v>
      </c>
      <c r="K158" s="216">
        <f t="shared" si="17"/>
        <v>6834.7640808977276</v>
      </c>
      <c r="L158" s="12">
        <f t="shared" si="21"/>
        <v>3069.2359191022724</v>
      </c>
      <c r="M158" s="317">
        <f t="shared" si="22"/>
        <v>-2301.9269393267041</v>
      </c>
      <c r="O158" s="42">
        <f t="shared" si="23"/>
        <v>-2301.9269393267041</v>
      </c>
      <c r="P158" s="274"/>
      <c r="Q158" s="229"/>
      <c r="R158" s="229"/>
      <c r="S158" s="229"/>
      <c r="T158" s="229"/>
      <c r="U158" s="229"/>
      <c r="AF158" s="11"/>
      <c r="AG158" s="11"/>
      <c r="AH158" s="11"/>
      <c r="AI158" s="11"/>
      <c r="AJ158" s="11"/>
      <c r="AK158" s="11"/>
      <c r="AL158" s="11"/>
    </row>
    <row r="159" spans="1:38" x14ac:dyDescent="0.25">
      <c r="A159" s="38">
        <f>+Données!A159</f>
        <v>5669</v>
      </c>
      <c r="B159" s="250" t="str">
        <f>+Données!B159</f>
        <v>Curtilles</v>
      </c>
      <c r="C159" s="238">
        <f>+Ecrêtage!C159</f>
        <v>10284.99372876246</v>
      </c>
      <c r="D159" s="236"/>
      <c r="E159" s="238">
        <f>Données!AF159+Données!AG159+Données!AH159</f>
        <v>58252</v>
      </c>
      <c r="F159" s="236">
        <f t="shared" si="16"/>
        <v>82279.949830099678</v>
      </c>
      <c r="G159" s="8">
        <f t="shared" si="19"/>
        <v>0</v>
      </c>
      <c r="H159" s="317">
        <f t="shared" si="20"/>
        <v>0</v>
      </c>
      <c r="J159" s="8">
        <f>Données!AN159</f>
        <v>3271</v>
      </c>
      <c r="K159" s="216">
        <f t="shared" si="17"/>
        <v>10284.99372876246</v>
      </c>
      <c r="L159" s="12">
        <f t="shared" si="21"/>
        <v>0</v>
      </c>
      <c r="M159" s="317">
        <f t="shared" si="22"/>
        <v>0</v>
      </c>
      <c r="O159" s="42">
        <f t="shared" si="23"/>
        <v>0</v>
      </c>
      <c r="P159" s="274"/>
      <c r="Q159" s="229"/>
      <c r="R159" s="229"/>
      <c r="S159" s="229"/>
      <c r="T159" s="229"/>
      <c r="U159" s="229"/>
      <c r="AF159" s="11"/>
      <c r="AG159" s="11"/>
      <c r="AH159" s="11"/>
      <c r="AI159" s="11"/>
      <c r="AJ159" s="11"/>
      <c r="AK159" s="11"/>
      <c r="AL159" s="11"/>
    </row>
    <row r="160" spans="1:38" x14ac:dyDescent="0.25">
      <c r="A160" s="38">
        <f>+Données!A160</f>
        <v>5671</v>
      </c>
      <c r="B160" s="250" t="str">
        <f>+Données!B160</f>
        <v>Dompierre</v>
      </c>
      <c r="C160" s="238">
        <f>+Ecrêtage!C160</f>
        <v>6033.0922485669453</v>
      </c>
      <c r="D160" s="236"/>
      <c r="E160" s="238">
        <f>Données!AF160+Données!AG160+Données!AH160</f>
        <v>110836</v>
      </c>
      <c r="F160" s="236">
        <f t="shared" si="16"/>
        <v>48264.737988535562</v>
      </c>
      <c r="G160" s="8">
        <f t="shared" si="19"/>
        <v>62571.262011464438</v>
      </c>
      <c r="H160" s="317">
        <f t="shared" si="20"/>
        <v>-46928.446508598325</v>
      </c>
      <c r="J160" s="8">
        <f>Données!AN160</f>
        <v>4170</v>
      </c>
      <c r="K160" s="216">
        <f t="shared" si="17"/>
        <v>6033.0922485669453</v>
      </c>
      <c r="L160" s="12">
        <f t="shared" si="21"/>
        <v>0</v>
      </c>
      <c r="M160" s="317">
        <f t="shared" si="22"/>
        <v>0</v>
      </c>
      <c r="O160" s="42">
        <f t="shared" si="23"/>
        <v>-46928.446508598325</v>
      </c>
      <c r="P160" s="274"/>
      <c r="Q160" s="229"/>
      <c r="R160" s="229"/>
      <c r="S160" s="229"/>
      <c r="T160" s="229"/>
      <c r="U160" s="229"/>
      <c r="AF160" s="11"/>
      <c r="AG160" s="11"/>
      <c r="AH160" s="11"/>
      <c r="AI160" s="11"/>
      <c r="AJ160" s="11"/>
      <c r="AK160" s="11"/>
      <c r="AL160" s="11"/>
    </row>
    <row r="161" spans="1:38" x14ac:dyDescent="0.25">
      <c r="A161" s="38">
        <f>+Données!A161</f>
        <v>5673</v>
      </c>
      <c r="B161" s="250" t="str">
        <f>+Données!B161</f>
        <v>Hermenches</v>
      </c>
      <c r="C161" s="238">
        <f>+Ecrêtage!C161</f>
        <v>10638.00475305371</v>
      </c>
      <c r="D161" s="236"/>
      <c r="E161" s="238">
        <f>Données!AF161+Données!AG161+Données!AH161</f>
        <v>116803</v>
      </c>
      <c r="F161" s="236">
        <f t="shared" si="16"/>
        <v>85104.038024429683</v>
      </c>
      <c r="G161" s="8">
        <f t="shared" si="19"/>
        <v>31698.961975570317</v>
      </c>
      <c r="H161" s="317">
        <f t="shared" si="20"/>
        <v>-23774.221481677738</v>
      </c>
      <c r="J161" s="8">
        <f>Données!AN161</f>
        <v>51565</v>
      </c>
      <c r="K161" s="216">
        <f t="shared" si="17"/>
        <v>10638.00475305371</v>
      </c>
      <c r="L161" s="12">
        <f t="shared" si="21"/>
        <v>40926.995246946288</v>
      </c>
      <c r="M161" s="317">
        <f t="shared" si="22"/>
        <v>-30695.246435209716</v>
      </c>
      <c r="O161" s="42">
        <f t="shared" si="23"/>
        <v>-54469.467916887457</v>
      </c>
      <c r="P161" s="274"/>
      <c r="Q161" s="229"/>
      <c r="R161" s="229"/>
      <c r="S161" s="229"/>
      <c r="T161" s="229"/>
      <c r="U161" s="229"/>
      <c r="AF161" s="11"/>
      <c r="AG161" s="11"/>
      <c r="AH161" s="11"/>
      <c r="AI161" s="11"/>
      <c r="AJ161" s="11"/>
      <c r="AK161" s="11"/>
      <c r="AL161" s="11"/>
    </row>
    <row r="162" spans="1:38" x14ac:dyDescent="0.25">
      <c r="A162" s="38">
        <f>+Données!A162</f>
        <v>5674</v>
      </c>
      <c r="B162" s="250" t="str">
        <f>+Données!B162</f>
        <v>Lovatens</v>
      </c>
      <c r="C162" s="238">
        <f>+Ecrêtage!C162</f>
        <v>3430.6671539886806</v>
      </c>
      <c r="D162" s="236"/>
      <c r="E162" s="238">
        <f>Données!AF162+Données!AG162+Données!AH162</f>
        <v>67155</v>
      </c>
      <c r="F162" s="236">
        <f t="shared" si="16"/>
        <v>27445.337231909445</v>
      </c>
      <c r="G162" s="8">
        <f t="shared" si="19"/>
        <v>39709.662768090551</v>
      </c>
      <c r="H162" s="317">
        <f t="shared" si="20"/>
        <v>-29782.247076067913</v>
      </c>
      <c r="J162" s="8">
        <f>Données!AN162</f>
        <v>872</v>
      </c>
      <c r="K162" s="216">
        <f t="shared" si="17"/>
        <v>3430.6671539886806</v>
      </c>
      <c r="L162" s="12">
        <f t="shared" si="21"/>
        <v>0</v>
      </c>
      <c r="M162" s="317">
        <f t="shared" si="22"/>
        <v>0</v>
      </c>
      <c r="O162" s="42">
        <f t="shared" si="23"/>
        <v>-29782.247076067913</v>
      </c>
      <c r="P162" s="274"/>
      <c r="Q162" s="229"/>
      <c r="R162" s="229"/>
      <c r="S162" s="229"/>
      <c r="T162" s="229"/>
      <c r="U162" s="229"/>
      <c r="AF162" s="11"/>
      <c r="AG162" s="11"/>
      <c r="AH162" s="11"/>
      <c r="AI162" s="11"/>
      <c r="AJ162" s="11"/>
      <c r="AK162" s="11"/>
      <c r="AL162" s="11"/>
    </row>
    <row r="163" spans="1:38" x14ac:dyDescent="0.25">
      <c r="A163" s="38">
        <f>+Données!A163</f>
        <v>5675</v>
      </c>
      <c r="B163" s="250" t="str">
        <f>+Données!B163</f>
        <v>Lucens</v>
      </c>
      <c r="C163" s="238">
        <f>+Ecrêtage!C163</f>
        <v>96952.062979645387</v>
      </c>
      <c r="D163" s="236"/>
      <c r="E163" s="238">
        <f>Données!AF163+Données!AG163+Données!AH163</f>
        <v>1551520</v>
      </c>
      <c r="F163" s="236">
        <f t="shared" si="16"/>
        <v>775616.50383716309</v>
      </c>
      <c r="G163" s="8">
        <f t="shared" si="19"/>
        <v>775903.49616283691</v>
      </c>
      <c r="H163" s="317">
        <f t="shared" si="20"/>
        <v>-581927.62212212768</v>
      </c>
      <c r="J163" s="8">
        <f>Données!AN163</f>
        <v>24861</v>
      </c>
      <c r="K163" s="216">
        <f t="shared" si="17"/>
        <v>96952.062979645387</v>
      </c>
      <c r="L163" s="12">
        <f t="shared" si="21"/>
        <v>0</v>
      </c>
      <c r="M163" s="317">
        <f t="shared" si="22"/>
        <v>0</v>
      </c>
      <c r="O163" s="42">
        <f t="shared" si="23"/>
        <v>-581927.62212212768</v>
      </c>
      <c r="P163" s="274"/>
      <c r="Q163" s="229"/>
      <c r="R163" s="229"/>
      <c r="S163" s="229"/>
      <c r="T163" s="229"/>
      <c r="U163" s="229"/>
      <c r="AF163" s="11"/>
      <c r="AG163" s="11"/>
      <c r="AH163" s="11"/>
      <c r="AI163" s="11"/>
      <c r="AJ163" s="11"/>
      <c r="AK163" s="11"/>
      <c r="AL163" s="11"/>
    </row>
    <row r="164" spans="1:38" x14ac:dyDescent="0.25">
      <c r="A164" s="38">
        <f>+Données!A164</f>
        <v>5678</v>
      </c>
      <c r="B164" s="250" t="str">
        <f>+Données!B164</f>
        <v>Moudon</v>
      </c>
      <c r="C164" s="238">
        <f>+Ecrêtage!C164</f>
        <v>124861.70956096463</v>
      </c>
      <c r="D164" s="236"/>
      <c r="E164" s="238">
        <f>Données!AF164+Données!AG164+Données!AH164</f>
        <v>2630596</v>
      </c>
      <c r="F164" s="236">
        <f t="shared" si="16"/>
        <v>998893.67648771708</v>
      </c>
      <c r="G164" s="8">
        <f t="shared" si="19"/>
        <v>1631702.3235122829</v>
      </c>
      <c r="H164" s="317">
        <f t="shared" si="20"/>
        <v>-1223776.7426342121</v>
      </c>
      <c r="J164" s="8">
        <f>Données!AN164</f>
        <v>-22971</v>
      </c>
      <c r="K164" s="216">
        <f t="shared" si="17"/>
        <v>124861.70956096463</v>
      </c>
      <c r="L164" s="12">
        <f t="shared" si="21"/>
        <v>0</v>
      </c>
      <c r="M164" s="317">
        <f t="shared" si="22"/>
        <v>0</v>
      </c>
      <c r="O164" s="42">
        <f t="shared" si="23"/>
        <v>-1223776.7426342121</v>
      </c>
      <c r="P164" s="274"/>
      <c r="Q164" s="229"/>
      <c r="R164" s="229"/>
      <c r="S164" s="229"/>
      <c r="T164" s="229"/>
      <c r="U164" s="229"/>
      <c r="AF164" s="11"/>
      <c r="AG164" s="11"/>
      <c r="AH164" s="11"/>
      <c r="AI164" s="11"/>
      <c r="AJ164" s="11"/>
      <c r="AK164" s="11"/>
      <c r="AL164" s="11"/>
    </row>
    <row r="165" spans="1:38" x14ac:dyDescent="0.25">
      <c r="A165" s="38">
        <f>+Données!A165</f>
        <v>5680</v>
      </c>
      <c r="B165" s="250" t="str">
        <f>+Données!B165</f>
        <v>Ogens</v>
      </c>
      <c r="C165" s="238">
        <f>+Ecrêtage!C165</f>
        <v>8674.1647445530853</v>
      </c>
      <c r="D165" s="236"/>
      <c r="E165" s="238">
        <f>Données!AF165+Données!AG165+Données!AH165</f>
        <v>60283</v>
      </c>
      <c r="F165" s="236">
        <f t="shared" si="16"/>
        <v>69393.317956424682</v>
      </c>
      <c r="G165" s="8">
        <f t="shared" si="19"/>
        <v>0</v>
      </c>
      <c r="H165" s="317">
        <f t="shared" si="20"/>
        <v>0</v>
      </c>
      <c r="J165" s="8">
        <f>Données!AN165</f>
        <v>16900</v>
      </c>
      <c r="K165" s="216">
        <f t="shared" si="17"/>
        <v>8674.1647445530853</v>
      </c>
      <c r="L165" s="12">
        <f t="shared" si="21"/>
        <v>8225.8352554469147</v>
      </c>
      <c r="M165" s="317">
        <f t="shared" si="22"/>
        <v>-6169.3764415851856</v>
      </c>
      <c r="O165" s="42">
        <f t="shared" si="23"/>
        <v>-6169.3764415851856</v>
      </c>
      <c r="P165" s="274"/>
      <c r="Q165" s="229"/>
      <c r="R165" s="229"/>
      <c r="S165" s="229"/>
      <c r="T165" s="229"/>
      <c r="U165" s="229"/>
      <c r="AF165" s="11"/>
      <c r="AG165" s="11"/>
      <c r="AH165" s="11"/>
      <c r="AI165" s="11"/>
      <c r="AJ165" s="11"/>
      <c r="AK165" s="11"/>
      <c r="AL165" s="11"/>
    </row>
    <row r="166" spans="1:38" x14ac:dyDescent="0.25">
      <c r="A166" s="38">
        <f>+Données!A166</f>
        <v>5683</v>
      </c>
      <c r="B166" s="250" t="str">
        <f>+Données!B166</f>
        <v>Prévonloup</v>
      </c>
      <c r="C166" s="238">
        <f>+Ecrêtage!C166</f>
        <v>5010.6526896551723</v>
      </c>
      <c r="D166" s="236"/>
      <c r="E166" s="238">
        <f>Données!AF166+Données!AG166+Données!AH166</f>
        <v>30274</v>
      </c>
      <c r="F166" s="236">
        <f t="shared" si="16"/>
        <v>40085.221517241378</v>
      </c>
      <c r="G166" s="8">
        <f t="shared" si="19"/>
        <v>0</v>
      </c>
      <c r="H166" s="317">
        <f t="shared" si="20"/>
        <v>0</v>
      </c>
      <c r="J166" s="8">
        <f>Données!AN166</f>
        <v>-2762</v>
      </c>
      <c r="K166" s="216">
        <f t="shared" si="17"/>
        <v>5010.6526896551723</v>
      </c>
      <c r="L166" s="12">
        <f t="shared" si="21"/>
        <v>0</v>
      </c>
      <c r="M166" s="317">
        <f t="shared" si="22"/>
        <v>0</v>
      </c>
      <c r="O166" s="42">
        <f t="shared" si="23"/>
        <v>0</v>
      </c>
      <c r="P166" s="274"/>
      <c r="Q166" s="229"/>
      <c r="R166" s="229"/>
      <c r="S166" s="229"/>
      <c r="T166" s="229"/>
      <c r="U166" s="229"/>
      <c r="AF166" s="11"/>
      <c r="AG166" s="11"/>
      <c r="AH166" s="11"/>
      <c r="AI166" s="11"/>
      <c r="AJ166" s="11"/>
      <c r="AK166" s="11"/>
      <c r="AL166" s="11"/>
    </row>
    <row r="167" spans="1:38" x14ac:dyDescent="0.25">
      <c r="A167" s="38">
        <f>+Données!A167</f>
        <v>5684</v>
      </c>
      <c r="B167" s="250" t="str">
        <f>+Données!B167</f>
        <v>Rossenges</v>
      </c>
      <c r="C167" s="238">
        <f>+Ecrêtage!C167</f>
        <v>4335.3702000000012</v>
      </c>
      <c r="D167" s="236"/>
      <c r="E167" s="238">
        <f>Données!AF167+Données!AG167+Données!AH167</f>
        <v>9167</v>
      </c>
      <c r="F167" s="236">
        <f t="shared" si="16"/>
        <v>34682.96160000001</v>
      </c>
      <c r="G167" s="8">
        <f t="shared" si="19"/>
        <v>0</v>
      </c>
      <c r="H167" s="317">
        <f t="shared" si="20"/>
        <v>0</v>
      </c>
      <c r="J167" s="8">
        <f>Données!AN167</f>
        <v>919</v>
      </c>
      <c r="K167" s="216">
        <f t="shared" si="17"/>
        <v>4335.3702000000012</v>
      </c>
      <c r="L167" s="12">
        <f t="shared" si="21"/>
        <v>0</v>
      </c>
      <c r="M167" s="317">
        <f t="shared" si="22"/>
        <v>0</v>
      </c>
      <c r="O167" s="42">
        <f t="shared" si="23"/>
        <v>0</v>
      </c>
      <c r="P167" s="274"/>
      <c r="Q167" s="229"/>
      <c r="R167" s="229"/>
      <c r="S167" s="229"/>
      <c r="T167" s="229"/>
      <c r="U167" s="229"/>
      <c r="AF167" s="11"/>
      <c r="AG167" s="11"/>
      <c r="AH167" s="11"/>
      <c r="AI167" s="11"/>
      <c r="AJ167" s="11"/>
      <c r="AK167" s="11"/>
      <c r="AL167" s="11"/>
    </row>
    <row r="168" spans="1:38" x14ac:dyDescent="0.25">
      <c r="A168" s="38">
        <f>+Données!A168</f>
        <v>5688</v>
      </c>
      <c r="B168" s="250" t="str">
        <f>+Données!B168</f>
        <v>Syens</v>
      </c>
      <c r="C168" s="238">
        <f>+Ecrêtage!C168</f>
        <v>5090.9474673292525</v>
      </c>
      <c r="D168" s="236"/>
      <c r="E168" s="238">
        <f>Données!AF168+Données!AG168+Données!AH168</f>
        <v>53860</v>
      </c>
      <c r="F168" s="236">
        <f t="shared" si="16"/>
        <v>40727.57973863402</v>
      </c>
      <c r="G168" s="8">
        <f t="shared" si="19"/>
        <v>13132.42026136598</v>
      </c>
      <c r="H168" s="317">
        <f t="shared" si="20"/>
        <v>-9849.315196024485</v>
      </c>
      <c r="J168" s="8">
        <f>Données!AN168</f>
        <v>-7432</v>
      </c>
      <c r="K168" s="216">
        <f t="shared" si="17"/>
        <v>5090.9474673292525</v>
      </c>
      <c r="L168" s="12">
        <f t="shared" si="21"/>
        <v>0</v>
      </c>
      <c r="M168" s="317">
        <f t="shared" si="22"/>
        <v>0</v>
      </c>
      <c r="O168" s="42">
        <f t="shared" si="23"/>
        <v>-9849.315196024485</v>
      </c>
      <c r="P168" s="274"/>
      <c r="Q168" s="229"/>
      <c r="R168" s="229"/>
      <c r="S168" s="229"/>
      <c r="T168" s="229"/>
      <c r="U168" s="229"/>
      <c r="AF168" s="11"/>
      <c r="AG168" s="11"/>
      <c r="AH168" s="11"/>
      <c r="AI168" s="11"/>
      <c r="AJ168" s="11"/>
      <c r="AK168" s="11"/>
      <c r="AL168" s="11"/>
    </row>
    <row r="169" spans="1:38" x14ac:dyDescent="0.25">
      <c r="A169" s="38">
        <f>+Données!A169</f>
        <v>5690</v>
      </c>
      <c r="B169" s="250" t="str">
        <f>+Données!B169</f>
        <v>Villars-le-Comte</v>
      </c>
      <c r="C169" s="238">
        <f>+Ecrêtage!C169</f>
        <v>3483.6555381452017</v>
      </c>
      <c r="D169" s="236"/>
      <c r="E169" s="238">
        <f>Données!AF169+Données!AG169+Données!AH169</f>
        <v>40817</v>
      </c>
      <c r="F169" s="236">
        <f t="shared" si="16"/>
        <v>27869.244305161614</v>
      </c>
      <c r="G169" s="8">
        <f t="shared" si="19"/>
        <v>12947.755694838386</v>
      </c>
      <c r="H169" s="317">
        <f t="shared" si="20"/>
        <v>-9710.8167711287897</v>
      </c>
      <c r="J169" s="8">
        <f>Données!AN169</f>
        <v>882</v>
      </c>
      <c r="K169" s="216">
        <f t="shared" si="17"/>
        <v>3483.6555381452017</v>
      </c>
      <c r="L169" s="12">
        <f t="shared" si="21"/>
        <v>0</v>
      </c>
      <c r="M169" s="317">
        <f t="shared" si="22"/>
        <v>0</v>
      </c>
      <c r="O169" s="42">
        <f t="shared" si="23"/>
        <v>-9710.8167711287897</v>
      </c>
      <c r="P169" s="274"/>
      <c r="Q169" s="229"/>
      <c r="R169" s="229"/>
      <c r="S169" s="229"/>
      <c r="T169" s="229"/>
      <c r="U169" s="229"/>
      <c r="AF169" s="11"/>
      <c r="AG169" s="11"/>
      <c r="AH169" s="11"/>
      <c r="AI169" s="11"/>
      <c r="AJ169" s="11"/>
      <c r="AK169" s="11"/>
      <c r="AL169" s="11"/>
    </row>
    <row r="170" spans="1:38" x14ac:dyDescent="0.25">
      <c r="A170" s="38">
        <f>+Données!A170</f>
        <v>5692</v>
      </c>
      <c r="B170" s="250" t="str">
        <f>+Données!B170</f>
        <v>Vucherens</v>
      </c>
      <c r="C170" s="238">
        <f>+Ecrêtage!C170</f>
        <v>18080.765402288005</v>
      </c>
      <c r="D170" s="236"/>
      <c r="E170" s="238">
        <f>Données!AF170+Données!AG170+Données!AH170</f>
        <v>251085</v>
      </c>
      <c r="F170" s="236">
        <f t="shared" si="16"/>
        <v>144646.12321830404</v>
      </c>
      <c r="G170" s="8">
        <f t="shared" si="19"/>
        <v>106438.87678169596</v>
      </c>
      <c r="H170" s="317">
        <f t="shared" si="20"/>
        <v>-79829.157586271962</v>
      </c>
      <c r="J170" s="8">
        <f>Données!AN170</f>
        <v>-24712</v>
      </c>
      <c r="K170" s="216">
        <f t="shared" si="17"/>
        <v>18080.765402288005</v>
      </c>
      <c r="L170" s="12">
        <f t="shared" si="21"/>
        <v>0</v>
      </c>
      <c r="M170" s="317">
        <f t="shared" si="22"/>
        <v>0</v>
      </c>
      <c r="O170" s="42">
        <f t="shared" si="23"/>
        <v>-79829.157586271962</v>
      </c>
      <c r="P170" s="274"/>
      <c r="Q170" s="229"/>
      <c r="R170" s="229"/>
      <c r="S170" s="229"/>
      <c r="T170" s="229"/>
      <c r="U170" s="229"/>
      <c r="AF170" s="11"/>
      <c r="AG170" s="11"/>
      <c r="AH170" s="11"/>
      <c r="AI170" s="11"/>
      <c r="AJ170" s="11"/>
      <c r="AK170" s="11"/>
      <c r="AL170" s="11"/>
    </row>
    <row r="171" spans="1:38" x14ac:dyDescent="0.25">
      <c r="A171" s="38">
        <f>+Données!A171</f>
        <v>5693</v>
      </c>
      <c r="B171" s="250" t="str">
        <f>+Données!B171</f>
        <v>Montanaire</v>
      </c>
      <c r="C171" s="238">
        <f>+Ecrêtage!C171</f>
        <v>71109.274307717249</v>
      </c>
      <c r="D171" s="236"/>
      <c r="E171" s="238">
        <f>Données!AF171+Données!AG171+Données!AH171</f>
        <v>1058347</v>
      </c>
      <c r="F171" s="236">
        <f t="shared" si="16"/>
        <v>568874.19446173799</v>
      </c>
      <c r="G171" s="8">
        <f t="shared" si="19"/>
        <v>489472.80553826201</v>
      </c>
      <c r="H171" s="317">
        <f t="shared" si="20"/>
        <v>-367104.60415369651</v>
      </c>
      <c r="J171" s="8">
        <f>Données!AN171</f>
        <v>158928</v>
      </c>
      <c r="K171" s="216">
        <f t="shared" si="17"/>
        <v>71109.274307717249</v>
      </c>
      <c r="L171" s="12">
        <f t="shared" si="21"/>
        <v>87818.725692282751</v>
      </c>
      <c r="M171" s="317">
        <f t="shared" si="22"/>
        <v>-65864.044269212056</v>
      </c>
      <c r="O171" s="42">
        <f t="shared" si="23"/>
        <v>-432968.64842290856</v>
      </c>
      <c r="P171" s="274"/>
      <c r="Q171" s="229"/>
      <c r="R171" s="229"/>
      <c r="S171" s="229"/>
      <c r="T171" s="229"/>
      <c r="U171" s="229"/>
      <c r="AF171" s="11"/>
      <c r="AG171" s="11"/>
      <c r="AH171" s="11"/>
      <c r="AI171" s="11"/>
      <c r="AJ171" s="11"/>
      <c r="AK171" s="11"/>
      <c r="AL171" s="11"/>
    </row>
    <row r="172" spans="1:38" x14ac:dyDescent="0.25">
      <c r="A172" s="38">
        <f>+Données!A172</f>
        <v>5701</v>
      </c>
      <c r="B172" s="250" t="str">
        <f>+Données!B172</f>
        <v>Arnex-sur-Nyon</v>
      </c>
      <c r="C172" s="238">
        <f>+Ecrêtage!C172</f>
        <v>12577.692288260665</v>
      </c>
      <c r="D172" s="236"/>
      <c r="E172" s="238">
        <f>Données!AF172+Données!AG172+Données!AH172</f>
        <v>44939</v>
      </c>
      <c r="F172" s="236">
        <f t="shared" si="16"/>
        <v>100621.53830608532</v>
      </c>
      <c r="G172" s="8">
        <f t="shared" si="19"/>
        <v>0</v>
      </c>
      <c r="H172" s="317">
        <f t="shared" si="20"/>
        <v>0</v>
      </c>
      <c r="J172" s="8">
        <f>Données!AN172</f>
        <v>867</v>
      </c>
      <c r="K172" s="216">
        <f t="shared" si="17"/>
        <v>12577.692288260665</v>
      </c>
      <c r="L172" s="12">
        <f t="shared" si="21"/>
        <v>0</v>
      </c>
      <c r="M172" s="317">
        <f t="shared" si="22"/>
        <v>0</v>
      </c>
      <c r="O172" s="42">
        <f t="shared" si="23"/>
        <v>0</v>
      </c>
      <c r="P172" s="274"/>
      <c r="Q172" s="229"/>
      <c r="R172" s="229"/>
      <c r="S172" s="229"/>
      <c r="T172" s="229"/>
      <c r="U172" s="229"/>
      <c r="AF172" s="11"/>
      <c r="AG172" s="11"/>
      <c r="AH172" s="11"/>
      <c r="AI172" s="11"/>
      <c r="AJ172" s="11"/>
      <c r="AK172" s="11"/>
      <c r="AL172" s="11"/>
    </row>
    <row r="173" spans="1:38" x14ac:dyDescent="0.25">
      <c r="A173" s="38">
        <f>+Données!A173</f>
        <v>5702</v>
      </c>
      <c r="B173" s="250" t="str">
        <f>+Données!B173</f>
        <v>Arzier-Le Muids</v>
      </c>
      <c r="C173" s="238">
        <f>+Ecrêtage!C173</f>
        <v>167718.32276638702</v>
      </c>
      <c r="D173" s="236"/>
      <c r="E173" s="238">
        <f>Données!AF173+Données!AG173+Données!AH173</f>
        <v>979319</v>
      </c>
      <c r="F173" s="236">
        <f t="shared" si="16"/>
        <v>1341746.5821310962</v>
      </c>
      <c r="G173" s="8">
        <f t="shared" si="19"/>
        <v>0</v>
      </c>
      <c r="H173" s="317">
        <f t="shared" si="20"/>
        <v>0</v>
      </c>
      <c r="J173" s="8">
        <f>Données!AN173</f>
        <v>753535</v>
      </c>
      <c r="K173" s="216">
        <f t="shared" si="17"/>
        <v>167718.32276638702</v>
      </c>
      <c r="L173" s="12">
        <f t="shared" si="21"/>
        <v>585816.67723361298</v>
      </c>
      <c r="M173" s="317">
        <f t="shared" si="22"/>
        <v>-439362.50792520971</v>
      </c>
      <c r="O173" s="42">
        <f t="shared" si="23"/>
        <v>-439362.50792520971</v>
      </c>
      <c r="P173" s="274"/>
      <c r="Q173" s="229"/>
      <c r="R173" s="229"/>
      <c r="S173" s="229"/>
      <c r="T173" s="229"/>
      <c r="U173" s="229"/>
      <c r="AF173" s="11"/>
      <c r="AG173" s="11"/>
      <c r="AH173" s="11"/>
      <c r="AI173" s="11"/>
      <c r="AJ173" s="11"/>
      <c r="AK173" s="11"/>
      <c r="AL173" s="11"/>
    </row>
    <row r="174" spans="1:38" x14ac:dyDescent="0.25">
      <c r="A174" s="38">
        <f>+Données!A174</f>
        <v>5703</v>
      </c>
      <c r="B174" s="250" t="str">
        <f>+Données!B174</f>
        <v>Bassins</v>
      </c>
      <c r="C174" s="238">
        <f>+Ecrêtage!C174</f>
        <v>66886.981709814791</v>
      </c>
      <c r="D174" s="236"/>
      <c r="E174" s="238">
        <f>Données!AF174+Données!AG174+Données!AH174</f>
        <v>455896</v>
      </c>
      <c r="F174" s="236">
        <f t="shared" si="16"/>
        <v>535095.85367851832</v>
      </c>
      <c r="G174" s="8">
        <f t="shared" si="19"/>
        <v>0</v>
      </c>
      <c r="H174" s="317">
        <f t="shared" si="20"/>
        <v>0</v>
      </c>
      <c r="J174" s="8">
        <f>Données!AN174</f>
        <v>435921</v>
      </c>
      <c r="K174" s="216">
        <f t="shared" si="17"/>
        <v>66886.981709814791</v>
      </c>
      <c r="L174" s="12">
        <f t="shared" si="21"/>
        <v>369034.01829018519</v>
      </c>
      <c r="M174" s="317">
        <f t="shared" si="22"/>
        <v>-276775.51371763891</v>
      </c>
      <c r="O174" s="42">
        <f t="shared" si="23"/>
        <v>-276775.51371763891</v>
      </c>
      <c r="P174" s="274"/>
      <c r="Q174" s="229"/>
      <c r="R174" s="229"/>
      <c r="S174" s="229"/>
      <c r="T174" s="229"/>
      <c r="U174" s="229"/>
      <c r="AF174" s="11"/>
      <c r="AG174" s="11"/>
      <c r="AH174" s="11"/>
      <c r="AI174" s="11"/>
      <c r="AJ174" s="11"/>
      <c r="AK174" s="11"/>
      <c r="AL174" s="11"/>
    </row>
    <row r="175" spans="1:38" x14ac:dyDescent="0.25">
      <c r="A175" s="38">
        <f>+Données!A175</f>
        <v>5704</v>
      </c>
      <c r="B175" s="250" t="str">
        <f>+Données!B175</f>
        <v>Begnins</v>
      </c>
      <c r="C175" s="238">
        <f>+Ecrêtage!C175</f>
        <v>141530.02646227158</v>
      </c>
      <c r="D175" s="236"/>
      <c r="E175" s="238">
        <f>Données!AF175+Données!AG175+Données!AH175</f>
        <v>1021152</v>
      </c>
      <c r="F175" s="236">
        <f t="shared" si="16"/>
        <v>1132240.2116981726</v>
      </c>
      <c r="G175" s="8">
        <f t="shared" si="19"/>
        <v>0</v>
      </c>
      <c r="H175" s="317">
        <f t="shared" si="20"/>
        <v>0</v>
      </c>
      <c r="J175" s="8">
        <f>Données!AN175</f>
        <v>36124</v>
      </c>
      <c r="K175" s="216">
        <f t="shared" si="17"/>
        <v>141530.02646227158</v>
      </c>
      <c r="L175" s="12">
        <f t="shared" si="21"/>
        <v>0</v>
      </c>
      <c r="M175" s="317">
        <f t="shared" si="22"/>
        <v>0</v>
      </c>
      <c r="O175" s="42">
        <f t="shared" si="23"/>
        <v>0</v>
      </c>
      <c r="P175" s="274"/>
      <c r="Q175" s="229"/>
      <c r="R175" s="229"/>
      <c r="S175" s="229"/>
      <c r="T175" s="229"/>
      <c r="U175" s="229"/>
      <c r="AF175" s="11"/>
      <c r="AG175" s="11"/>
      <c r="AH175" s="11"/>
      <c r="AI175" s="11"/>
      <c r="AJ175" s="11"/>
      <c r="AK175" s="11"/>
      <c r="AL175" s="11"/>
    </row>
    <row r="176" spans="1:38" x14ac:dyDescent="0.25">
      <c r="A176" s="38">
        <f>+Données!A176</f>
        <v>5705</v>
      </c>
      <c r="B176" s="250" t="str">
        <f>+Données!B176</f>
        <v>Bogis-Bossey</v>
      </c>
      <c r="C176" s="238">
        <f>+Ecrêtage!C176</f>
        <v>56143.373517355147</v>
      </c>
      <c r="D176" s="236"/>
      <c r="E176" s="238">
        <f>Données!AF176+Données!AG176+Données!AH176</f>
        <v>304446</v>
      </c>
      <c r="F176" s="236">
        <f t="shared" si="16"/>
        <v>449146.98813884117</v>
      </c>
      <c r="G176" s="8">
        <f t="shared" si="19"/>
        <v>0</v>
      </c>
      <c r="H176" s="317">
        <f t="shared" si="20"/>
        <v>0</v>
      </c>
      <c r="J176" s="8">
        <f>Données!AN176</f>
        <v>8855</v>
      </c>
      <c r="K176" s="216">
        <f t="shared" si="17"/>
        <v>56143.373517355147</v>
      </c>
      <c r="L176" s="12">
        <f t="shared" si="21"/>
        <v>0</v>
      </c>
      <c r="M176" s="317">
        <f t="shared" si="22"/>
        <v>0</v>
      </c>
      <c r="O176" s="42">
        <f t="shared" si="23"/>
        <v>0</v>
      </c>
      <c r="P176" s="274"/>
      <c r="Q176" s="229"/>
      <c r="R176" s="229"/>
      <c r="S176" s="229"/>
      <c r="T176" s="229"/>
      <c r="U176" s="229"/>
      <c r="AF176" s="11"/>
      <c r="AG176" s="11"/>
      <c r="AH176" s="11"/>
      <c r="AI176" s="11"/>
      <c r="AJ176" s="11"/>
      <c r="AK176" s="11"/>
      <c r="AL176" s="11"/>
    </row>
    <row r="177" spans="1:38" x14ac:dyDescent="0.25">
      <c r="A177" s="38">
        <f>+Données!A177</f>
        <v>5706</v>
      </c>
      <c r="B177" s="250" t="str">
        <f>+Données!B177</f>
        <v>Borex</v>
      </c>
      <c r="C177" s="238">
        <f>+Ecrêtage!C177</f>
        <v>84061.533508771914</v>
      </c>
      <c r="D177" s="236"/>
      <c r="E177" s="238">
        <f>Données!AF177+Données!AG177+Données!AH177</f>
        <v>0</v>
      </c>
      <c r="F177" s="236">
        <f t="shared" si="16"/>
        <v>672492.26807017531</v>
      </c>
      <c r="G177" s="8">
        <f t="shared" si="19"/>
        <v>0</v>
      </c>
      <c r="H177" s="317">
        <f t="shared" si="20"/>
        <v>0</v>
      </c>
      <c r="J177" s="8">
        <f>Données!AN177</f>
        <v>0</v>
      </c>
      <c r="K177" s="216">
        <f t="shared" si="17"/>
        <v>84061.533508771914</v>
      </c>
      <c r="L177" s="12">
        <f t="shared" si="21"/>
        <v>0</v>
      </c>
      <c r="M177" s="317">
        <f t="shared" si="22"/>
        <v>0</v>
      </c>
      <c r="O177" s="42">
        <f t="shared" si="23"/>
        <v>0</v>
      </c>
      <c r="P177" s="274"/>
      <c r="Q177" s="229"/>
      <c r="R177" s="229"/>
      <c r="S177" s="229"/>
      <c r="T177" s="229"/>
      <c r="U177" s="229"/>
      <c r="AF177" s="11"/>
      <c r="AG177" s="11"/>
      <c r="AH177" s="11"/>
      <c r="AI177" s="11"/>
      <c r="AJ177" s="11"/>
      <c r="AK177" s="11"/>
      <c r="AL177" s="11"/>
    </row>
    <row r="178" spans="1:38" x14ac:dyDescent="0.25">
      <c r="A178" s="38">
        <f>+Données!A178</f>
        <v>5707</v>
      </c>
      <c r="B178" s="250" t="str">
        <f>+Données!B178</f>
        <v>Chavannes-de-Bogis</v>
      </c>
      <c r="C178" s="238">
        <f>+Ecrêtage!C178</f>
        <v>81740.650607161704</v>
      </c>
      <c r="D178" s="236"/>
      <c r="E178" s="238">
        <f>Données!AF178+Données!AG178+Données!AH178</f>
        <v>0</v>
      </c>
      <c r="F178" s="236">
        <f t="shared" si="16"/>
        <v>653925.20485729363</v>
      </c>
      <c r="G178" s="8">
        <f t="shared" si="19"/>
        <v>0</v>
      </c>
      <c r="H178" s="317">
        <f t="shared" si="20"/>
        <v>0</v>
      </c>
      <c r="J178" s="8">
        <f>Données!AN178</f>
        <v>0</v>
      </c>
      <c r="K178" s="216">
        <f t="shared" si="17"/>
        <v>81740.650607161704</v>
      </c>
      <c r="L178" s="12">
        <f t="shared" si="21"/>
        <v>0</v>
      </c>
      <c r="M178" s="317">
        <f t="shared" si="22"/>
        <v>0</v>
      </c>
      <c r="O178" s="42">
        <f t="shared" si="23"/>
        <v>0</v>
      </c>
      <c r="P178" s="274"/>
      <c r="Q178" s="229"/>
      <c r="R178" s="229"/>
      <c r="S178" s="229"/>
      <c r="T178" s="229"/>
      <c r="U178" s="229"/>
      <c r="AF178" s="11"/>
      <c r="AG178" s="11"/>
      <c r="AH178" s="11"/>
      <c r="AI178" s="11"/>
      <c r="AJ178" s="11"/>
      <c r="AK178" s="11"/>
      <c r="AL178" s="11"/>
    </row>
    <row r="179" spans="1:38" x14ac:dyDescent="0.25">
      <c r="A179" s="38">
        <f>+Données!A179</f>
        <v>5708</v>
      </c>
      <c r="B179" s="250" t="str">
        <f>+Données!B179</f>
        <v>Chavannes-des-Bois</v>
      </c>
      <c r="C179" s="238">
        <f>+Ecrêtage!C179</f>
        <v>67246.19149969735</v>
      </c>
      <c r="D179" s="236"/>
      <c r="E179" s="238">
        <f>Données!AF179+Données!AG179+Données!AH179</f>
        <v>338716</v>
      </c>
      <c r="F179" s="236">
        <f t="shared" si="16"/>
        <v>537969.5319975788</v>
      </c>
      <c r="G179" s="8">
        <f t="shared" si="19"/>
        <v>0</v>
      </c>
      <c r="H179" s="317">
        <f t="shared" si="20"/>
        <v>0</v>
      </c>
      <c r="J179" s="8">
        <f>Données!AN179</f>
        <v>0</v>
      </c>
      <c r="K179" s="216">
        <f t="shared" si="17"/>
        <v>67246.19149969735</v>
      </c>
      <c r="L179" s="12">
        <f t="shared" si="21"/>
        <v>0</v>
      </c>
      <c r="M179" s="317">
        <f t="shared" si="22"/>
        <v>0</v>
      </c>
      <c r="O179" s="42">
        <f t="shared" si="23"/>
        <v>0</v>
      </c>
      <c r="P179" s="274"/>
      <c r="Q179" s="229"/>
      <c r="R179" s="229"/>
      <c r="S179" s="229"/>
      <c r="T179" s="229"/>
      <c r="U179" s="229"/>
      <c r="AF179" s="11"/>
      <c r="AG179" s="11"/>
      <c r="AH179" s="11"/>
      <c r="AI179" s="11"/>
      <c r="AJ179" s="11"/>
      <c r="AK179" s="11"/>
      <c r="AL179" s="11"/>
    </row>
    <row r="180" spans="1:38" x14ac:dyDescent="0.25">
      <c r="A180" s="38">
        <f>+Données!A180</f>
        <v>5709</v>
      </c>
      <c r="B180" s="250" t="str">
        <f>+Données!B180</f>
        <v>Chéserex</v>
      </c>
      <c r="C180" s="238">
        <f>+Ecrêtage!C180</f>
        <v>97363.543103732183</v>
      </c>
      <c r="D180" s="236"/>
      <c r="E180" s="238">
        <f>Données!AF180+Données!AG180+Données!AH180</f>
        <v>520891</v>
      </c>
      <c r="F180" s="236">
        <f t="shared" si="16"/>
        <v>778908.34482985747</v>
      </c>
      <c r="G180" s="8">
        <f t="shared" si="19"/>
        <v>0</v>
      </c>
      <c r="H180" s="317">
        <f t="shared" si="20"/>
        <v>0</v>
      </c>
      <c r="J180" s="8">
        <f>Données!AN180</f>
        <v>67156</v>
      </c>
      <c r="K180" s="216">
        <f t="shared" si="17"/>
        <v>97363.543103732183</v>
      </c>
      <c r="L180" s="12">
        <f t="shared" si="21"/>
        <v>0</v>
      </c>
      <c r="M180" s="317">
        <f t="shared" si="22"/>
        <v>0</v>
      </c>
      <c r="O180" s="42">
        <f t="shared" si="23"/>
        <v>0</v>
      </c>
      <c r="P180" s="274"/>
      <c r="Q180" s="229"/>
      <c r="R180" s="229"/>
      <c r="S180" s="229"/>
      <c r="T180" s="229"/>
      <c r="U180" s="229"/>
      <c r="AF180" s="11"/>
      <c r="AG180" s="11"/>
      <c r="AH180" s="11"/>
      <c r="AI180" s="11"/>
      <c r="AJ180" s="11"/>
      <c r="AK180" s="11"/>
      <c r="AL180" s="11"/>
    </row>
    <row r="181" spans="1:38" x14ac:dyDescent="0.25">
      <c r="A181" s="38">
        <f>+Données!A181</f>
        <v>5710</v>
      </c>
      <c r="B181" s="250" t="str">
        <f>+Données!B181</f>
        <v>Coinsins</v>
      </c>
      <c r="C181" s="238">
        <f>+Ecrêtage!C181</f>
        <v>41089.8274990719</v>
      </c>
      <c r="D181" s="236"/>
      <c r="E181" s="238">
        <f>Données!AF181+Données!AG181+Données!AH181</f>
        <v>145032</v>
      </c>
      <c r="F181" s="236">
        <f t="shared" si="16"/>
        <v>328718.6199925752</v>
      </c>
      <c r="G181" s="8">
        <f t="shared" si="19"/>
        <v>0</v>
      </c>
      <c r="H181" s="317">
        <f t="shared" si="20"/>
        <v>0</v>
      </c>
      <c r="J181" s="8">
        <f>Données!AN181</f>
        <v>16681</v>
      </c>
      <c r="K181" s="216">
        <f t="shared" si="17"/>
        <v>41089.8274990719</v>
      </c>
      <c r="L181" s="12">
        <f t="shared" si="21"/>
        <v>0</v>
      </c>
      <c r="M181" s="317">
        <f t="shared" si="22"/>
        <v>0</v>
      </c>
      <c r="O181" s="42">
        <f t="shared" si="23"/>
        <v>0</v>
      </c>
      <c r="P181" s="274"/>
      <c r="Q181" s="229"/>
      <c r="R181" s="229"/>
      <c r="S181" s="229"/>
      <c r="T181" s="229"/>
      <c r="U181" s="229"/>
      <c r="AF181" s="11"/>
      <c r="AG181" s="11"/>
      <c r="AH181" s="11"/>
      <c r="AI181" s="11"/>
      <c r="AJ181" s="11"/>
      <c r="AK181" s="11"/>
      <c r="AL181" s="11"/>
    </row>
    <row r="182" spans="1:38" x14ac:dyDescent="0.25">
      <c r="A182" s="38">
        <f>+Données!A182</f>
        <v>5711</v>
      </c>
      <c r="B182" s="250" t="str">
        <f>+Données!B182</f>
        <v>Commugny</v>
      </c>
      <c r="C182" s="238">
        <f>+Ecrêtage!C182</f>
        <v>252751.28311656581</v>
      </c>
      <c r="D182" s="236"/>
      <c r="E182" s="238">
        <f>Données!AF182+Données!AG182+Données!AH182</f>
        <v>963940</v>
      </c>
      <c r="F182" s="236">
        <f t="shared" si="16"/>
        <v>2022010.2649325265</v>
      </c>
      <c r="G182" s="8">
        <f t="shared" si="19"/>
        <v>0</v>
      </c>
      <c r="H182" s="317">
        <f t="shared" si="20"/>
        <v>0</v>
      </c>
      <c r="J182" s="8">
        <f>Données!AN182</f>
        <v>0</v>
      </c>
      <c r="K182" s="216">
        <f t="shared" si="17"/>
        <v>252751.28311656581</v>
      </c>
      <c r="L182" s="12">
        <f t="shared" si="21"/>
        <v>0</v>
      </c>
      <c r="M182" s="317">
        <f t="shared" si="22"/>
        <v>0</v>
      </c>
      <c r="O182" s="42">
        <f t="shared" si="23"/>
        <v>0</v>
      </c>
      <c r="P182" s="274"/>
      <c r="Q182" s="229"/>
      <c r="R182" s="229"/>
      <c r="S182" s="229"/>
      <c r="T182" s="229"/>
      <c r="U182" s="229"/>
      <c r="AF182" s="11"/>
      <c r="AG182" s="11"/>
      <c r="AH182" s="11"/>
      <c r="AI182" s="11"/>
      <c r="AJ182" s="11"/>
      <c r="AK182" s="11"/>
      <c r="AL182" s="11"/>
    </row>
    <row r="183" spans="1:38" x14ac:dyDescent="0.25">
      <c r="A183" s="38">
        <f>+Données!A183</f>
        <v>5712</v>
      </c>
      <c r="B183" s="250" t="str">
        <f>+Données!B183</f>
        <v>Coppet</v>
      </c>
      <c r="C183" s="238">
        <f>+Ecrêtage!C183</f>
        <v>381936.87435905024</v>
      </c>
      <c r="D183" s="236"/>
      <c r="E183" s="238">
        <f>Données!AF183+Données!AG183+Données!AH183</f>
        <v>1168095</v>
      </c>
      <c r="F183" s="236">
        <f t="shared" si="16"/>
        <v>3055494.9948724019</v>
      </c>
      <c r="G183" s="8">
        <f t="shared" si="19"/>
        <v>0</v>
      </c>
      <c r="H183" s="317">
        <f t="shared" si="20"/>
        <v>0</v>
      </c>
      <c r="J183" s="8">
        <f>Données!AN183</f>
        <v>0</v>
      </c>
      <c r="K183" s="216">
        <f t="shared" si="17"/>
        <v>381936.87435905024</v>
      </c>
      <c r="L183" s="12">
        <f t="shared" si="21"/>
        <v>0</v>
      </c>
      <c r="M183" s="317">
        <f t="shared" si="22"/>
        <v>0</v>
      </c>
      <c r="O183" s="42">
        <f t="shared" si="23"/>
        <v>0</v>
      </c>
      <c r="P183" s="274"/>
      <c r="Q183" s="229"/>
      <c r="R183" s="229"/>
      <c r="S183" s="229"/>
      <c r="T183" s="229"/>
      <c r="U183" s="229"/>
      <c r="AF183" s="11"/>
      <c r="AG183" s="11"/>
      <c r="AH183" s="11"/>
      <c r="AI183" s="11"/>
      <c r="AJ183" s="11"/>
      <c r="AK183" s="11"/>
      <c r="AL183" s="11"/>
    </row>
    <row r="184" spans="1:38" x14ac:dyDescent="0.25">
      <c r="A184" s="38">
        <f>+Données!A184</f>
        <v>5713</v>
      </c>
      <c r="B184" s="250" t="str">
        <f>+Données!B184</f>
        <v>Crans-près-Céligny</v>
      </c>
      <c r="C184" s="238">
        <f>+Ecrêtage!C184</f>
        <v>308655.70549910824</v>
      </c>
      <c r="D184" s="236"/>
      <c r="E184" s="238">
        <f>Données!AF184+Données!AG184+Données!AH184</f>
        <v>575193</v>
      </c>
      <c r="F184" s="236">
        <f t="shared" si="16"/>
        <v>2469245.6439928659</v>
      </c>
      <c r="G184" s="8">
        <f t="shared" si="19"/>
        <v>0</v>
      </c>
      <c r="H184" s="317">
        <f t="shared" si="20"/>
        <v>0</v>
      </c>
      <c r="J184" s="8">
        <f>Données!AN184</f>
        <v>30447</v>
      </c>
      <c r="K184" s="216">
        <f t="shared" si="17"/>
        <v>308655.70549910824</v>
      </c>
      <c r="L184" s="12">
        <f t="shared" si="21"/>
        <v>0</v>
      </c>
      <c r="M184" s="317">
        <f t="shared" si="22"/>
        <v>0</v>
      </c>
      <c r="O184" s="42">
        <f t="shared" si="23"/>
        <v>0</v>
      </c>
      <c r="P184" s="274"/>
      <c r="Q184" s="229"/>
      <c r="R184" s="229"/>
      <c r="S184" s="229"/>
      <c r="T184" s="229"/>
      <c r="U184" s="229"/>
      <c r="AF184" s="11"/>
      <c r="AG184" s="11"/>
      <c r="AH184" s="11"/>
      <c r="AI184" s="11"/>
      <c r="AJ184" s="11"/>
      <c r="AK184" s="11"/>
      <c r="AL184" s="11"/>
    </row>
    <row r="185" spans="1:38" x14ac:dyDescent="0.25">
      <c r="A185" s="38">
        <f>+Données!A185</f>
        <v>5714</v>
      </c>
      <c r="B185" s="250" t="str">
        <f>+Données!B185</f>
        <v>Crassier</v>
      </c>
      <c r="C185" s="238">
        <f>+Ecrêtage!C185</f>
        <v>53565.625441176468</v>
      </c>
      <c r="D185" s="236"/>
      <c r="E185" s="238">
        <f>Données!AF185+Données!AG185+Données!AH185</f>
        <v>0</v>
      </c>
      <c r="F185" s="236">
        <f t="shared" si="16"/>
        <v>428525.00352941174</v>
      </c>
      <c r="G185" s="8">
        <f t="shared" si="19"/>
        <v>0</v>
      </c>
      <c r="H185" s="317">
        <f t="shared" si="20"/>
        <v>0</v>
      </c>
      <c r="J185" s="8">
        <f>Données!AN185</f>
        <v>0</v>
      </c>
      <c r="K185" s="216">
        <f t="shared" si="17"/>
        <v>53565.625441176468</v>
      </c>
      <c r="L185" s="12">
        <f t="shared" si="21"/>
        <v>0</v>
      </c>
      <c r="M185" s="317">
        <f t="shared" si="22"/>
        <v>0</v>
      </c>
      <c r="O185" s="42">
        <f t="shared" si="23"/>
        <v>0</v>
      </c>
      <c r="P185" s="274"/>
      <c r="Q185" s="229"/>
      <c r="R185" s="229"/>
      <c r="S185" s="229"/>
      <c r="T185" s="229"/>
      <c r="U185" s="229"/>
      <c r="AF185" s="11"/>
      <c r="AG185" s="11"/>
      <c r="AH185" s="11"/>
      <c r="AI185" s="11"/>
      <c r="AJ185" s="11"/>
      <c r="AK185" s="11"/>
      <c r="AL185" s="11"/>
    </row>
    <row r="186" spans="1:38" x14ac:dyDescent="0.25">
      <c r="A186" s="38">
        <f>+Données!A186</f>
        <v>5715</v>
      </c>
      <c r="B186" s="250" t="str">
        <f>+Données!B186</f>
        <v>Duillier</v>
      </c>
      <c r="C186" s="238">
        <f>+Ecrêtage!C186</f>
        <v>61562.138656601084</v>
      </c>
      <c r="D186" s="236"/>
      <c r="E186" s="238">
        <f>Données!AF186+Données!AG186+Données!AH186</f>
        <v>0</v>
      </c>
      <c r="F186" s="236">
        <f t="shared" si="16"/>
        <v>492497.10925280867</v>
      </c>
      <c r="G186" s="8">
        <f t="shared" si="19"/>
        <v>0</v>
      </c>
      <c r="H186" s="317">
        <f t="shared" si="20"/>
        <v>0</v>
      </c>
      <c r="J186" s="8">
        <f>Données!AN186</f>
        <v>0</v>
      </c>
      <c r="K186" s="216">
        <f t="shared" si="17"/>
        <v>61562.138656601084</v>
      </c>
      <c r="L186" s="12">
        <f t="shared" si="21"/>
        <v>0</v>
      </c>
      <c r="M186" s="317">
        <f t="shared" si="22"/>
        <v>0</v>
      </c>
      <c r="O186" s="42">
        <f t="shared" si="23"/>
        <v>0</v>
      </c>
      <c r="P186" s="274"/>
      <c r="Q186" s="229"/>
      <c r="R186" s="229"/>
      <c r="S186" s="229"/>
      <c r="T186" s="229"/>
      <c r="U186" s="229"/>
      <c r="AF186" s="11"/>
      <c r="AG186" s="11"/>
      <c r="AH186" s="11"/>
      <c r="AI186" s="11"/>
      <c r="AJ186" s="11"/>
      <c r="AK186" s="11"/>
      <c r="AL186" s="11"/>
    </row>
    <row r="187" spans="1:38" x14ac:dyDescent="0.25">
      <c r="A187" s="38">
        <f>+Données!A187</f>
        <v>5716</v>
      </c>
      <c r="B187" s="250" t="str">
        <f>+Données!B187</f>
        <v>Eysins</v>
      </c>
      <c r="C187" s="238">
        <f>+Ecrêtage!C187</f>
        <v>307549.31539081637</v>
      </c>
      <c r="D187" s="236"/>
      <c r="E187" s="238">
        <f>Données!AF187+Données!AG187+Données!AH187</f>
        <v>0</v>
      </c>
      <c r="F187" s="236">
        <f t="shared" si="16"/>
        <v>2460394.5231265309</v>
      </c>
      <c r="G187" s="8">
        <f t="shared" si="19"/>
        <v>0</v>
      </c>
      <c r="H187" s="317">
        <f t="shared" si="20"/>
        <v>0</v>
      </c>
      <c r="J187" s="8">
        <f>Données!AN187</f>
        <v>0</v>
      </c>
      <c r="K187" s="216">
        <f t="shared" si="17"/>
        <v>307549.31539081637</v>
      </c>
      <c r="L187" s="12">
        <f t="shared" si="21"/>
        <v>0</v>
      </c>
      <c r="M187" s="317">
        <f t="shared" si="22"/>
        <v>0</v>
      </c>
      <c r="O187" s="42">
        <f t="shared" si="23"/>
        <v>0</v>
      </c>
      <c r="P187" s="274"/>
      <c r="Q187" s="229"/>
      <c r="R187" s="229"/>
      <c r="S187" s="229"/>
      <c r="T187" s="229"/>
      <c r="U187" s="229"/>
      <c r="AF187" s="11"/>
      <c r="AG187" s="11"/>
      <c r="AH187" s="11"/>
      <c r="AI187" s="11"/>
      <c r="AJ187" s="11"/>
      <c r="AK187" s="11"/>
      <c r="AL187" s="11"/>
    </row>
    <row r="188" spans="1:38" x14ac:dyDescent="0.25">
      <c r="A188" s="38">
        <f>+Données!A188</f>
        <v>5717</v>
      </c>
      <c r="B188" s="250" t="str">
        <f>+Données!B188</f>
        <v>Founex</v>
      </c>
      <c r="C188" s="238">
        <f>+Ecrêtage!C188</f>
        <v>386760.37149934971</v>
      </c>
      <c r="D188" s="236"/>
      <c r="E188" s="238">
        <f>Données!AF188+Données!AG188+Données!AH188</f>
        <v>0</v>
      </c>
      <c r="F188" s="236">
        <f t="shared" si="16"/>
        <v>3094082.9719947977</v>
      </c>
      <c r="G188" s="8">
        <f t="shared" si="19"/>
        <v>0</v>
      </c>
      <c r="H188" s="317">
        <f t="shared" si="20"/>
        <v>0</v>
      </c>
      <c r="J188" s="8">
        <f>Données!AN188</f>
        <v>0</v>
      </c>
      <c r="K188" s="216">
        <f t="shared" si="17"/>
        <v>386760.37149934971</v>
      </c>
      <c r="L188" s="12">
        <f t="shared" si="21"/>
        <v>0</v>
      </c>
      <c r="M188" s="317">
        <f t="shared" si="22"/>
        <v>0</v>
      </c>
      <c r="O188" s="42">
        <f t="shared" ref="O188:O219" si="24">M188+H188</f>
        <v>0</v>
      </c>
      <c r="P188" s="274"/>
      <c r="Q188" s="229"/>
      <c r="R188" s="229"/>
      <c r="S188" s="229"/>
      <c r="T188" s="229"/>
      <c r="U188" s="229"/>
      <c r="AF188" s="11"/>
      <c r="AG188" s="11"/>
      <c r="AH188" s="11"/>
      <c r="AI188" s="11"/>
      <c r="AJ188" s="11"/>
      <c r="AK188" s="11"/>
      <c r="AL188" s="11"/>
    </row>
    <row r="189" spans="1:38" s="157" customFormat="1" x14ac:dyDescent="0.25">
      <c r="A189" s="38">
        <f>+Données!A189</f>
        <v>5718</v>
      </c>
      <c r="B189" s="250" t="str">
        <f>+Données!B189</f>
        <v>Genolier</v>
      </c>
      <c r="C189" s="238">
        <f>+Ecrêtage!C189</f>
        <v>244955.25679243167</v>
      </c>
      <c r="D189" s="236"/>
      <c r="E189" s="238">
        <f>Données!AF189+Données!AG189+Données!AH189</f>
        <v>758344</v>
      </c>
      <c r="F189" s="236">
        <f t="shared" si="16"/>
        <v>1959642.0543394533</v>
      </c>
      <c r="G189" s="8">
        <f t="shared" si="19"/>
        <v>0</v>
      </c>
      <c r="H189" s="317">
        <f t="shared" si="20"/>
        <v>0</v>
      </c>
      <c r="I189" s="239"/>
      <c r="J189" s="8">
        <f>Données!AN189</f>
        <v>28998</v>
      </c>
      <c r="K189" s="340">
        <f t="shared" si="17"/>
        <v>244955.25679243167</v>
      </c>
      <c r="L189" s="1">
        <f t="shared" si="21"/>
        <v>0</v>
      </c>
      <c r="M189" s="317">
        <f t="shared" si="22"/>
        <v>0</v>
      </c>
      <c r="N189" s="239"/>
      <c r="O189" s="42">
        <f t="shared" si="24"/>
        <v>0</v>
      </c>
      <c r="P189" s="274"/>
      <c r="Q189" s="229"/>
      <c r="R189" s="229"/>
      <c r="S189" s="229"/>
      <c r="T189" s="229"/>
      <c r="U189" s="229"/>
      <c r="V189" s="220"/>
      <c r="W189" s="220"/>
      <c r="X189" s="220"/>
      <c r="Y189" s="220"/>
      <c r="Z189" s="220"/>
      <c r="AA189" s="220"/>
      <c r="AB189" s="220"/>
      <c r="AC189" s="220"/>
      <c r="AD189" s="220"/>
      <c r="AE189" s="220"/>
    </row>
    <row r="190" spans="1:38" x14ac:dyDescent="0.25">
      <c r="A190" s="38">
        <f>+Données!A190</f>
        <v>5719</v>
      </c>
      <c r="B190" s="250" t="str">
        <f>+Données!B190</f>
        <v>Gingins</v>
      </c>
      <c r="C190" s="238">
        <f>+Ecrêtage!C190</f>
        <v>145581.00922504449</v>
      </c>
      <c r="D190" s="236"/>
      <c r="E190" s="238">
        <f>Données!AF190+Données!AG190+Données!AH190</f>
        <v>0</v>
      </c>
      <c r="F190" s="236">
        <f t="shared" si="16"/>
        <v>1164648.0738003559</v>
      </c>
      <c r="G190" s="8">
        <f t="shared" si="19"/>
        <v>0</v>
      </c>
      <c r="H190" s="317">
        <f t="shared" si="20"/>
        <v>0</v>
      </c>
      <c r="J190" s="8">
        <f>Données!AN190</f>
        <v>0</v>
      </c>
      <c r="K190" s="216">
        <f t="shared" si="17"/>
        <v>145581.00922504449</v>
      </c>
      <c r="L190" s="12">
        <f t="shared" si="21"/>
        <v>0</v>
      </c>
      <c r="M190" s="317">
        <f t="shared" si="22"/>
        <v>0</v>
      </c>
      <c r="O190" s="42">
        <f t="shared" si="24"/>
        <v>0</v>
      </c>
      <c r="P190" s="274"/>
      <c r="Q190" s="229"/>
      <c r="R190" s="229"/>
      <c r="S190" s="229"/>
      <c r="T190" s="229"/>
      <c r="U190" s="229"/>
      <c r="AF190" s="11"/>
      <c r="AG190" s="11"/>
      <c r="AH190" s="11"/>
      <c r="AI190" s="11"/>
      <c r="AJ190" s="11"/>
      <c r="AK190" s="11"/>
      <c r="AL190" s="11"/>
    </row>
    <row r="191" spans="1:38" x14ac:dyDescent="0.25">
      <c r="A191" s="38">
        <f>+Données!A191</f>
        <v>5720</v>
      </c>
      <c r="B191" s="250" t="str">
        <f>+Données!B191</f>
        <v>Givrins</v>
      </c>
      <c r="C191" s="238">
        <f>+Ecrêtage!C191</f>
        <v>84157.481732617845</v>
      </c>
      <c r="D191" s="236"/>
      <c r="E191" s="238">
        <f>Données!AF191+Données!AG191+Données!AH191</f>
        <v>433127</v>
      </c>
      <c r="F191" s="236">
        <f t="shared" si="16"/>
        <v>673259.85386094276</v>
      </c>
      <c r="G191" s="8">
        <f t="shared" si="19"/>
        <v>0</v>
      </c>
      <c r="H191" s="317">
        <f t="shared" si="20"/>
        <v>0</v>
      </c>
      <c r="J191" s="8">
        <f>Données!AN191</f>
        <v>156627</v>
      </c>
      <c r="K191" s="216">
        <f t="shared" si="17"/>
        <v>84157.481732617845</v>
      </c>
      <c r="L191" s="12">
        <f t="shared" si="21"/>
        <v>72469.518267382155</v>
      </c>
      <c r="M191" s="317">
        <f t="shared" si="22"/>
        <v>-54352.138700536612</v>
      </c>
      <c r="O191" s="42">
        <f t="shared" si="24"/>
        <v>-54352.138700536612</v>
      </c>
      <c r="P191" s="274"/>
      <c r="Q191" s="229"/>
      <c r="R191" s="229"/>
      <c r="S191" s="229"/>
      <c r="T191" s="229"/>
      <c r="U191" s="229"/>
      <c r="AF191" s="11"/>
      <c r="AG191" s="11"/>
      <c r="AH191" s="11"/>
      <c r="AI191" s="11"/>
      <c r="AJ191" s="11"/>
      <c r="AK191" s="11"/>
      <c r="AL191" s="11"/>
    </row>
    <row r="192" spans="1:38" x14ac:dyDescent="0.25">
      <c r="A192" s="38">
        <f>+Données!A192</f>
        <v>5721</v>
      </c>
      <c r="B192" s="250" t="str">
        <f>+Données!B192</f>
        <v>Gland</v>
      </c>
      <c r="C192" s="238">
        <f>+Ecrêtage!C192</f>
        <v>649754.37436659122</v>
      </c>
      <c r="D192" s="236"/>
      <c r="E192" s="238">
        <f>Données!AF192+Données!AG192+Données!AH192</f>
        <v>3987551</v>
      </c>
      <c r="F192" s="236">
        <f t="shared" si="16"/>
        <v>5198034.9949327298</v>
      </c>
      <c r="G192" s="8">
        <f t="shared" si="19"/>
        <v>0</v>
      </c>
      <c r="H192" s="317">
        <f t="shared" si="20"/>
        <v>0</v>
      </c>
      <c r="J192" s="8">
        <f>Données!AN192</f>
        <v>40811</v>
      </c>
      <c r="K192" s="216">
        <f t="shared" si="17"/>
        <v>649754.37436659122</v>
      </c>
      <c r="L192" s="12">
        <f t="shared" si="21"/>
        <v>0</v>
      </c>
      <c r="M192" s="317">
        <f t="shared" si="22"/>
        <v>0</v>
      </c>
      <c r="O192" s="42">
        <f t="shared" si="24"/>
        <v>0</v>
      </c>
      <c r="P192" s="274"/>
      <c r="Q192" s="229"/>
      <c r="R192" s="229"/>
      <c r="S192" s="229"/>
      <c r="T192" s="229"/>
      <c r="U192" s="229"/>
      <c r="AF192" s="11"/>
      <c r="AG192" s="11"/>
      <c r="AH192" s="11"/>
      <c r="AI192" s="11"/>
      <c r="AJ192" s="11"/>
      <c r="AK192" s="11"/>
      <c r="AL192" s="11"/>
    </row>
    <row r="193" spans="1:38" x14ac:dyDescent="0.25">
      <c r="A193" s="38">
        <f>+Données!A193</f>
        <v>5722</v>
      </c>
      <c r="B193" s="250" t="str">
        <f>+Données!B193</f>
        <v>Grens</v>
      </c>
      <c r="C193" s="238">
        <f>+Ecrêtage!C193</f>
        <v>25522.027975307101</v>
      </c>
      <c r="D193" s="236"/>
      <c r="E193" s="238">
        <f>Données!AF193+Données!AG193+Données!AH193</f>
        <v>0</v>
      </c>
      <c r="F193" s="236">
        <f t="shared" si="16"/>
        <v>204176.22380245681</v>
      </c>
      <c r="G193" s="8">
        <f t="shared" si="19"/>
        <v>0</v>
      </c>
      <c r="H193" s="317">
        <f t="shared" si="20"/>
        <v>0</v>
      </c>
      <c r="J193" s="8">
        <f>Données!AN193</f>
        <v>0</v>
      </c>
      <c r="K193" s="216">
        <f t="shared" si="17"/>
        <v>25522.027975307101</v>
      </c>
      <c r="L193" s="12">
        <f t="shared" si="21"/>
        <v>0</v>
      </c>
      <c r="M193" s="317">
        <f t="shared" si="22"/>
        <v>0</v>
      </c>
      <c r="O193" s="42">
        <f t="shared" si="24"/>
        <v>0</v>
      </c>
      <c r="P193" s="274"/>
      <c r="Q193" s="229"/>
      <c r="R193" s="229"/>
      <c r="S193" s="229"/>
      <c r="T193" s="229"/>
      <c r="U193" s="229"/>
      <c r="AF193" s="11"/>
      <c r="AG193" s="11"/>
      <c r="AH193" s="11"/>
      <c r="AI193" s="11"/>
      <c r="AJ193" s="11"/>
      <c r="AK193" s="11"/>
      <c r="AL193" s="11"/>
    </row>
    <row r="194" spans="1:38" x14ac:dyDescent="0.25">
      <c r="A194" s="38">
        <f>+Données!A194</f>
        <v>5723</v>
      </c>
      <c r="B194" s="250" t="str">
        <f>+Données!B194</f>
        <v>Mies</v>
      </c>
      <c r="C194" s="238">
        <f>+Ecrêtage!C194</f>
        <v>197671.04481157771</v>
      </c>
      <c r="D194" s="236"/>
      <c r="E194" s="238">
        <f>Données!AF194+Données!AG194+Données!AH194</f>
        <v>0</v>
      </c>
      <c r="F194" s="236">
        <f t="shared" si="16"/>
        <v>1581368.3584926217</v>
      </c>
      <c r="G194" s="8">
        <f t="shared" si="19"/>
        <v>0</v>
      </c>
      <c r="H194" s="317">
        <f t="shared" si="20"/>
        <v>0</v>
      </c>
      <c r="J194" s="8">
        <f>Données!AN194</f>
        <v>0</v>
      </c>
      <c r="K194" s="216">
        <f t="shared" si="17"/>
        <v>197671.04481157771</v>
      </c>
      <c r="L194" s="12">
        <f t="shared" si="21"/>
        <v>0</v>
      </c>
      <c r="M194" s="317">
        <f t="shared" si="22"/>
        <v>0</v>
      </c>
      <c r="O194" s="42">
        <f t="shared" si="24"/>
        <v>0</v>
      </c>
      <c r="P194" s="274"/>
      <c r="Q194" s="229"/>
      <c r="R194" s="229"/>
      <c r="S194" s="229"/>
      <c r="T194" s="229"/>
      <c r="U194" s="229"/>
      <c r="AF194" s="11"/>
      <c r="AG194" s="11"/>
      <c r="AH194" s="11"/>
      <c r="AI194" s="11"/>
      <c r="AJ194" s="11"/>
      <c r="AK194" s="11"/>
      <c r="AL194" s="11"/>
    </row>
    <row r="195" spans="1:38" x14ac:dyDescent="0.25">
      <c r="A195" s="38">
        <f>+Données!A195</f>
        <v>5724</v>
      </c>
      <c r="B195" s="250" t="str">
        <f>+Données!B195</f>
        <v>Nyon</v>
      </c>
      <c r="C195" s="238">
        <f>+Ecrêtage!C195</f>
        <v>1412863.5932076953</v>
      </c>
      <c r="D195" s="236"/>
      <c r="E195" s="238">
        <f>Données!AF195+Données!AG195+Données!AH195</f>
        <v>12844368</v>
      </c>
      <c r="F195" s="236">
        <f t="shared" si="16"/>
        <v>11302908.745661562</v>
      </c>
      <c r="G195" s="8">
        <f t="shared" si="19"/>
        <v>1541459.2543384377</v>
      </c>
      <c r="H195" s="317">
        <f t="shared" si="20"/>
        <v>-1156094.4407538283</v>
      </c>
      <c r="J195" s="8">
        <f>Données!AN195</f>
        <v>366147</v>
      </c>
      <c r="K195" s="216">
        <f t="shared" si="17"/>
        <v>1412863.5932076953</v>
      </c>
      <c r="L195" s="12">
        <f t="shared" si="21"/>
        <v>0</v>
      </c>
      <c r="M195" s="317">
        <f t="shared" si="22"/>
        <v>0</v>
      </c>
      <c r="O195" s="42">
        <f t="shared" si="24"/>
        <v>-1156094.4407538283</v>
      </c>
      <c r="P195" s="274"/>
      <c r="Q195" s="229"/>
      <c r="R195" s="229"/>
      <c r="S195" s="229"/>
      <c r="T195" s="229"/>
      <c r="U195" s="229"/>
      <c r="AF195" s="11"/>
      <c r="AG195" s="11"/>
      <c r="AH195" s="11"/>
      <c r="AI195" s="11"/>
      <c r="AJ195" s="11"/>
      <c r="AK195" s="11"/>
      <c r="AL195" s="11"/>
    </row>
    <row r="196" spans="1:38" x14ac:dyDescent="0.25">
      <c r="A196" s="38">
        <f>+Données!A196</f>
        <v>5725</v>
      </c>
      <c r="B196" s="250" t="str">
        <f>+Données!B196</f>
        <v>Prangins</v>
      </c>
      <c r="C196" s="238">
        <f>+Ecrêtage!C196</f>
        <v>312426.41305318987</v>
      </c>
      <c r="D196" s="236"/>
      <c r="E196" s="238">
        <f>Données!AF196+Données!AG196+Données!AH196</f>
        <v>1841001</v>
      </c>
      <c r="F196" s="236">
        <f t="shared" si="16"/>
        <v>2499411.304425519</v>
      </c>
      <c r="G196" s="8">
        <f t="shared" si="19"/>
        <v>0</v>
      </c>
      <c r="H196" s="317">
        <f t="shared" si="20"/>
        <v>0</v>
      </c>
      <c r="J196" s="8">
        <f>Données!AN196</f>
        <v>21657</v>
      </c>
      <c r="K196" s="216">
        <f t="shared" si="17"/>
        <v>312426.41305318987</v>
      </c>
      <c r="L196" s="12">
        <f t="shared" si="21"/>
        <v>0</v>
      </c>
      <c r="M196" s="317">
        <f t="shared" si="22"/>
        <v>0</v>
      </c>
      <c r="O196" s="42">
        <f t="shared" si="24"/>
        <v>0</v>
      </c>
      <c r="P196" s="274"/>
      <c r="Q196" s="229"/>
      <c r="R196" s="229"/>
      <c r="S196" s="229"/>
      <c r="T196" s="229"/>
      <c r="U196" s="229"/>
      <c r="AF196" s="11"/>
      <c r="AG196" s="11"/>
      <c r="AH196" s="11"/>
      <c r="AI196" s="11"/>
      <c r="AJ196" s="11"/>
      <c r="AK196" s="11"/>
      <c r="AL196" s="11"/>
    </row>
    <row r="197" spans="1:38" x14ac:dyDescent="0.25">
      <c r="A197" s="38">
        <f>+Données!A197</f>
        <v>5726</v>
      </c>
      <c r="B197" s="250" t="str">
        <f>+Données!B197</f>
        <v>La Rippe</v>
      </c>
      <c r="C197" s="238">
        <f>+Ecrêtage!C197</f>
        <v>66314.954154633349</v>
      </c>
      <c r="D197" s="236"/>
      <c r="E197" s="238">
        <f>Données!AF197+Données!AG197+Données!AH197</f>
        <v>0</v>
      </c>
      <c r="F197" s="236">
        <f t="shared" si="16"/>
        <v>530519.6332370668</v>
      </c>
      <c r="G197" s="8">
        <f t="shared" si="19"/>
        <v>0</v>
      </c>
      <c r="H197" s="317">
        <f t="shared" si="20"/>
        <v>0</v>
      </c>
      <c r="J197" s="8">
        <f>Données!AN197</f>
        <v>0</v>
      </c>
      <c r="K197" s="216">
        <f t="shared" si="17"/>
        <v>66314.954154633349</v>
      </c>
      <c r="L197" s="12">
        <f t="shared" si="21"/>
        <v>0</v>
      </c>
      <c r="M197" s="317">
        <f t="shared" si="22"/>
        <v>0</v>
      </c>
      <c r="O197" s="42">
        <f t="shared" si="24"/>
        <v>0</v>
      </c>
      <c r="P197" s="274"/>
      <c r="Q197" s="229"/>
      <c r="R197" s="229"/>
      <c r="S197" s="229"/>
      <c r="T197" s="229"/>
      <c r="U197" s="229"/>
      <c r="AF197" s="11"/>
      <c r="AG197" s="11"/>
      <c r="AH197" s="11"/>
      <c r="AI197" s="11"/>
      <c r="AJ197" s="11"/>
      <c r="AK197" s="11"/>
      <c r="AL197" s="11"/>
    </row>
    <row r="198" spans="1:38" x14ac:dyDescent="0.25">
      <c r="A198" s="38">
        <f>+Données!A198</f>
        <v>5727</v>
      </c>
      <c r="B198" s="250" t="str">
        <f>+Données!B198</f>
        <v>Saint-Cergue</v>
      </c>
      <c r="C198" s="238">
        <f>+Ecrêtage!C198</f>
        <v>105108.96305797539</v>
      </c>
      <c r="D198" s="236"/>
      <c r="E198" s="238">
        <f>Données!AF198+Données!AG198+Données!AH198</f>
        <v>1115653</v>
      </c>
      <c r="F198" s="236">
        <f t="shared" ref="F198:F261" si="25">+C198*$G$5</f>
        <v>840871.70446380309</v>
      </c>
      <c r="G198" s="8">
        <f t="shared" si="19"/>
        <v>274781.29553619691</v>
      </c>
      <c r="H198" s="317">
        <f t="shared" si="20"/>
        <v>-206085.97165214768</v>
      </c>
      <c r="J198" s="8">
        <f>Données!AN198</f>
        <v>31669</v>
      </c>
      <c r="K198" s="216">
        <f t="shared" ref="K198:K261" si="26">C198*L$5</f>
        <v>105108.96305797539</v>
      </c>
      <c r="L198" s="12">
        <f t="shared" si="21"/>
        <v>0</v>
      </c>
      <c r="M198" s="317">
        <f t="shared" si="22"/>
        <v>0</v>
      </c>
      <c r="O198" s="42">
        <f t="shared" si="24"/>
        <v>-206085.97165214768</v>
      </c>
      <c r="P198" s="274"/>
      <c r="Q198" s="229"/>
      <c r="R198" s="229"/>
      <c r="S198" s="229"/>
      <c r="T198" s="229"/>
      <c r="U198" s="229"/>
      <c r="AF198" s="11"/>
      <c r="AG198" s="11"/>
      <c r="AH198" s="11"/>
      <c r="AI198" s="11"/>
      <c r="AJ198" s="11"/>
      <c r="AK198" s="11"/>
      <c r="AL198" s="11"/>
    </row>
    <row r="199" spans="1:38" x14ac:dyDescent="0.25">
      <c r="A199" s="38">
        <f>+Données!A199</f>
        <v>5728</v>
      </c>
      <c r="B199" s="250" t="str">
        <f>+Données!B199</f>
        <v>Signy-Avenex</v>
      </c>
      <c r="C199" s="238">
        <f>+Ecrêtage!C199</f>
        <v>49029.515425987986</v>
      </c>
      <c r="D199" s="236"/>
      <c r="E199" s="238">
        <f>Données!AF199+Données!AG199+Données!AH199</f>
        <v>0</v>
      </c>
      <c r="F199" s="236">
        <f t="shared" si="25"/>
        <v>392236.12340790388</v>
      </c>
      <c r="G199" s="8">
        <f t="shared" ref="G199:G262" si="27">IF(E199&gt;F199,E199-F199,0)</f>
        <v>0</v>
      </c>
      <c r="H199" s="317">
        <f t="shared" ref="H199:H262" si="28">-G199*H$5</f>
        <v>0</v>
      </c>
      <c r="J199" s="8">
        <f>Données!AN199</f>
        <v>0</v>
      </c>
      <c r="K199" s="216">
        <f t="shared" si="26"/>
        <v>49029.515425987986</v>
      </c>
      <c r="L199" s="12">
        <f t="shared" ref="L199:L262" si="29">IF(J199&gt;K199,J199-K199,0)</f>
        <v>0</v>
      </c>
      <c r="M199" s="317">
        <f t="shared" ref="M199:M262" si="30">-L199*M$5</f>
        <v>0</v>
      </c>
      <c r="O199" s="42">
        <f t="shared" si="24"/>
        <v>0</v>
      </c>
      <c r="P199" s="274"/>
      <c r="Q199" s="229"/>
      <c r="R199" s="229"/>
      <c r="S199" s="229"/>
      <c r="T199" s="229"/>
      <c r="U199" s="229"/>
      <c r="AF199" s="11"/>
      <c r="AG199" s="11"/>
      <c r="AH199" s="11"/>
      <c r="AI199" s="11"/>
      <c r="AJ199" s="11"/>
      <c r="AK199" s="11"/>
      <c r="AL199" s="11"/>
    </row>
    <row r="200" spans="1:38" x14ac:dyDescent="0.25">
      <c r="A200" s="38">
        <f>+Données!A200</f>
        <v>5729</v>
      </c>
      <c r="B200" s="250" t="str">
        <f>+Données!B200</f>
        <v>Tannay</v>
      </c>
      <c r="C200" s="238">
        <f>+Ecrêtage!C200</f>
        <v>130705.91189021352</v>
      </c>
      <c r="D200" s="236"/>
      <c r="E200" s="238">
        <f>Données!AF200+Données!AG200+Données!AH200</f>
        <v>0</v>
      </c>
      <c r="F200" s="236">
        <f t="shared" si="25"/>
        <v>1045647.2951217082</v>
      </c>
      <c r="G200" s="8">
        <f t="shared" si="27"/>
        <v>0</v>
      </c>
      <c r="H200" s="317">
        <f t="shared" si="28"/>
        <v>0</v>
      </c>
      <c r="J200" s="8">
        <f>Données!AN200</f>
        <v>0</v>
      </c>
      <c r="K200" s="216">
        <f t="shared" si="26"/>
        <v>130705.91189021352</v>
      </c>
      <c r="L200" s="12">
        <f t="shared" si="29"/>
        <v>0</v>
      </c>
      <c r="M200" s="317">
        <f t="shared" si="30"/>
        <v>0</v>
      </c>
      <c r="O200" s="42">
        <f t="shared" si="24"/>
        <v>0</v>
      </c>
      <c r="P200" s="274"/>
      <c r="Q200" s="229"/>
      <c r="R200" s="229"/>
      <c r="S200" s="229"/>
      <c r="T200" s="229"/>
      <c r="U200" s="229"/>
      <c r="AF200" s="11"/>
      <c r="AG200" s="11"/>
      <c r="AH200" s="11"/>
      <c r="AI200" s="11"/>
      <c r="AJ200" s="11"/>
      <c r="AK200" s="11"/>
      <c r="AL200" s="11"/>
    </row>
    <row r="201" spans="1:38" x14ac:dyDescent="0.25">
      <c r="A201" s="38">
        <f>+Données!A201</f>
        <v>5730</v>
      </c>
      <c r="B201" s="250" t="str">
        <f>+Données!B201</f>
        <v>Trélex</v>
      </c>
      <c r="C201" s="238">
        <f>+Ecrêtage!C201</f>
        <v>111635.7900900901</v>
      </c>
      <c r="D201" s="236"/>
      <c r="E201" s="238">
        <f>Données!AF201+Données!AG201+Données!AH201</f>
        <v>429095</v>
      </c>
      <c r="F201" s="236">
        <f t="shared" si="25"/>
        <v>893086.3207207208</v>
      </c>
      <c r="G201" s="8">
        <f t="shared" si="27"/>
        <v>0</v>
      </c>
      <c r="H201" s="317">
        <f t="shared" si="28"/>
        <v>0</v>
      </c>
      <c r="J201" s="8">
        <f>Données!AN201</f>
        <v>31729</v>
      </c>
      <c r="K201" s="216">
        <f t="shared" si="26"/>
        <v>111635.7900900901</v>
      </c>
      <c r="L201" s="12">
        <f t="shared" si="29"/>
        <v>0</v>
      </c>
      <c r="M201" s="317">
        <f t="shared" si="30"/>
        <v>0</v>
      </c>
      <c r="O201" s="42">
        <f t="shared" si="24"/>
        <v>0</v>
      </c>
      <c r="P201" s="274"/>
      <c r="Q201" s="229"/>
      <c r="R201" s="229"/>
      <c r="S201" s="229"/>
      <c r="T201" s="229"/>
      <c r="U201" s="229"/>
      <c r="AF201" s="11"/>
      <c r="AG201" s="11"/>
      <c r="AH201" s="11"/>
      <c r="AI201" s="11"/>
      <c r="AJ201" s="11"/>
      <c r="AK201" s="11"/>
      <c r="AL201" s="11"/>
    </row>
    <row r="202" spans="1:38" x14ac:dyDescent="0.25">
      <c r="A202" s="38">
        <f>+Données!A202</f>
        <v>5731</v>
      </c>
      <c r="B202" s="250" t="str">
        <f>+Données!B202</f>
        <v>Le Vaud</v>
      </c>
      <c r="C202" s="238">
        <f>+Ecrêtage!C202</f>
        <v>63939.29295717035</v>
      </c>
      <c r="D202" s="236"/>
      <c r="E202" s="238">
        <f>Données!AF202+Données!AG202+Données!AH202</f>
        <v>564201</v>
      </c>
      <c r="F202" s="236">
        <f t="shared" si="25"/>
        <v>511514.3436573628</v>
      </c>
      <c r="G202" s="8">
        <f t="shared" si="27"/>
        <v>52686.656342637201</v>
      </c>
      <c r="H202" s="317">
        <f t="shared" si="28"/>
        <v>-39514.992256977901</v>
      </c>
      <c r="J202" s="8">
        <f>Données!AN202</f>
        <v>75083</v>
      </c>
      <c r="K202" s="216">
        <f t="shared" si="26"/>
        <v>63939.29295717035</v>
      </c>
      <c r="L202" s="12">
        <f t="shared" si="29"/>
        <v>11143.70704282965</v>
      </c>
      <c r="M202" s="317">
        <f t="shared" si="30"/>
        <v>-8357.7802821222376</v>
      </c>
      <c r="O202" s="42">
        <f t="shared" si="24"/>
        <v>-47872.772539100137</v>
      </c>
      <c r="P202" s="274"/>
      <c r="Q202" s="229"/>
      <c r="R202" s="229"/>
      <c r="S202" s="229"/>
      <c r="T202" s="229"/>
      <c r="U202" s="229"/>
      <c r="AF202" s="11"/>
      <c r="AG202" s="11"/>
      <c r="AH202" s="11"/>
      <c r="AI202" s="11"/>
      <c r="AJ202" s="11"/>
      <c r="AK202" s="11"/>
      <c r="AL202" s="11"/>
    </row>
    <row r="203" spans="1:38" x14ac:dyDescent="0.25">
      <c r="A203" s="38">
        <f>+Données!A203</f>
        <v>5732</v>
      </c>
      <c r="B203" s="250" t="str">
        <f>+Données!B203</f>
        <v>Vich</v>
      </c>
      <c r="C203" s="238">
        <f>+Ecrêtage!C203</f>
        <v>70997.378198271268</v>
      </c>
      <c r="D203" s="236"/>
      <c r="E203" s="238">
        <f>Données!AF203+Données!AG203+Données!AH203</f>
        <v>544082</v>
      </c>
      <c r="F203" s="236">
        <f t="shared" si="25"/>
        <v>567979.02558617014</v>
      </c>
      <c r="G203" s="8">
        <f t="shared" si="27"/>
        <v>0</v>
      </c>
      <c r="H203" s="317">
        <f t="shared" si="28"/>
        <v>0</v>
      </c>
      <c r="J203" s="8">
        <f>Données!AN203</f>
        <v>5761</v>
      </c>
      <c r="K203" s="216">
        <f t="shared" si="26"/>
        <v>70997.378198271268</v>
      </c>
      <c r="L203" s="12">
        <f t="shared" si="29"/>
        <v>0</v>
      </c>
      <c r="M203" s="317">
        <f t="shared" si="30"/>
        <v>0</v>
      </c>
      <c r="O203" s="42">
        <f t="shared" si="24"/>
        <v>0</v>
      </c>
      <c r="P203" s="274"/>
      <c r="Q203" s="229"/>
      <c r="R203" s="229"/>
      <c r="S203" s="229"/>
      <c r="T203" s="229"/>
      <c r="U203" s="229"/>
      <c r="AF203" s="11"/>
      <c r="AG203" s="11"/>
      <c r="AH203" s="11"/>
      <c r="AI203" s="11"/>
      <c r="AJ203" s="11"/>
      <c r="AK203" s="11"/>
      <c r="AL203" s="11"/>
    </row>
    <row r="204" spans="1:38" x14ac:dyDescent="0.25">
      <c r="A204" s="38">
        <f>+Données!A204</f>
        <v>5741</v>
      </c>
      <c r="B204" s="250" t="str">
        <f>+Données!B204</f>
        <v>L'Abergement</v>
      </c>
      <c r="C204" s="238">
        <f>+Ecrêtage!C204</f>
        <v>7367.4577774246782</v>
      </c>
      <c r="D204" s="236"/>
      <c r="E204" s="238">
        <f>Données!AF204+Données!AG204+Données!AH204</f>
        <v>178187</v>
      </c>
      <c r="F204" s="236">
        <f t="shared" si="25"/>
        <v>58939.662219397425</v>
      </c>
      <c r="G204" s="8">
        <f t="shared" si="27"/>
        <v>119247.33778060257</v>
      </c>
      <c r="H204" s="317">
        <f t="shared" si="28"/>
        <v>-89435.503335451926</v>
      </c>
      <c r="J204" s="8">
        <f>Données!AN204</f>
        <v>31501</v>
      </c>
      <c r="K204" s="216">
        <f t="shared" si="26"/>
        <v>7367.4577774246782</v>
      </c>
      <c r="L204" s="12">
        <f t="shared" si="29"/>
        <v>24133.542222575321</v>
      </c>
      <c r="M204" s="317">
        <f t="shared" si="30"/>
        <v>-18100.156666931493</v>
      </c>
      <c r="O204" s="42">
        <f t="shared" si="24"/>
        <v>-107535.66000238342</v>
      </c>
      <c r="P204" s="274"/>
      <c r="Q204" s="229"/>
      <c r="R204" s="229"/>
      <c r="S204" s="229"/>
      <c r="T204" s="229"/>
      <c r="U204" s="229"/>
      <c r="AF204" s="11"/>
      <c r="AG204" s="11"/>
      <c r="AH204" s="11"/>
      <c r="AI204" s="11"/>
      <c r="AJ204" s="11"/>
      <c r="AK204" s="11"/>
      <c r="AL204" s="11"/>
    </row>
    <row r="205" spans="1:38" x14ac:dyDescent="0.25">
      <c r="A205" s="38">
        <f>+Données!A205</f>
        <v>5742</v>
      </c>
      <c r="B205" s="250" t="str">
        <f>+Données!B205</f>
        <v>Agiez</v>
      </c>
      <c r="C205" s="238">
        <f>+Ecrêtage!C205</f>
        <v>8959.2362433179314</v>
      </c>
      <c r="D205" s="236"/>
      <c r="E205" s="238">
        <f>Données!AF205+Données!AG205+Données!AH205</f>
        <v>107483</v>
      </c>
      <c r="F205" s="236">
        <f t="shared" si="25"/>
        <v>71673.889946543452</v>
      </c>
      <c r="G205" s="8">
        <f t="shared" si="27"/>
        <v>35809.110053456548</v>
      </c>
      <c r="H205" s="317">
        <f t="shared" si="28"/>
        <v>-26856.832540092411</v>
      </c>
      <c r="J205" s="8">
        <f>Données!AN205</f>
        <v>19754</v>
      </c>
      <c r="K205" s="216">
        <f t="shared" si="26"/>
        <v>8959.2362433179314</v>
      </c>
      <c r="L205" s="12">
        <f t="shared" si="29"/>
        <v>10794.763756682069</v>
      </c>
      <c r="M205" s="317">
        <f t="shared" si="30"/>
        <v>-8096.072817511551</v>
      </c>
      <c r="O205" s="42">
        <f t="shared" si="24"/>
        <v>-34952.905357603959</v>
      </c>
      <c r="P205" s="274"/>
      <c r="Q205" s="229"/>
      <c r="R205" s="229"/>
      <c r="S205" s="229"/>
      <c r="T205" s="229"/>
      <c r="U205" s="229"/>
      <c r="AF205" s="11"/>
      <c r="AG205" s="11"/>
      <c r="AH205" s="11"/>
      <c r="AI205" s="11"/>
      <c r="AJ205" s="11"/>
      <c r="AK205" s="11"/>
      <c r="AL205" s="11"/>
    </row>
    <row r="206" spans="1:38" x14ac:dyDescent="0.25">
      <c r="A206" s="38">
        <f>+Données!A206</f>
        <v>5743</v>
      </c>
      <c r="B206" s="250" t="str">
        <f>+Données!B206</f>
        <v>Arnex-sur-Orbe</v>
      </c>
      <c r="C206" s="238">
        <f>+Ecrêtage!C206</f>
        <v>20545.993510231569</v>
      </c>
      <c r="D206" s="236"/>
      <c r="E206" s="238">
        <f>Données!AF206+Données!AG206+Données!AH206</f>
        <v>277332</v>
      </c>
      <c r="F206" s="236">
        <f t="shared" si="25"/>
        <v>164367.94808185255</v>
      </c>
      <c r="G206" s="8">
        <f t="shared" si="27"/>
        <v>112964.05191814745</v>
      </c>
      <c r="H206" s="317">
        <f t="shared" si="28"/>
        <v>-84723.038938610582</v>
      </c>
      <c r="J206" s="8">
        <f>Données!AN206</f>
        <v>9326</v>
      </c>
      <c r="K206" s="216">
        <f t="shared" si="26"/>
        <v>20545.993510231569</v>
      </c>
      <c r="L206" s="12">
        <f t="shared" si="29"/>
        <v>0</v>
      </c>
      <c r="M206" s="317">
        <f t="shared" si="30"/>
        <v>0</v>
      </c>
      <c r="O206" s="42">
        <f t="shared" si="24"/>
        <v>-84723.038938610582</v>
      </c>
      <c r="P206" s="274"/>
      <c r="Q206" s="229"/>
      <c r="R206" s="229"/>
      <c r="S206" s="229"/>
      <c r="T206" s="229"/>
      <c r="U206" s="229"/>
      <c r="AF206" s="11"/>
      <c r="AG206" s="11"/>
      <c r="AH206" s="11"/>
      <c r="AI206" s="11"/>
      <c r="AJ206" s="11"/>
      <c r="AK206" s="11"/>
      <c r="AL206" s="11"/>
    </row>
    <row r="207" spans="1:38" x14ac:dyDescent="0.25">
      <c r="A207" s="38">
        <f>+Données!A207</f>
        <v>5744</v>
      </c>
      <c r="B207" s="250" t="str">
        <f>+Données!B207</f>
        <v>Ballaigues</v>
      </c>
      <c r="C207" s="238">
        <f>+Ecrêtage!C207</f>
        <v>40192.729547040028</v>
      </c>
      <c r="D207" s="236"/>
      <c r="E207" s="238">
        <f>Données!AF207+Données!AG207+Données!AH207</f>
        <v>765736</v>
      </c>
      <c r="F207" s="236">
        <f t="shared" si="25"/>
        <v>321541.83637632022</v>
      </c>
      <c r="G207" s="8">
        <f t="shared" si="27"/>
        <v>444194.16362367978</v>
      </c>
      <c r="H207" s="317">
        <f t="shared" si="28"/>
        <v>-333145.6227177598</v>
      </c>
      <c r="J207" s="8">
        <f>Données!AN207</f>
        <v>96819</v>
      </c>
      <c r="K207" s="216">
        <f t="shared" si="26"/>
        <v>40192.729547040028</v>
      </c>
      <c r="L207" s="12">
        <f t="shared" si="29"/>
        <v>56626.270452959972</v>
      </c>
      <c r="M207" s="317">
        <f t="shared" si="30"/>
        <v>-42469.702839719976</v>
      </c>
      <c r="O207" s="42">
        <f t="shared" si="24"/>
        <v>-375615.32555747975</v>
      </c>
      <c r="P207" s="274"/>
      <c r="Q207" s="229"/>
      <c r="R207" s="229"/>
      <c r="S207" s="229"/>
      <c r="T207" s="229"/>
      <c r="U207" s="229"/>
      <c r="AF207" s="11"/>
      <c r="AG207" s="11"/>
      <c r="AH207" s="11"/>
      <c r="AI207" s="11"/>
      <c r="AJ207" s="11"/>
      <c r="AK207" s="11"/>
      <c r="AL207" s="11"/>
    </row>
    <row r="208" spans="1:38" x14ac:dyDescent="0.25">
      <c r="A208" s="38">
        <f>+Données!A208</f>
        <v>5745</v>
      </c>
      <c r="B208" s="250" t="str">
        <f>+Données!B208</f>
        <v>Baulmes</v>
      </c>
      <c r="C208" s="238">
        <f>+Ecrêtage!C208</f>
        <v>26823.608187065354</v>
      </c>
      <c r="D208" s="236"/>
      <c r="E208" s="238">
        <f>Données!AF208+Données!AG208+Données!AH208</f>
        <v>370336</v>
      </c>
      <c r="F208" s="236">
        <f t="shared" si="25"/>
        <v>214588.86549652283</v>
      </c>
      <c r="G208" s="8">
        <f t="shared" si="27"/>
        <v>155747.13450347717</v>
      </c>
      <c r="H208" s="317">
        <f t="shared" si="28"/>
        <v>-116810.35087760788</v>
      </c>
      <c r="J208" s="8">
        <f>Données!AN208</f>
        <v>428376</v>
      </c>
      <c r="K208" s="216">
        <f t="shared" si="26"/>
        <v>26823.608187065354</v>
      </c>
      <c r="L208" s="12">
        <f t="shared" si="29"/>
        <v>401552.39181293466</v>
      </c>
      <c r="M208" s="317">
        <f t="shared" si="30"/>
        <v>-301164.29385970102</v>
      </c>
      <c r="O208" s="42">
        <f t="shared" si="24"/>
        <v>-417974.6447373089</v>
      </c>
      <c r="P208" s="274"/>
      <c r="Q208" s="229"/>
      <c r="R208" s="229"/>
      <c r="S208" s="229"/>
      <c r="T208" s="229"/>
      <c r="U208" s="229"/>
      <c r="AF208" s="11"/>
      <c r="AG208" s="11"/>
      <c r="AH208" s="11"/>
      <c r="AI208" s="11"/>
      <c r="AJ208" s="11"/>
      <c r="AK208" s="11"/>
      <c r="AL208" s="11"/>
    </row>
    <row r="209" spans="1:38" x14ac:dyDescent="0.25">
      <c r="A209" s="38">
        <f>+Données!A209</f>
        <v>5746</v>
      </c>
      <c r="B209" s="250" t="str">
        <f>+Données!B209</f>
        <v>Bavois</v>
      </c>
      <c r="C209" s="238">
        <f>+Ecrêtage!C209</f>
        <v>30464.573561146077</v>
      </c>
      <c r="D209" s="236"/>
      <c r="E209" s="238">
        <f>Données!AF209+Données!AG209+Données!AH209</f>
        <v>472281</v>
      </c>
      <c r="F209" s="236">
        <f t="shared" si="25"/>
        <v>243716.58848916861</v>
      </c>
      <c r="G209" s="8">
        <f t="shared" si="27"/>
        <v>228564.41151083139</v>
      </c>
      <c r="H209" s="317">
        <f t="shared" si="28"/>
        <v>-171423.30863312352</v>
      </c>
      <c r="J209" s="8">
        <f>Données!AN209</f>
        <v>44332</v>
      </c>
      <c r="K209" s="216">
        <f t="shared" si="26"/>
        <v>30464.573561146077</v>
      </c>
      <c r="L209" s="12">
        <f t="shared" si="29"/>
        <v>13867.426438853923</v>
      </c>
      <c r="M209" s="317">
        <f t="shared" si="30"/>
        <v>-10400.569829140442</v>
      </c>
      <c r="O209" s="42">
        <f t="shared" si="24"/>
        <v>-181823.87846226397</v>
      </c>
      <c r="P209" s="274"/>
      <c r="Q209" s="229"/>
      <c r="R209" s="229"/>
      <c r="S209" s="229"/>
      <c r="T209" s="229"/>
      <c r="U209" s="229"/>
      <c r="AF209" s="11"/>
      <c r="AG209" s="11"/>
      <c r="AH209" s="11"/>
      <c r="AI209" s="11"/>
      <c r="AJ209" s="11"/>
      <c r="AK209" s="11"/>
      <c r="AL209" s="11"/>
    </row>
    <row r="210" spans="1:38" x14ac:dyDescent="0.25">
      <c r="A210" s="38">
        <f>+Données!A210</f>
        <v>5747</v>
      </c>
      <c r="B210" s="250" t="str">
        <f>+Données!B210</f>
        <v>Bofflens</v>
      </c>
      <c r="C210" s="238">
        <f>+Ecrêtage!C210</f>
        <v>5602.2513601016635</v>
      </c>
      <c r="D210" s="236"/>
      <c r="E210" s="238">
        <f>Données!AF210+Données!AG210+Données!AH210</f>
        <v>77870</v>
      </c>
      <c r="F210" s="236">
        <f t="shared" si="25"/>
        <v>44818.010880813308</v>
      </c>
      <c r="G210" s="8">
        <f t="shared" si="27"/>
        <v>33051.989119186692</v>
      </c>
      <c r="H210" s="317">
        <f t="shared" si="28"/>
        <v>-24788.991839390019</v>
      </c>
      <c r="J210" s="8">
        <f>Données!AN210</f>
        <v>-12960</v>
      </c>
      <c r="K210" s="216">
        <f t="shared" si="26"/>
        <v>5602.2513601016635</v>
      </c>
      <c r="L210" s="12">
        <f t="shared" si="29"/>
        <v>0</v>
      </c>
      <c r="M210" s="317">
        <f t="shared" si="30"/>
        <v>0</v>
      </c>
      <c r="O210" s="42">
        <f t="shared" si="24"/>
        <v>-24788.991839390019</v>
      </c>
      <c r="P210" s="274"/>
      <c r="Q210" s="229"/>
      <c r="R210" s="229"/>
      <c r="S210" s="229"/>
      <c r="T210" s="229"/>
      <c r="U210" s="229"/>
      <c r="AF210" s="11"/>
      <c r="AG210" s="11"/>
      <c r="AH210" s="11"/>
      <c r="AI210" s="11"/>
      <c r="AJ210" s="11"/>
      <c r="AK210" s="11"/>
      <c r="AL210" s="11"/>
    </row>
    <row r="211" spans="1:38" x14ac:dyDescent="0.25">
      <c r="A211" s="38">
        <f>+Données!A211</f>
        <v>5748</v>
      </c>
      <c r="B211" s="250" t="str">
        <f>+Données!B211</f>
        <v>Bretonnières</v>
      </c>
      <c r="C211" s="238">
        <f>+Ecrêtage!C211</f>
        <v>5788.8837637987526</v>
      </c>
      <c r="D211" s="236"/>
      <c r="E211" s="238">
        <f>Données!AF211+Données!AG211+Données!AH211</f>
        <v>111632</v>
      </c>
      <c r="F211" s="236">
        <f t="shared" si="25"/>
        <v>46311.070110390021</v>
      </c>
      <c r="G211" s="8">
        <f t="shared" si="27"/>
        <v>65320.929889609979</v>
      </c>
      <c r="H211" s="317">
        <f t="shared" si="28"/>
        <v>-48990.697417207484</v>
      </c>
      <c r="J211" s="8">
        <f>Données!AN211</f>
        <v>7719</v>
      </c>
      <c r="K211" s="216">
        <f t="shared" si="26"/>
        <v>5788.8837637987526</v>
      </c>
      <c r="L211" s="12">
        <f t="shared" si="29"/>
        <v>1930.1162362012474</v>
      </c>
      <c r="M211" s="317">
        <f t="shared" si="30"/>
        <v>-1447.5871771509355</v>
      </c>
      <c r="O211" s="42">
        <f t="shared" si="24"/>
        <v>-50438.284594358418</v>
      </c>
      <c r="P211" s="274"/>
      <c r="Q211" s="229"/>
      <c r="R211" s="229"/>
      <c r="S211" s="229"/>
      <c r="T211" s="229"/>
      <c r="U211" s="229"/>
      <c r="AF211" s="11"/>
      <c r="AG211" s="11"/>
      <c r="AH211" s="11"/>
      <c r="AI211" s="11"/>
      <c r="AJ211" s="11"/>
      <c r="AK211" s="11"/>
      <c r="AL211" s="11"/>
    </row>
    <row r="212" spans="1:38" x14ac:dyDescent="0.25">
      <c r="A212" s="38">
        <f>+Données!A212</f>
        <v>5749</v>
      </c>
      <c r="B212" s="250" t="str">
        <f>+Données!B212</f>
        <v>Chavornay</v>
      </c>
      <c r="C212" s="238">
        <f>+Ecrêtage!C212</f>
        <v>140636.14212812972</v>
      </c>
      <c r="D212" s="236"/>
      <c r="E212" s="238">
        <f>Données!AF212+Données!AG212+Données!AH212</f>
        <v>1867113</v>
      </c>
      <c r="F212" s="236">
        <f t="shared" si="25"/>
        <v>1125089.1370250378</v>
      </c>
      <c r="G212" s="8">
        <f t="shared" si="27"/>
        <v>742023.86297496222</v>
      </c>
      <c r="H212" s="317">
        <f t="shared" si="28"/>
        <v>-556517.89723122166</v>
      </c>
      <c r="J212" s="8">
        <f>Données!AN212</f>
        <v>228061</v>
      </c>
      <c r="K212" s="216">
        <f t="shared" si="26"/>
        <v>140636.14212812972</v>
      </c>
      <c r="L212" s="12">
        <f t="shared" si="29"/>
        <v>87424.857871870277</v>
      </c>
      <c r="M212" s="317">
        <f t="shared" si="30"/>
        <v>-65568.643403902708</v>
      </c>
      <c r="O212" s="42">
        <f t="shared" si="24"/>
        <v>-622086.54063512431</v>
      </c>
      <c r="P212" s="274"/>
      <c r="Q212" s="229"/>
      <c r="R212" s="229"/>
      <c r="S212" s="229"/>
      <c r="T212" s="229"/>
      <c r="U212" s="229"/>
      <c r="AF212" s="11"/>
      <c r="AG212" s="11"/>
      <c r="AH212" s="11"/>
      <c r="AI212" s="11"/>
      <c r="AJ212" s="11"/>
      <c r="AK212" s="11"/>
      <c r="AL212" s="11"/>
    </row>
    <row r="213" spans="1:38" x14ac:dyDescent="0.25">
      <c r="A213" s="38">
        <f>+Données!A213</f>
        <v>5750</v>
      </c>
      <c r="B213" s="250" t="str">
        <f>+Données!B213</f>
        <v>Les Clées</v>
      </c>
      <c r="C213" s="238">
        <f>+Ecrêtage!C213</f>
        <v>6038.046875</v>
      </c>
      <c r="D213" s="236"/>
      <c r="E213" s="238">
        <f>Données!AF213+Données!AG213+Données!AH213</f>
        <v>70724</v>
      </c>
      <c r="F213" s="236">
        <f t="shared" si="25"/>
        <v>48304.375</v>
      </c>
      <c r="G213" s="8">
        <f t="shared" si="27"/>
        <v>22419.625</v>
      </c>
      <c r="H213" s="317">
        <f t="shared" si="28"/>
        <v>-16814.71875</v>
      </c>
      <c r="J213" s="8">
        <f>Données!AN213</f>
        <v>38986</v>
      </c>
      <c r="K213" s="216">
        <f t="shared" si="26"/>
        <v>6038.046875</v>
      </c>
      <c r="L213" s="12">
        <f t="shared" si="29"/>
        <v>32947.953125</v>
      </c>
      <c r="M213" s="317">
        <f t="shared" si="30"/>
        <v>-24710.96484375</v>
      </c>
      <c r="O213" s="42">
        <f t="shared" si="24"/>
        <v>-41525.68359375</v>
      </c>
      <c r="P213" s="274"/>
      <c r="Q213" s="229"/>
      <c r="R213" s="229"/>
      <c r="S213" s="229"/>
      <c r="T213" s="229"/>
      <c r="U213" s="229"/>
      <c r="AF213" s="11"/>
      <c r="AG213" s="11"/>
      <c r="AH213" s="11"/>
      <c r="AI213" s="11"/>
      <c r="AJ213" s="11"/>
      <c r="AK213" s="11"/>
      <c r="AL213" s="11"/>
    </row>
    <row r="214" spans="1:38" x14ac:dyDescent="0.25">
      <c r="A214" s="38">
        <f>+Données!A214</f>
        <v>5752</v>
      </c>
      <c r="B214" s="250" t="str">
        <f>+Données!B214</f>
        <v>Croy</v>
      </c>
      <c r="C214" s="238">
        <f>+Ecrêtage!C214</f>
        <v>9413.4881132598912</v>
      </c>
      <c r="D214" s="236"/>
      <c r="E214" s="238">
        <f>Données!AF214+Données!AG214+Données!AH214</f>
        <v>77784</v>
      </c>
      <c r="F214" s="236">
        <f t="shared" si="25"/>
        <v>75307.904906079129</v>
      </c>
      <c r="G214" s="8">
        <f t="shared" si="27"/>
        <v>2476.0950939208706</v>
      </c>
      <c r="H214" s="317">
        <f t="shared" si="28"/>
        <v>-1857.0713204406529</v>
      </c>
      <c r="J214" s="8">
        <f>Données!AN214</f>
        <v>8135</v>
      </c>
      <c r="K214" s="216">
        <f t="shared" si="26"/>
        <v>9413.4881132598912</v>
      </c>
      <c r="L214" s="12">
        <f t="shared" si="29"/>
        <v>0</v>
      </c>
      <c r="M214" s="317">
        <f t="shared" si="30"/>
        <v>0</v>
      </c>
      <c r="O214" s="42">
        <f t="shared" si="24"/>
        <v>-1857.0713204406529</v>
      </c>
      <c r="P214" s="274"/>
      <c r="Q214" s="229"/>
      <c r="R214" s="229"/>
      <c r="S214" s="229"/>
      <c r="T214" s="229"/>
      <c r="U214" s="229"/>
      <c r="AF214" s="11"/>
      <c r="AG214" s="11"/>
      <c r="AH214" s="11"/>
      <c r="AI214" s="11"/>
      <c r="AJ214" s="11"/>
      <c r="AK214" s="11"/>
      <c r="AL214" s="11"/>
    </row>
    <row r="215" spans="1:38" x14ac:dyDescent="0.25">
      <c r="A215" s="38">
        <f>+Données!A215</f>
        <v>5754</v>
      </c>
      <c r="B215" s="250" t="str">
        <f>+Données!B215</f>
        <v>Juriens</v>
      </c>
      <c r="C215" s="238">
        <f>+Ecrêtage!C215</f>
        <v>8043.2571951290693</v>
      </c>
      <c r="D215" s="236"/>
      <c r="E215" s="238">
        <f>Données!AF215+Données!AG215+Données!AH215</f>
        <v>104811</v>
      </c>
      <c r="F215" s="236">
        <f t="shared" si="25"/>
        <v>64346.057561032554</v>
      </c>
      <c r="G215" s="8">
        <f t="shared" si="27"/>
        <v>40464.942438967446</v>
      </c>
      <c r="H215" s="317">
        <f t="shared" si="28"/>
        <v>-30348.706829225586</v>
      </c>
      <c r="J215" s="8">
        <f>Données!AN215</f>
        <v>51931</v>
      </c>
      <c r="K215" s="216">
        <f t="shared" si="26"/>
        <v>8043.2571951290693</v>
      </c>
      <c r="L215" s="12">
        <f t="shared" si="29"/>
        <v>43887.742804870933</v>
      </c>
      <c r="M215" s="317">
        <f t="shared" si="30"/>
        <v>-32915.807103653198</v>
      </c>
      <c r="O215" s="42">
        <f t="shared" si="24"/>
        <v>-63264.513932878785</v>
      </c>
      <c r="P215" s="274"/>
      <c r="Q215" s="229"/>
      <c r="R215" s="229"/>
      <c r="S215" s="229"/>
      <c r="T215" s="229"/>
      <c r="U215" s="229"/>
      <c r="AF215" s="11"/>
      <c r="AG215" s="11"/>
      <c r="AH215" s="11"/>
      <c r="AI215" s="11"/>
      <c r="AJ215" s="11"/>
      <c r="AK215" s="11"/>
      <c r="AL215" s="11"/>
    </row>
    <row r="216" spans="1:38" x14ac:dyDescent="0.25">
      <c r="A216" s="38">
        <f>+Données!A216</f>
        <v>5755</v>
      </c>
      <c r="B216" s="250" t="str">
        <f>+Données!B216</f>
        <v>Lignerolle</v>
      </c>
      <c r="C216" s="238">
        <f>+Ecrêtage!C216</f>
        <v>9053.1652859085789</v>
      </c>
      <c r="D216" s="236"/>
      <c r="E216" s="238">
        <f>Données!AF216+Données!AG216+Données!AH216</f>
        <v>706442</v>
      </c>
      <c r="F216" s="236">
        <f t="shared" si="25"/>
        <v>72425.322287268631</v>
      </c>
      <c r="G216" s="8">
        <f t="shared" si="27"/>
        <v>634016.67771273141</v>
      </c>
      <c r="H216" s="317">
        <f t="shared" si="28"/>
        <v>-475512.50828454853</v>
      </c>
      <c r="J216" s="8">
        <f>Données!AN216</f>
        <v>71125</v>
      </c>
      <c r="K216" s="216">
        <f t="shared" si="26"/>
        <v>9053.1652859085789</v>
      </c>
      <c r="L216" s="12">
        <f t="shared" si="29"/>
        <v>62071.834714091419</v>
      </c>
      <c r="M216" s="317">
        <f t="shared" si="30"/>
        <v>-46553.876035568566</v>
      </c>
      <c r="O216" s="42">
        <f t="shared" si="24"/>
        <v>-522066.38432011707</v>
      </c>
      <c r="P216" s="274"/>
      <c r="Q216" s="229"/>
      <c r="R216" s="229"/>
      <c r="S216" s="229"/>
      <c r="T216" s="229"/>
      <c r="U216" s="229"/>
      <c r="AF216" s="11"/>
      <c r="AG216" s="11"/>
      <c r="AH216" s="11"/>
      <c r="AI216" s="11"/>
      <c r="AJ216" s="11"/>
      <c r="AK216" s="11"/>
      <c r="AL216" s="11"/>
    </row>
    <row r="217" spans="1:38" x14ac:dyDescent="0.25">
      <c r="A217" s="38">
        <f>+Données!A217</f>
        <v>5756</v>
      </c>
      <c r="B217" s="250" t="str">
        <f>+Données!B217</f>
        <v>Montcherand</v>
      </c>
      <c r="C217" s="238">
        <f>+Ecrêtage!C217</f>
        <v>15753.043205801514</v>
      </c>
      <c r="D217" s="236"/>
      <c r="E217" s="238">
        <f>Données!AF217+Données!AG217+Données!AH217</f>
        <v>223943</v>
      </c>
      <c r="F217" s="236">
        <f t="shared" si="25"/>
        <v>126024.34564641211</v>
      </c>
      <c r="G217" s="8">
        <f t="shared" si="27"/>
        <v>97918.654353587888</v>
      </c>
      <c r="H217" s="317">
        <f t="shared" si="28"/>
        <v>-73438.990765190916</v>
      </c>
      <c r="J217" s="8">
        <f>Données!AN217</f>
        <v>10804</v>
      </c>
      <c r="K217" s="216">
        <f t="shared" si="26"/>
        <v>15753.043205801514</v>
      </c>
      <c r="L217" s="12">
        <f t="shared" si="29"/>
        <v>0</v>
      </c>
      <c r="M217" s="317">
        <f t="shared" si="30"/>
        <v>0</v>
      </c>
      <c r="O217" s="42">
        <f t="shared" si="24"/>
        <v>-73438.990765190916</v>
      </c>
      <c r="P217" s="274"/>
      <c r="Q217" s="229"/>
      <c r="R217" s="229"/>
      <c r="S217" s="229"/>
      <c r="T217" s="229"/>
      <c r="U217" s="229"/>
      <c r="AF217" s="11"/>
      <c r="AG217" s="11"/>
      <c r="AH217" s="11"/>
      <c r="AI217" s="11"/>
      <c r="AJ217" s="11"/>
      <c r="AK217" s="11"/>
      <c r="AL217" s="11"/>
    </row>
    <row r="218" spans="1:38" x14ac:dyDescent="0.25">
      <c r="A218" s="38">
        <f>+Données!A218</f>
        <v>5757</v>
      </c>
      <c r="B218" s="250" t="str">
        <f>+Données!B218</f>
        <v>Orbe</v>
      </c>
      <c r="C218" s="238">
        <f>+Ecrêtage!C218</f>
        <v>203477.21355711605</v>
      </c>
      <c r="D218" s="236"/>
      <c r="E218" s="238">
        <f>Données!AF218+Données!AG218+Données!AH218</f>
        <v>4254426</v>
      </c>
      <c r="F218" s="236">
        <f t="shared" si="25"/>
        <v>1627817.7084569284</v>
      </c>
      <c r="G218" s="8">
        <f t="shared" si="27"/>
        <v>2626608.2915430716</v>
      </c>
      <c r="H218" s="317">
        <f t="shared" si="28"/>
        <v>-1969956.2186573036</v>
      </c>
      <c r="J218" s="8">
        <f>Données!AN218</f>
        <v>98544</v>
      </c>
      <c r="K218" s="216">
        <f t="shared" si="26"/>
        <v>203477.21355711605</v>
      </c>
      <c r="L218" s="12">
        <f t="shared" si="29"/>
        <v>0</v>
      </c>
      <c r="M218" s="317">
        <f t="shared" si="30"/>
        <v>0</v>
      </c>
      <c r="O218" s="42">
        <f t="shared" si="24"/>
        <v>-1969956.2186573036</v>
      </c>
      <c r="P218" s="274"/>
      <c r="Q218" s="229"/>
      <c r="R218" s="229"/>
      <c r="S218" s="229"/>
      <c r="T218" s="229"/>
      <c r="U218" s="229"/>
      <c r="AF218" s="11"/>
      <c r="AG218" s="11"/>
      <c r="AH218" s="11"/>
      <c r="AI218" s="11"/>
      <c r="AJ218" s="11"/>
      <c r="AK218" s="11"/>
      <c r="AL218" s="11"/>
    </row>
    <row r="219" spans="1:38" x14ac:dyDescent="0.25">
      <c r="A219" s="38">
        <f>+Données!A219</f>
        <v>5758</v>
      </c>
      <c r="B219" s="250" t="str">
        <f>+Données!B219</f>
        <v>La Praz</v>
      </c>
      <c r="C219" s="238">
        <f>+Ecrêtage!C219</f>
        <v>4311.7430790337894</v>
      </c>
      <c r="D219" s="236"/>
      <c r="E219" s="238">
        <f>Données!AF219+Données!AG219+Données!AH219</f>
        <v>40352</v>
      </c>
      <c r="F219" s="236">
        <f t="shared" si="25"/>
        <v>34493.944632270315</v>
      </c>
      <c r="G219" s="8">
        <f t="shared" si="27"/>
        <v>5858.0553677296848</v>
      </c>
      <c r="H219" s="317">
        <f t="shared" si="28"/>
        <v>-4393.5415257972636</v>
      </c>
      <c r="J219" s="8">
        <f>Données!AN219</f>
        <v>12529</v>
      </c>
      <c r="K219" s="216">
        <f t="shared" si="26"/>
        <v>4311.7430790337894</v>
      </c>
      <c r="L219" s="12">
        <f t="shared" si="29"/>
        <v>8217.2569209662106</v>
      </c>
      <c r="M219" s="317">
        <f t="shared" si="30"/>
        <v>-6162.942690724658</v>
      </c>
      <c r="O219" s="42">
        <f t="shared" si="24"/>
        <v>-10556.484216521922</v>
      </c>
      <c r="P219" s="274"/>
      <c r="Q219" s="229"/>
      <c r="R219" s="229"/>
      <c r="S219" s="229"/>
      <c r="T219" s="229"/>
      <c r="U219" s="229"/>
      <c r="AF219" s="11"/>
      <c r="AG219" s="11"/>
      <c r="AH219" s="11"/>
      <c r="AI219" s="11"/>
      <c r="AJ219" s="11"/>
      <c r="AK219" s="11"/>
      <c r="AL219" s="11"/>
    </row>
    <row r="220" spans="1:38" x14ac:dyDescent="0.25">
      <c r="A220" s="38">
        <f>+Données!A220</f>
        <v>5759</v>
      </c>
      <c r="B220" s="250" t="str">
        <f>+Données!B220</f>
        <v>Premier</v>
      </c>
      <c r="C220" s="238">
        <f>+Ecrêtage!C220</f>
        <v>5307.2435849357244</v>
      </c>
      <c r="D220" s="236"/>
      <c r="E220" s="238">
        <f>Données!AF220+Données!AG220+Données!AH220</f>
        <v>114556</v>
      </c>
      <c r="F220" s="236">
        <f t="shared" si="25"/>
        <v>42457.948679485795</v>
      </c>
      <c r="G220" s="8">
        <f t="shared" si="27"/>
        <v>72098.051320514205</v>
      </c>
      <c r="H220" s="317">
        <f t="shared" si="28"/>
        <v>-54073.538490385654</v>
      </c>
      <c r="J220" s="8">
        <f>Données!AN220</f>
        <v>7599</v>
      </c>
      <c r="K220" s="216">
        <f t="shared" si="26"/>
        <v>5307.2435849357244</v>
      </c>
      <c r="L220" s="12">
        <f t="shared" si="29"/>
        <v>2291.7564150642756</v>
      </c>
      <c r="M220" s="317">
        <f t="shared" si="30"/>
        <v>-1718.8173112982067</v>
      </c>
      <c r="O220" s="42">
        <f t="shared" ref="O220:O251" si="31">M220+H220</f>
        <v>-55792.355801683858</v>
      </c>
      <c r="P220" s="274"/>
      <c r="Q220" s="229"/>
      <c r="R220" s="229"/>
      <c r="S220" s="229"/>
      <c r="T220" s="229"/>
      <c r="U220" s="229"/>
      <c r="AF220" s="11"/>
      <c r="AG220" s="11"/>
      <c r="AH220" s="11"/>
      <c r="AI220" s="11"/>
      <c r="AJ220" s="11"/>
      <c r="AK220" s="11"/>
      <c r="AL220" s="11"/>
    </row>
    <row r="221" spans="1:38" x14ac:dyDescent="0.25">
      <c r="A221" s="38">
        <f>+Données!A221</f>
        <v>5760</v>
      </c>
      <c r="B221" s="250" t="str">
        <f>+Données!B221</f>
        <v>Rances</v>
      </c>
      <c r="C221" s="238">
        <f>+Ecrêtage!C221</f>
        <v>12825.206275823581</v>
      </c>
      <c r="D221" s="236"/>
      <c r="E221" s="238">
        <f>Données!AF221+Données!AG221+Données!AH221</f>
        <v>187551</v>
      </c>
      <c r="F221" s="236">
        <f t="shared" si="25"/>
        <v>102601.65020658865</v>
      </c>
      <c r="G221" s="8">
        <f t="shared" si="27"/>
        <v>84949.349793411355</v>
      </c>
      <c r="H221" s="317">
        <f t="shared" si="28"/>
        <v>-63712.012345058516</v>
      </c>
      <c r="J221" s="8">
        <f>Données!AN221</f>
        <v>132701</v>
      </c>
      <c r="K221" s="216">
        <f t="shared" si="26"/>
        <v>12825.206275823581</v>
      </c>
      <c r="L221" s="12">
        <f t="shared" si="29"/>
        <v>119875.79372417642</v>
      </c>
      <c r="M221" s="317">
        <f t="shared" si="30"/>
        <v>-89906.845293132312</v>
      </c>
      <c r="O221" s="42">
        <f t="shared" si="31"/>
        <v>-153618.85763819082</v>
      </c>
      <c r="P221" s="274"/>
      <c r="Q221" s="229"/>
      <c r="R221" s="229"/>
      <c r="S221" s="229"/>
      <c r="T221" s="229"/>
      <c r="U221" s="229"/>
      <c r="AF221" s="11"/>
      <c r="AG221" s="11"/>
      <c r="AH221" s="11"/>
      <c r="AI221" s="11"/>
      <c r="AJ221" s="11"/>
      <c r="AK221" s="11"/>
      <c r="AL221" s="11"/>
    </row>
    <row r="222" spans="1:38" x14ac:dyDescent="0.25">
      <c r="A222" s="38">
        <f>+Données!A222</f>
        <v>5761</v>
      </c>
      <c r="B222" s="250" t="str">
        <f>+Données!B222</f>
        <v>Romainmôtier-Envy</v>
      </c>
      <c r="C222" s="238">
        <f>+Ecrêtage!C222</f>
        <v>12133.770909516334</v>
      </c>
      <c r="D222" s="236"/>
      <c r="E222" s="238">
        <f>Données!AF222+Données!AG222+Données!AH222</f>
        <v>363058</v>
      </c>
      <c r="F222" s="236">
        <f t="shared" si="25"/>
        <v>97070.167276130669</v>
      </c>
      <c r="G222" s="8">
        <f t="shared" si="27"/>
        <v>265987.83272386936</v>
      </c>
      <c r="H222" s="317">
        <f t="shared" si="28"/>
        <v>-199490.87454290202</v>
      </c>
      <c r="J222" s="8">
        <f>Données!AN222</f>
        <v>4358</v>
      </c>
      <c r="K222" s="216">
        <f t="shared" si="26"/>
        <v>12133.770909516334</v>
      </c>
      <c r="L222" s="12">
        <f t="shared" si="29"/>
        <v>0</v>
      </c>
      <c r="M222" s="317">
        <f t="shared" si="30"/>
        <v>0</v>
      </c>
      <c r="O222" s="42">
        <f t="shared" si="31"/>
        <v>-199490.87454290202</v>
      </c>
      <c r="P222" s="274"/>
      <c r="Q222" s="229"/>
      <c r="R222" s="229"/>
      <c r="S222" s="229"/>
      <c r="T222" s="229"/>
      <c r="U222" s="229"/>
      <c r="AF222" s="11"/>
      <c r="AG222" s="11"/>
      <c r="AH222" s="11"/>
      <c r="AI222" s="11"/>
      <c r="AJ222" s="11"/>
      <c r="AK222" s="11"/>
      <c r="AL222" s="11"/>
    </row>
    <row r="223" spans="1:38" x14ac:dyDescent="0.25">
      <c r="A223" s="38">
        <f>+Données!A223</f>
        <v>5762</v>
      </c>
      <c r="B223" s="250" t="str">
        <f>+Données!B223</f>
        <v>Sergey</v>
      </c>
      <c r="C223" s="238">
        <f>+Ecrêtage!C223</f>
        <v>3771.973692411721</v>
      </c>
      <c r="D223" s="236"/>
      <c r="E223" s="238">
        <f>Données!AF223+Données!AG223+Données!AH223</f>
        <v>59056</v>
      </c>
      <c r="F223" s="236">
        <f t="shared" si="25"/>
        <v>30175.789539293768</v>
      </c>
      <c r="G223" s="8">
        <f t="shared" si="27"/>
        <v>28880.210460706232</v>
      </c>
      <c r="H223" s="317">
        <f t="shared" si="28"/>
        <v>-21660.157845529673</v>
      </c>
      <c r="J223" s="8">
        <f>Données!AN223</f>
        <v>10854</v>
      </c>
      <c r="K223" s="216">
        <f t="shared" si="26"/>
        <v>3771.973692411721</v>
      </c>
      <c r="L223" s="12">
        <f t="shared" si="29"/>
        <v>7082.0263075882795</v>
      </c>
      <c r="M223" s="317">
        <f t="shared" si="30"/>
        <v>-5311.5197306912096</v>
      </c>
      <c r="O223" s="42">
        <f t="shared" si="31"/>
        <v>-26971.677576220882</v>
      </c>
      <c r="P223" s="274"/>
      <c r="Q223" s="229"/>
      <c r="R223" s="229"/>
      <c r="S223" s="229"/>
      <c r="T223" s="229"/>
      <c r="U223" s="229"/>
      <c r="AF223" s="11"/>
      <c r="AG223" s="11"/>
      <c r="AH223" s="11"/>
      <c r="AI223" s="11"/>
      <c r="AJ223" s="11"/>
      <c r="AK223" s="11"/>
      <c r="AL223" s="11"/>
    </row>
    <row r="224" spans="1:38" x14ac:dyDescent="0.25">
      <c r="A224" s="38">
        <f>+Données!A224</f>
        <v>5763</v>
      </c>
      <c r="B224" s="250" t="str">
        <f>+Données!B224</f>
        <v>Valeyres-sous-Rances</v>
      </c>
      <c r="C224" s="238">
        <f>+Ecrêtage!C224</f>
        <v>20450.878825889598</v>
      </c>
      <c r="D224" s="236"/>
      <c r="E224" s="238">
        <f>Données!AF224+Données!AG224+Données!AH224</f>
        <v>267082</v>
      </c>
      <c r="F224" s="236">
        <f t="shared" si="25"/>
        <v>163607.03060711679</v>
      </c>
      <c r="G224" s="8">
        <f t="shared" si="27"/>
        <v>103474.96939288321</v>
      </c>
      <c r="H224" s="317">
        <f t="shared" si="28"/>
        <v>-77606.227044662402</v>
      </c>
      <c r="J224" s="8">
        <f>Données!AN224</f>
        <v>70952</v>
      </c>
      <c r="K224" s="216">
        <f t="shared" si="26"/>
        <v>20450.878825889598</v>
      </c>
      <c r="L224" s="12">
        <f t="shared" si="29"/>
        <v>50501.121174110405</v>
      </c>
      <c r="M224" s="317">
        <f t="shared" si="30"/>
        <v>-37875.840880582808</v>
      </c>
      <c r="O224" s="42">
        <f t="shared" si="31"/>
        <v>-115482.06792524521</v>
      </c>
      <c r="P224" s="274"/>
      <c r="Q224" s="229"/>
      <c r="R224" s="229"/>
      <c r="S224" s="229"/>
      <c r="T224" s="229"/>
      <c r="U224" s="229"/>
      <c r="AF224" s="11"/>
      <c r="AG224" s="11"/>
      <c r="AH224" s="11"/>
      <c r="AI224" s="11"/>
      <c r="AJ224" s="11"/>
      <c r="AK224" s="11"/>
      <c r="AL224" s="11"/>
    </row>
    <row r="225" spans="1:38" x14ac:dyDescent="0.25">
      <c r="A225" s="38">
        <f>+Données!A225</f>
        <v>5764</v>
      </c>
      <c r="B225" s="250" t="str">
        <f>+Données!B225</f>
        <v>Vallorbe</v>
      </c>
      <c r="C225" s="238">
        <f>+Ecrêtage!C225</f>
        <v>84208.757632819674</v>
      </c>
      <c r="D225" s="236"/>
      <c r="E225" s="238">
        <f>Données!AF225+Données!AG225+Données!AH225</f>
        <v>2653434</v>
      </c>
      <c r="F225" s="236">
        <f t="shared" si="25"/>
        <v>673670.06106255739</v>
      </c>
      <c r="G225" s="8">
        <f t="shared" si="27"/>
        <v>1979763.9389374426</v>
      </c>
      <c r="H225" s="317">
        <f t="shared" si="28"/>
        <v>-1484822.954203082</v>
      </c>
      <c r="J225" s="8">
        <f>Données!AN225</f>
        <v>801409</v>
      </c>
      <c r="K225" s="216">
        <f t="shared" si="26"/>
        <v>84208.757632819674</v>
      </c>
      <c r="L225" s="12">
        <f t="shared" si="29"/>
        <v>717200.2423671803</v>
      </c>
      <c r="M225" s="317">
        <f t="shared" si="30"/>
        <v>-537900.18177538528</v>
      </c>
      <c r="O225" s="42">
        <f t="shared" si="31"/>
        <v>-2022723.1359784673</v>
      </c>
      <c r="P225" s="274"/>
      <c r="Q225" s="229"/>
      <c r="R225" s="229"/>
      <c r="S225" s="229"/>
      <c r="T225" s="229"/>
      <c r="U225" s="229"/>
      <c r="AF225" s="11"/>
      <c r="AG225" s="11"/>
      <c r="AH225" s="11"/>
      <c r="AI225" s="11"/>
      <c r="AJ225" s="11"/>
      <c r="AK225" s="11"/>
      <c r="AL225" s="11"/>
    </row>
    <row r="226" spans="1:38" x14ac:dyDescent="0.25">
      <c r="A226" s="38">
        <f>+Données!A226</f>
        <v>5765</v>
      </c>
      <c r="B226" s="250" t="str">
        <f>+Données!B226</f>
        <v>Vaulion</v>
      </c>
      <c r="C226" s="238">
        <f>+Ecrêtage!C226</f>
        <v>11314.093434772476</v>
      </c>
      <c r="D226" s="236"/>
      <c r="E226" s="238">
        <f>Données!AF226+Données!AG226+Données!AH226</f>
        <v>244594</v>
      </c>
      <c r="F226" s="236">
        <f t="shared" si="25"/>
        <v>90512.747478179808</v>
      </c>
      <c r="G226" s="8">
        <f t="shared" si="27"/>
        <v>154081.25252182019</v>
      </c>
      <c r="H226" s="317">
        <f t="shared" si="28"/>
        <v>-115560.93939136514</v>
      </c>
      <c r="J226" s="8">
        <f>Données!AN226</f>
        <v>63982</v>
      </c>
      <c r="K226" s="216">
        <f t="shared" si="26"/>
        <v>11314.093434772476</v>
      </c>
      <c r="L226" s="12">
        <f t="shared" si="29"/>
        <v>52667.906565227524</v>
      </c>
      <c r="M226" s="317">
        <f t="shared" si="30"/>
        <v>-39500.929923920645</v>
      </c>
      <c r="O226" s="42">
        <f t="shared" si="31"/>
        <v>-155061.86931528579</v>
      </c>
      <c r="P226" s="274"/>
      <c r="Q226" s="229"/>
      <c r="R226" s="229"/>
      <c r="S226" s="229"/>
      <c r="T226" s="229"/>
      <c r="U226" s="229"/>
      <c r="AF226" s="11"/>
      <c r="AG226" s="11"/>
      <c r="AH226" s="11"/>
      <c r="AI226" s="11"/>
      <c r="AJ226" s="11"/>
      <c r="AK226" s="11"/>
      <c r="AL226" s="11"/>
    </row>
    <row r="227" spans="1:38" x14ac:dyDescent="0.25">
      <c r="A227" s="38">
        <f>+Données!A227</f>
        <v>5766</v>
      </c>
      <c r="B227" s="250" t="str">
        <f>+Données!B227</f>
        <v>Vuiteboeuf</v>
      </c>
      <c r="C227" s="238">
        <f>+Ecrêtage!C227</f>
        <v>15990.410165272326</v>
      </c>
      <c r="D227" s="236"/>
      <c r="E227" s="238">
        <f>Données!AF227+Données!AG227+Données!AH227</f>
        <v>278883</v>
      </c>
      <c r="F227" s="236">
        <f t="shared" si="25"/>
        <v>127923.28132217861</v>
      </c>
      <c r="G227" s="8">
        <f t="shared" si="27"/>
        <v>150959.71867782139</v>
      </c>
      <c r="H227" s="317">
        <f t="shared" si="28"/>
        <v>-113219.78900836605</v>
      </c>
      <c r="J227" s="8">
        <f>Données!AN227</f>
        <v>15894</v>
      </c>
      <c r="K227" s="216">
        <f t="shared" si="26"/>
        <v>15990.410165272326</v>
      </c>
      <c r="L227" s="12">
        <f t="shared" si="29"/>
        <v>0</v>
      </c>
      <c r="M227" s="317">
        <f t="shared" si="30"/>
        <v>0</v>
      </c>
      <c r="O227" s="42">
        <f t="shared" si="31"/>
        <v>-113219.78900836605</v>
      </c>
      <c r="P227" s="274"/>
      <c r="Q227" s="229"/>
      <c r="R227" s="229"/>
      <c r="S227" s="229"/>
      <c r="T227" s="229"/>
      <c r="U227" s="229"/>
      <c r="AF227" s="11"/>
      <c r="AG227" s="11"/>
      <c r="AH227" s="11"/>
      <c r="AI227" s="11"/>
      <c r="AJ227" s="11"/>
      <c r="AK227" s="11"/>
      <c r="AL227" s="11"/>
    </row>
    <row r="228" spans="1:38" x14ac:dyDescent="0.25">
      <c r="A228" s="38">
        <f>+Données!A228</f>
        <v>5785</v>
      </c>
      <c r="B228" s="250" t="str">
        <f>+Données!B228</f>
        <v>Corcelles-le-Jorat</v>
      </c>
      <c r="C228" s="238">
        <f>+Ecrêtage!C228</f>
        <v>17505.983698727712</v>
      </c>
      <c r="D228" s="236"/>
      <c r="E228" s="238">
        <f>Données!AF228+Données!AG228+Données!AH228</f>
        <v>202707</v>
      </c>
      <c r="F228" s="236">
        <f t="shared" si="25"/>
        <v>140047.8695898217</v>
      </c>
      <c r="G228" s="8">
        <f t="shared" si="27"/>
        <v>62659.130410178303</v>
      </c>
      <c r="H228" s="317">
        <f t="shared" si="28"/>
        <v>-46994.347807633727</v>
      </c>
      <c r="J228" s="8">
        <f>Données!AN228</f>
        <v>41432</v>
      </c>
      <c r="K228" s="216">
        <f t="shared" si="26"/>
        <v>17505.983698727712</v>
      </c>
      <c r="L228" s="12">
        <f t="shared" si="29"/>
        <v>23926.016301272288</v>
      </c>
      <c r="M228" s="317">
        <f t="shared" si="30"/>
        <v>-17944.512225954215</v>
      </c>
      <c r="O228" s="42">
        <f t="shared" si="31"/>
        <v>-64938.860033587946</v>
      </c>
      <c r="P228" s="274"/>
      <c r="Q228" s="229"/>
      <c r="R228" s="229"/>
      <c r="S228" s="229"/>
      <c r="T228" s="229"/>
      <c r="U228" s="229"/>
      <c r="AF228" s="11"/>
      <c r="AG228" s="11"/>
      <c r="AH228" s="11"/>
      <c r="AI228" s="11"/>
      <c r="AJ228" s="11"/>
      <c r="AK228" s="11"/>
      <c r="AL228" s="11"/>
    </row>
    <row r="229" spans="1:38" x14ac:dyDescent="0.25">
      <c r="A229" s="38">
        <f>+Données!A229</f>
        <v>5790</v>
      </c>
      <c r="B229" s="250" t="str">
        <f>+Données!B229</f>
        <v>Maracon</v>
      </c>
      <c r="C229" s="238">
        <f>+Ecrêtage!C229</f>
        <v>13395.718975615504</v>
      </c>
      <c r="D229" s="236"/>
      <c r="E229" s="238">
        <f>Données!AF229+Données!AG229+Données!AH229</f>
        <v>185837</v>
      </c>
      <c r="F229" s="236">
        <f t="shared" si="25"/>
        <v>107165.75180492403</v>
      </c>
      <c r="G229" s="8">
        <f t="shared" si="27"/>
        <v>78671.248195075968</v>
      </c>
      <c r="H229" s="317">
        <f t="shared" si="28"/>
        <v>-59003.43614630698</v>
      </c>
      <c r="J229" s="8">
        <f>Données!AN229</f>
        <v>6029</v>
      </c>
      <c r="K229" s="216">
        <f t="shared" si="26"/>
        <v>13395.718975615504</v>
      </c>
      <c r="L229" s="12">
        <f t="shared" si="29"/>
        <v>0</v>
      </c>
      <c r="M229" s="317">
        <f t="shared" si="30"/>
        <v>0</v>
      </c>
      <c r="O229" s="42">
        <f t="shared" si="31"/>
        <v>-59003.43614630698</v>
      </c>
      <c r="P229" s="274"/>
      <c r="Q229" s="229"/>
      <c r="R229" s="229"/>
      <c r="S229" s="229"/>
      <c r="T229" s="229"/>
      <c r="U229" s="229"/>
      <c r="AF229" s="11"/>
      <c r="AG229" s="11"/>
      <c r="AH229" s="11"/>
      <c r="AI229" s="11"/>
      <c r="AJ229" s="11"/>
      <c r="AK229" s="11"/>
      <c r="AL229" s="11"/>
    </row>
    <row r="230" spans="1:38" x14ac:dyDescent="0.25">
      <c r="A230" s="38">
        <f>+Données!A230</f>
        <v>5792</v>
      </c>
      <c r="B230" s="250" t="str">
        <f>+Données!B230</f>
        <v>Montpreveyres</v>
      </c>
      <c r="C230" s="238">
        <f>+Ecrêtage!C230</f>
        <v>17608.366503920086</v>
      </c>
      <c r="D230" s="236"/>
      <c r="E230" s="238">
        <f>Données!AF230+Données!AG230+Données!AH230</f>
        <v>376228</v>
      </c>
      <c r="F230" s="236">
        <f t="shared" si="25"/>
        <v>140866.93203136069</v>
      </c>
      <c r="G230" s="8">
        <f t="shared" si="27"/>
        <v>235361.06796863931</v>
      </c>
      <c r="H230" s="317">
        <f t="shared" si="28"/>
        <v>-176520.80097647948</v>
      </c>
      <c r="J230" s="8">
        <f>Données!AN230</f>
        <v>7988</v>
      </c>
      <c r="K230" s="216">
        <f t="shared" si="26"/>
        <v>17608.366503920086</v>
      </c>
      <c r="L230" s="12">
        <f t="shared" si="29"/>
        <v>0</v>
      </c>
      <c r="M230" s="317">
        <f t="shared" si="30"/>
        <v>0</v>
      </c>
      <c r="O230" s="42">
        <f t="shared" si="31"/>
        <v>-176520.80097647948</v>
      </c>
      <c r="P230" s="274"/>
      <c r="Q230" s="229"/>
      <c r="R230" s="229"/>
      <c r="S230" s="229"/>
      <c r="T230" s="229"/>
      <c r="U230" s="229"/>
      <c r="AF230" s="11"/>
      <c r="AG230" s="11"/>
      <c r="AH230" s="11"/>
      <c r="AI230" s="11"/>
      <c r="AJ230" s="11"/>
      <c r="AK230" s="11"/>
      <c r="AL230" s="11"/>
    </row>
    <row r="231" spans="1:38" x14ac:dyDescent="0.25">
      <c r="A231" s="38">
        <f>+Données!A231</f>
        <v>5798</v>
      </c>
      <c r="B231" s="250" t="str">
        <f>+Données!B231</f>
        <v>Ropraz</v>
      </c>
      <c r="C231" s="238">
        <f>+Ecrêtage!C231</f>
        <v>15757.055763710458</v>
      </c>
      <c r="D231" s="236"/>
      <c r="E231" s="238">
        <f>Données!AF231+Données!AG231+Données!AH231</f>
        <v>202369</v>
      </c>
      <c r="F231" s="236">
        <f t="shared" si="25"/>
        <v>126056.44610968366</v>
      </c>
      <c r="G231" s="8">
        <f t="shared" si="27"/>
        <v>76312.55389031634</v>
      </c>
      <c r="H231" s="317">
        <f t="shared" si="28"/>
        <v>-57234.415417737255</v>
      </c>
      <c r="J231" s="8">
        <f>Données!AN231</f>
        <v>-2237</v>
      </c>
      <c r="K231" s="216">
        <f t="shared" si="26"/>
        <v>15757.055763710458</v>
      </c>
      <c r="L231" s="12">
        <f t="shared" si="29"/>
        <v>0</v>
      </c>
      <c r="M231" s="317">
        <f t="shared" si="30"/>
        <v>0</v>
      </c>
      <c r="O231" s="42">
        <f t="shared" si="31"/>
        <v>-57234.415417737255</v>
      </c>
      <c r="P231" s="274"/>
      <c r="Q231" s="229"/>
      <c r="R231" s="229"/>
      <c r="S231" s="229"/>
      <c r="T231" s="229"/>
      <c r="U231" s="229"/>
      <c r="AF231" s="11"/>
      <c r="AG231" s="11"/>
      <c r="AH231" s="11"/>
      <c r="AI231" s="11"/>
      <c r="AJ231" s="11"/>
      <c r="AK231" s="11"/>
      <c r="AL231" s="11"/>
    </row>
    <row r="232" spans="1:38" x14ac:dyDescent="0.25">
      <c r="A232" s="38">
        <f>+Données!A232</f>
        <v>5799</v>
      </c>
      <c r="B232" s="250" t="str">
        <f>+Données!B232</f>
        <v>Servion</v>
      </c>
      <c r="C232" s="238">
        <f>+Ecrêtage!C232</f>
        <v>69379.10406939665</v>
      </c>
      <c r="D232" s="236"/>
      <c r="E232" s="238">
        <f>Données!AF232+Données!AG232+Données!AH232</f>
        <v>993769</v>
      </c>
      <c r="F232" s="236">
        <f t="shared" si="25"/>
        <v>555032.8325551732</v>
      </c>
      <c r="G232" s="8">
        <f t="shared" si="27"/>
        <v>438736.1674448268</v>
      </c>
      <c r="H232" s="317">
        <f t="shared" si="28"/>
        <v>-329052.1255836201</v>
      </c>
      <c r="J232" s="8">
        <f>Données!AN232</f>
        <v>39764</v>
      </c>
      <c r="K232" s="216">
        <f t="shared" si="26"/>
        <v>69379.10406939665</v>
      </c>
      <c r="L232" s="12">
        <f t="shared" si="29"/>
        <v>0</v>
      </c>
      <c r="M232" s="317">
        <f t="shared" si="30"/>
        <v>0</v>
      </c>
      <c r="O232" s="42">
        <f t="shared" si="31"/>
        <v>-329052.1255836201</v>
      </c>
      <c r="P232" s="274"/>
      <c r="Q232" s="229"/>
      <c r="R232" s="229"/>
      <c r="S232" s="229"/>
      <c r="T232" s="229"/>
      <c r="U232" s="229"/>
      <c r="AF232" s="11"/>
      <c r="AG232" s="11"/>
      <c r="AH232" s="11"/>
      <c r="AI232" s="11"/>
      <c r="AJ232" s="11"/>
      <c r="AK232" s="11"/>
      <c r="AL232" s="11"/>
    </row>
    <row r="233" spans="1:38" x14ac:dyDescent="0.25">
      <c r="A233" s="38">
        <f>+Données!A233</f>
        <v>5803</v>
      </c>
      <c r="B233" s="250" t="str">
        <f>+Données!B233</f>
        <v>Vulliens</v>
      </c>
      <c r="C233" s="238">
        <f>+Ecrêtage!C233</f>
        <v>18878.281315789478</v>
      </c>
      <c r="D233" s="236"/>
      <c r="E233" s="238">
        <f>Données!AF233+Données!AG233+Données!AH233</f>
        <v>226427</v>
      </c>
      <c r="F233" s="236">
        <f t="shared" si="25"/>
        <v>151026.25052631582</v>
      </c>
      <c r="G233" s="8">
        <f t="shared" si="27"/>
        <v>75400.749473684176</v>
      </c>
      <c r="H233" s="317">
        <f t="shared" si="28"/>
        <v>-56550.562105263132</v>
      </c>
      <c r="J233" s="8">
        <f>Données!AN233</f>
        <v>52817</v>
      </c>
      <c r="K233" s="216">
        <f t="shared" si="26"/>
        <v>18878.281315789478</v>
      </c>
      <c r="L233" s="12">
        <f t="shared" si="29"/>
        <v>33938.718684210522</v>
      </c>
      <c r="M233" s="317">
        <f t="shared" si="30"/>
        <v>-25454.03901315789</v>
      </c>
      <c r="O233" s="42">
        <f t="shared" si="31"/>
        <v>-82004.601118421022</v>
      </c>
      <c r="P233" s="274"/>
      <c r="Q233" s="229"/>
      <c r="R233" s="229"/>
      <c r="S233" s="229"/>
      <c r="T233" s="229"/>
      <c r="U233" s="229"/>
      <c r="AF233" s="11"/>
      <c r="AG233" s="11"/>
      <c r="AH233" s="11"/>
      <c r="AI233" s="11"/>
      <c r="AJ233" s="11"/>
      <c r="AK233" s="11"/>
      <c r="AL233" s="11"/>
    </row>
    <row r="234" spans="1:38" x14ac:dyDescent="0.25">
      <c r="A234" s="38">
        <f>+Données!A234</f>
        <v>5804</v>
      </c>
      <c r="B234" s="250" t="str">
        <f>+Données!B234</f>
        <v>Jorat-Menthue</v>
      </c>
      <c r="C234" s="238">
        <f>+Ecrêtage!C234</f>
        <v>46675.442411362579</v>
      </c>
      <c r="D234" s="236"/>
      <c r="E234" s="238">
        <f>Données!AF234+Données!AG234+Données!AH234</f>
        <v>902561</v>
      </c>
      <c r="F234" s="236">
        <f t="shared" si="25"/>
        <v>373403.53929090063</v>
      </c>
      <c r="G234" s="8">
        <f t="shared" si="27"/>
        <v>529157.46070909943</v>
      </c>
      <c r="H234" s="317">
        <f t="shared" si="28"/>
        <v>-396868.09553182457</v>
      </c>
      <c r="J234" s="8">
        <f>Données!AN234</f>
        <v>176575</v>
      </c>
      <c r="K234" s="216">
        <f t="shared" si="26"/>
        <v>46675.442411362579</v>
      </c>
      <c r="L234" s="12">
        <f t="shared" si="29"/>
        <v>129899.55758863743</v>
      </c>
      <c r="M234" s="317">
        <f t="shared" si="30"/>
        <v>-97424.668191478064</v>
      </c>
      <c r="O234" s="42">
        <f t="shared" si="31"/>
        <v>-494292.76372330263</v>
      </c>
      <c r="P234" s="274"/>
      <c r="Q234" s="229"/>
      <c r="R234" s="229"/>
      <c r="S234" s="229"/>
      <c r="T234" s="229"/>
      <c r="U234" s="229"/>
      <c r="AF234" s="11"/>
      <c r="AG234" s="11"/>
      <c r="AH234" s="11"/>
      <c r="AI234" s="11"/>
      <c r="AJ234" s="11"/>
      <c r="AK234" s="11"/>
      <c r="AL234" s="11"/>
    </row>
    <row r="235" spans="1:38" x14ac:dyDescent="0.25">
      <c r="A235" s="38">
        <f>+Données!A235</f>
        <v>5805</v>
      </c>
      <c r="B235" s="250" t="str">
        <f>+Données!B235</f>
        <v>Oron</v>
      </c>
      <c r="C235" s="238">
        <f>+Ecrêtage!C235</f>
        <v>172360.6832516081</v>
      </c>
      <c r="D235" s="236"/>
      <c r="E235" s="238">
        <f>Données!AF235+Données!AG235+Données!AH235</f>
        <v>2575939</v>
      </c>
      <c r="F235" s="236">
        <f t="shared" si="25"/>
        <v>1378885.4660128648</v>
      </c>
      <c r="G235" s="8">
        <f t="shared" si="27"/>
        <v>1197053.5339871352</v>
      </c>
      <c r="H235" s="317">
        <f t="shared" si="28"/>
        <v>-897790.15049035137</v>
      </c>
      <c r="J235" s="8">
        <f>Données!AN235</f>
        <v>55979</v>
      </c>
      <c r="K235" s="216">
        <f t="shared" si="26"/>
        <v>172360.6832516081</v>
      </c>
      <c r="L235" s="12">
        <f t="shared" si="29"/>
        <v>0</v>
      </c>
      <c r="M235" s="317">
        <f t="shared" si="30"/>
        <v>0</v>
      </c>
      <c r="O235" s="42">
        <f t="shared" si="31"/>
        <v>-897790.15049035137</v>
      </c>
      <c r="P235" s="274"/>
      <c r="Q235" s="229"/>
      <c r="R235" s="229"/>
      <c r="S235" s="229"/>
      <c r="T235" s="229"/>
      <c r="U235" s="229"/>
      <c r="AF235" s="11"/>
      <c r="AG235" s="11"/>
      <c r="AH235" s="11"/>
      <c r="AI235" s="11"/>
      <c r="AJ235" s="11"/>
      <c r="AK235" s="11"/>
      <c r="AL235" s="11"/>
    </row>
    <row r="236" spans="1:38" x14ac:dyDescent="0.25">
      <c r="A236" s="38">
        <f>+Données!A236</f>
        <v>5806</v>
      </c>
      <c r="B236" s="250" t="str">
        <f>+Données!B236</f>
        <v>Jorat-Mézières</v>
      </c>
      <c r="C236" s="238">
        <f>+Ecrêtage!C236</f>
        <v>91040.343063115521</v>
      </c>
      <c r="D236" s="236"/>
      <c r="E236" s="238">
        <f>Données!AF236+Données!AG236+Données!AH236</f>
        <v>1279738</v>
      </c>
      <c r="F236" s="236">
        <f t="shared" si="25"/>
        <v>728322.74450492417</v>
      </c>
      <c r="G236" s="8">
        <f t="shared" si="27"/>
        <v>551415.25549507583</v>
      </c>
      <c r="H236" s="317">
        <f t="shared" si="28"/>
        <v>-413561.44162130688</v>
      </c>
      <c r="J236" s="8">
        <f>Données!AN236</f>
        <v>87157</v>
      </c>
      <c r="K236" s="216">
        <f t="shared" si="26"/>
        <v>91040.343063115521</v>
      </c>
      <c r="L236" s="12">
        <f t="shared" si="29"/>
        <v>0</v>
      </c>
      <c r="M236" s="317">
        <f t="shared" si="30"/>
        <v>0</v>
      </c>
      <c r="O236" s="42">
        <f t="shared" si="31"/>
        <v>-413561.44162130688</v>
      </c>
      <c r="P236" s="274"/>
      <c r="Q236" s="229"/>
      <c r="R236" s="229"/>
      <c r="S236" s="229"/>
      <c r="T236" s="229"/>
      <c r="U236" s="229"/>
      <c r="AF236" s="11"/>
      <c r="AG236" s="11"/>
      <c r="AH236" s="11"/>
      <c r="AI236" s="11"/>
      <c r="AJ236" s="11"/>
      <c r="AK236" s="11"/>
      <c r="AL236" s="11"/>
    </row>
    <row r="237" spans="1:38" x14ac:dyDescent="0.25">
      <c r="A237" s="38">
        <f>+Données!A237</f>
        <v>5812</v>
      </c>
      <c r="B237" s="250" t="str">
        <f>+Données!B237</f>
        <v>Champtauroz</v>
      </c>
      <c r="C237" s="238">
        <f>+Ecrêtage!C237</f>
        <v>2509.107922077922</v>
      </c>
      <c r="D237" s="236"/>
      <c r="E237" s="238">
        <f>Données!AF237+Données!AG237+Données!AH237</f>
        <v>59500</v>
      </c>
      <c r="F237" s="236">
        <f t="shared" si="25"/>
        <v>20072.863376623376</v>
      </c>
      <c r="G237" s="8">
        <f t="shared" si="27"/>
        <v>39427.136623376624</v>
      </c>
      <c r="H237" s="317">
        <f t="shared" si="28"/>
        <v>-29570.352467532466</v>
      </c>
      <c r="J237" s="8">
        <f>Données!AN237</f>
        <v>1229</v>
      </c>
      <c r="K237" s="216">
        <f t="shared" si="26"/>
        <v>2509.107922077922</v>
      </c>
      <c r="L237" s="12">
        <f t="shared" si="29"/>
        <v>0</v>
      </c>
      <c r="M237" s="317">
        <f t="shared" si="30"/>
        <v>0</v>
      </c>
      <c r="O237" s="42">
        <f t="shared" si="31"/>
        <v>-29570.352467532466</v>
      </c>
      <c r="P237" s="274"/>
      <c r="Q237" s="229"/>
      <c r="R237" s="229"/>
      <c r="S237" s="229"/>
      <c r="T237" s="229"/>
      <c r="U237" s="229"/>
      <c r="AF237" s="11"/>
      <c r="AG237" s="11"/>
      <c r="AH237" s="11"/>
      <c r="AI237" s="11"/>
      <c r="AJ237" s="11"/>
      <c r="AK237" s="11"/>
      <c r="AL237" s="11"/>
    </row>
    <row r="238" spans="1:38" x14ac:dyDescent="0.25">
      <c r="A238" s="38">
        <f>+Données!A238</f>
        <v>5813</v>
      </c>
      <c r="B238" s="250" t="str">
        <f>+Données!B238</f>
        <v>Chevroux</v>
      </c>
      <c r="C238" s="238">
        <f>+Ecrêtage!C238</f>
        <v>15173.187804567502</v>
      </c>
      <c r="D238" s="236"/>
      <c r="E238" s="238">
        <f>Données!AF238+Données!AG238+Données!AH238</f>
        <v>557665</v>
      </c>
      <c r="F238" s="236">
        <f t="shared" si="25"/>
        <v>121385.50243654002</v>
      </c>
      <c r="G238" s="8">
        <f t="shared" si="27"/>
        <v>436279.49756345997</v>
      </c>
      <c r="H238" s="317">
        <f t="shared" si="28"/>
        <v>-327209.62317259499</v>
      </c>
      <c r="J238" s="8">
        <f>Données!AN238</f>
        <v>4835</v>
      </c>
      <c r="K238" s="216">
        <f t="shared" si="26"/>
        <v>15173.187804567502</v>
      </c>
      <c r="L238" s="12">
        <f t="shared" si="29"/>
        <v>0</v>
      </c>
      <c r="M238" s="317">
        <f t="shared" si="30"/>
        <v>0</v>
      </c>
      <c r="O238" s="42">
        <f t="shared" si="31"/>
        <v>-327209.62317259499</v>
      </c>
      <c r="P238" s="274"/>
      <c r="Q238" s="229"/>
      <c r="R238" s="229"/>
      <c r="S238" s="229"/>
      <c r="T238" s="229"/>
      <c r="U238" s="229"/>
      <c r="AF238" s="11"/>
      <c r="AG238" s="11"/>
      <c r="AH238" s="11"/>
      <c r="AI238" s="11"/>
      <c r="AJ238" s="11"/>
      <c r="AK238" s="11"/>
      <c r="AL238" s="11"/>
    </row>
    <row r="239" spans="1:38" x14ac:dyDescent="0.25">
      <c r="A239" s="38">
        <f>+Données!A239</f>
        <v>5816</v>
      </c>
      <c r="B239" s="250" t="str">
        <f>+Données!B239</f>
        <v>Corcelles-près-Payerne</v>
      </c>
      <c r="C239" s="238">
        <f>+Ecrêtage!C239</f>
        <v>60494.301475743108</v>
      </c>
      <c r="D239" s="236"/>
      <c r="E239" s="238">
        <f>Données!AF239+Données!AG239+Données!AH239</f>
        <v>934245</v>
      </c>
      <c r="F239" s="236">
        <f t="shared" si="25"/>
        <v>483954.41180594487</v>
      </c>
      <c r="G239" s="8">
        <f t="shared" si="27"/>
        <v>450290.58819405513</v>
      </c>
      <c r="H239" s="317">
        <f t="shared" si="28"/>
        <v>-337717.94114554138</v>
      </c>
      <c r="J239" s="8">
        <f>Données!AN239</f>
        <v>20422</v>
      </c>
      <c r="K239" s="216">
        <f t="shared" si="26"/>
        <v>60494.301475743108</v>
      </c>
      <c r="L239" s="12">
        <f t="shared" si="29"/>
        <v>0</v>
      </c>
      <c r="M239" s="317">
        <f t="shared" si="30"/>
        <v>0</v>
      </c>
      <c r="O239" s="42">
        <f t="shared" si="31"/>
        <v>-337717.94114554138</v>
      </c>
      <c r="P239" s="274"/>
      <c r="Q239" s="229"/>
      <c r="R239" s="229"/>
      <c r="S239" s="229"/>
      <c r="T239" s="229"/>
      <c r="U239" s="229"/>
      <c r="AF239" s="11"/>
      <c r="AG239" s="11"/>
      <c r="AH239" s="11"/>
      <c r="AI239" s="11"/>
      <c r="AJ239" s="11"/>
      <c r="AK239" s="11"/>
      <c r="AL239" s="11"/>
    </row>
    <row r="240" spans="1:38" x14ac:dyDescent="0.25">
      <c r="A240" s="38">
        <f>+Données!A240</f>
        <v>5817</v>
      </c>
      <c r="B240" s="250" t="str">
        <f>+Données!B240</f>
        <v>Grandcour</v>
      </c>
      <c r="C240" s="238">
        <f>+Ecrêtage!C240</f>
        <v>21852.23221700843</v>
      </c>
      <c r="D240" s="236"/>
      <c r="E240" s="238">
        <f>Données!AF240+Données!AG240+Données!AH240</f>
        <v>325104</v>
      </c>
      <c r="F240" s="236">
        <f t="shared" si="25"/>
        <v>174817.85773606744</v>
      </c>
      <c r="G240" s="8">
        <f t="shared" si="27"/>
        <v>150286.14226393256</v>
      </c>
      <c r="H240" s="317">
        <f t="shared" si="28"/>
        <v>-112714.60669794942</v>
      </c>
      <c r="J240" s="8">
        <f>Données!AN240</f>
        <v>68517</v>
      </c>
      <c r="K240" s="216">
        <f t="shared" si="26"/>
        <v>21852.23221700843</v>
      </c>
      <c r="L240" s="12">
        <f t="shared" si="29"/>
        <v>46664.76778299157</v>
      </c>
      <c r="M240" s="317">
        <f t="shared" si="30"/>
        <v>-34998.575837243676</v>
      </c>
      <c r="O240" s="42">
        <f t="shared" si="31"/>
        <v>-147713.1825351931</v>
      </c>
      <c r="P240" s="274"/>
      <c r="Q240" s="229"/>
      <c r="R240" s="229"/>
      <c r="S240" s="229"/>
      <c r="T240" s="229"/>
      <c r="U240" s="229"/>
      <c r="AF240" s="11"/>
      <c r="AG240" s="11"/>
      <c r="AH240" s="11"/>
      <c r="AI240" s="11"/>
      <c r="AJ240" s="11"/>
      <c r="AK240" s="11"/>
      <c r="AL240" s="11"/>
    </row>
    <row r="241" spans="1:38" x14ac:dyDescent="0.25">
      <c r="A241" s="38">
        <f>+Données!A241</f>
        <v>5819</v>
      </c>
      <c r="B241" s="250" t="str">
        <f>+Données!B241</f>
        <v>Henniez</v>
      </c>
      <c r="C241" s="238">
        <f>+Ecrêtage!C241</f>
        <v>11442.507547725303</v>
      </c>
      <c r="D241" s="236"/>
      <c r="E241" s="238">
        <f>Données!AF241+Données!AG241+Données!AH241</f>
        <v>226761</v>
      </c>
      <c r="F241" s="236">
        <f t="shared" si="25"/>
        <v>91540.060381802425</v>
      </c>
      <c r="G241" s="8">
        <f t="shared" si="27"/>
        <v>135220.93961819756</v>
      </c>
      <c r="H241" s="317">
        <f t="shared" si="28"/>
        <v>-101415.70471364817</v>
      </c>
      <c r="J241" s="8">
        <f>Données!AN241</f>
        <v>0</v>
      </c>
      <c r="K241" s="216">
        <f t="shared" si="26"/>
        <v>11442.507547725303</v>
      </c>
      <c r="L241" s="12">
        <f t="shared" si="29"/>
        <v>0</v>
      </c>
      <c r="M241" s="317">
        <f t="shared" si="30"/>
        <v>0</v>
      </c>
      <c r="O241" s="42">
        <f t="shared" si="31"/>
        <v>-101415.70471364817</v>
      </c>
      <c r="P241" s="274"/>
      <c r="Q241" s="229"/>
      <c r="R241" s="229"/>
      <c r="S241" s="229"/>
      <c r="T241" s="229"/>
      <c r="U241" s="229"/>
      <c r="AF241" s="11"/>
      <c r="AG241" s="11"/>
      <c r="AH241" s="11"/>
      <c r="AI241" s="11"/>
      <c r="AJ241" s="11"/>
      <c r="AK241" s="11"/>
      <c r="AL241" s="11"/>
    </row>
    <row r="242" spans="1:38" x14ac:dyDescent="0.25">
      <c r="A242" s="38">
        <f>+Données!A242</f>
        <v>5821</v>
      </c>
      <c r="B242" s="250" t="str">
        <f>+Données!B242</f>
        <v>Missy</v>
      </c>
      <c r="C242" s="238">
        <f>+Ecrêtage!C242</f>
        <v>7871.5501639965696</v>
      </c>
      <c r="D242" s="236"/>
      <c r="E242" s="238">
        <f>Données!AF242+Données!AG242+Données!AH242</f>
        <v>88788</v>
      </c>
      <c r="F242" s="236">
        <f t="shared" si="25"/>
        <v>62972.401311972557</v>
      </c>
      <c r="G242" s="8">
        <f t="shared" si="27"/>
        <v>25815.598688027443</v>
      </c>
      <c r="H242" s="317">
        <f t="shared" si="28"/>
        <v>-19361.699016020582</v>
      </c>
      <c r="J242" s="8">
        <f>Données!AN242</f>
        <v>0</v>
      </c>
      <c r="K242" s="216">
        <f t="shared" si="26"/>
        <v>7871.5501639965696</v>
      </c>
      <c r="L242" s="12">
        <f t="shared" si="29"/>
        <v>0</v>
      </c>
      <c r="M242" s="317">
        <f t="shared" si="30"/>
        <v>0</v>
      </c>
      <c r="O242" s="42">
        <f t="shared" si="31"/>
        <v>-19361.699016020582</v>
      </c>
      <c r="P242" s="274"/>
      <c r="Q242" s="229"/>
      <c r="R242" s="229"/>
      <c r="S242" s="229"/>
      <c r="T242" s="229"/>
      <c r="U242" s="229"/>
      <c r="AF242" s="11"/>
      <c r="AG242" s="11"/>
      <c r="AH242" s="11"/>
      <c r="AI242" s="11"/>
      <c r="AJ242" s="11"/>
      <c r="AK242" s="11"/>
      <c r="AL242" s="11"/>
    </row>
    <row r="243" spans="1:38" x14ac:dyDescent="0.25">
      <c r="A243" s="38">
        <f>+Données!A243</f>
        <v>5822</v>
      </c>
      <c r="B243" s="250" t="str">
        <f>+Données!B243</f>
        <v>Payerne</v>
      </c>
      <c r="C243" s="238">
        <f>+Ecrêtage!C243</f>
        <v>237529.8930471511</v>
      </c>
      <c r="D243" s="236"/>
      <c r="E243" s="238">
        <f>Données!AF243+Données!AG243+Données!AH243</f>
        <v>4174085</v>
      </c>
      <c r="F243" s="236">
        <f t="shared" si="25"/>
        <v>1900239.1443772088</v>
      </c>
      <c r="G243" s="8">
        <f t="shared" si="27"/>
        <v>2273845.8556227912</v>
      </c>
      <c r="H243" s="317">
        <f t="shared" si="28"/>
        <v>-1705384.3917170935</v>
      </c>
      <c r="J243" s="8">
        <f>Données!AN243</f>
        <v>147507</v>
      </c>
      <c r="K243" s="216">
        <f t="shared" si="26"/>
        <v>237529.8930471511</v>
      </c>
      <c r="L243" s="12">
        <f t="shared" si="29"/>
        <v>0</v>
      </c>
      <c r="M243" s="317">
        <f t="shared" si="30"/>
        <v>0</v>
      </c>
      <c r="O243" s="42">
        <f t="shared" si="31"/>
        <v>-1705384.3917170935</v>
      </c>
      <c r="P243" s="274"/>
      <c r="Q243" s="229"/>
      <c r="R243" s="229"/>
      <c r="S243" s="229"/>
      <c r="T243" s="229"/>
      <c r="U243" s="229"/>
      <c r="AF243" s="11"/>
      <c r="AG243" s="11"/>
      <c r="AH243" s="11"/>
      <c r="AI243" s="11"/>
      <c r="AJ243" s="11"/>
      <c r="AK243" s="11"/>
      <c r="AL243" s="11"/>
    </row>
    <row r="244" spans="1:38" x14ac:dyDescent="0.25">
      <c r="A244" s="38">
        <f>+Données!A244</f>
        <v>5827</v>
      </c>
      <c r="B244" s="250" t="str">
        <f>+Données!B244</f>
        <v>Trey</v>
      </c>
      <c r="C244" s="238">
        <f>+Ecrêtage!C244</f>
        <v>6158.3041346806722</v>
      </c>
      <c r="D244" s="236"/>
      <c r="E244" s="238">
        <f>Données!AF244+Données!AG244+Données!AH244</f>
        <v>122092</v>
      </c>
      <c r="F244" s="236">
        <f t="shared" si="25"/>
        <v>49266.433077445377</v>
      </c>
      <c r="G244" s="8">
        <f t="shared" si="27"/>
        <v>72825.56692255463</v>
      </c>
      <c r="H244" s="317">
        <f t="shared" si="28"/>
        <v>-54619.175191915972</v>
      </c>
      <c r="J244" s="8">
        <f>Données!AN244</f>
        <v>-16462</v>
      </c>
      <c r="K244" s="216">
        <f t="shared" si="26"/>
        <v>6158.3041346806722</v>
      </c>
      <c r="L244" s="12">
        <f t="shared" si="29"/>
        <v>0</v>
      </c>
      <c r="M244" s="317">
        <f t="shared" si="30"/>
        <v>0</v>
      </c>
      <c r="O244" s="42">
        <f t="shared" si="31"/>
        <v>-54619.175191915972</v>
      </c>
      <c r="P244" s="274"/>
      <c r="Q244" s="229"/>
      <c r="R244" s="229"/>
      <c r="S244" s="229"/>
      <c r="T244" s="229"/>
      <c r="U244" s="229"/>
      <c r="AF244" s="11"/>
      <c r="AG244" s="11"/>
      <c r="AH244" s="11"/>
      <c r="AI244" s="11"/>
      <c r="AJ244" s="11"/>
      <c r="AK244" s="11"/>
      <c r="AL244" s="11"/>
    </row>
    <row r="245" spans="1:38" x14ac:dyDescent="0.25">
      <c r="A245" s="38">
        <f>+Données!A245</f>
        <v>5828</v>
      </c>
      <c r="B245" s="250" t="str">
        <f>+Données!B245</f>
        <v>Treytorrens (Payerne)</v>
      </c>
      <c r="C245" s="238">
        <f>+Ecrêtage!C245</f>
        <v>2288.504365079365</v>
      </c>
      <c r="D245" s="236"/>
      <c r="E245" s="238">
        <f>Données!AF245+Données!AG245+Données!AH245</f>
        <v>51339</v>
      </c>
      <c r="F245" s="236">
        <f t="shared" si="25"/>
        <v>18308.03492063492</v>
      </c>
      <c r="G245" s="8">
        <f t="shared" si="27"/>
        <v>33030.96507936508</v>
      </c>
      <c r="H245" s="317">
        <f t="shared" si="28"/>
        <v>-24773.22380952381</v>
      </c>
      <c r="J245" s="8">
        <f>Données!AN245</f>
        <v>3834</v>
      </c>
      <c r="K245" s="216">
        <f t="shared" si="26"/>
        <v>2288.504365079365</v>
      </c>
      <c r="L245" s="12">
        <f t="shared" si="29"/>
        <v>1545.495634920635</v>
      </c>
      <c r="M245" s="317">
        <f t="shared" si="30"/>
        <v>-1159.1217261904762</v>
      </c>
      <c r="O245" s="42">
        <f t="shared" si="31"/>
        <v>-25932.345535714285</v>
      </c>
      <c r="P245" s="274"/>
      <c r="Q245" s="229"/>
      <c r="R245" s="229"/>
      <c r="S245" s="229"/>
      <c r="T245" s="229"/>
      <c r="U245" s="229"/>
      <c r="AF245" s="11"/>
      <c r="AG245" s="11"/>
      <c r="AH245" s="11"/>
      <c r="AI245" s="11"/>
      <c r="AJ245" s="11"/>
      <c r="AK245" s="11"/>
      <c r="AL245" s="11"/>
    </row>
    <row r="246" spans="1:38" x14ac:dyDescent="0.25">
      <c r="A246" s="38">
        <f>+Données!A246</f>
        <v>5830</v>
      </c>
      <c r="B246" s="250" t="str">
        <f>+Données!B246</f>
        <v>Villarzel</v>
      </c>
      <c r="C246" s="238">
        <f>+Ecrêtage!C246</f>
        <v>12469.37329599799</v>
      </c>
      <c r="D246" s="236"/>
      <c r="E246" s="238">
        <f>Données!AF246+Données!AG246+Données!AH246</f>
        <v>223522</v>
      </c>
      <c r="F246" s="236">
        <f t="shared" si="25"/>
        <v>99754.986367983918</v>
      </c>
      <c r="G246" s="8">
        <f t="shared" si="27"/>
        <v>123767.01363201608</v>
      </c>
      <c r="H246" s="317">
        <f t="shared" si="28"/>
        <v>-92825.260224012061</v>
      </c>
      <c r="J246" s="8">
        <f>Données!AN246</f>
        <v>8747</v>
      </c>
      <c r="K246" s="216">
        <f t="shared" si="26"/>
        <v>12469.37329599799</v>
      </c>
      <c r="L246" s="12">
        <f t="shared" si="29"/>
        <v>0</v>
      </c>
      <c r="M246" s="317">
        <f t="shared" si="30"/>
        <v>0</v>
      </c>
      <c r="O246" s="42">
        <f t="shared" si="31"/>
        <v>-92825.260224012061</v>
      </c>
      <c r="P246" s="274"/>
      <c r="Q246" s="229"/>
      <c r="R246" s="229"/>
      <c r="S246" s="229"/>
      <c r="T246" s="229"/>
      <c r="U246" s="229"/>
      <c r="AF246" s="11"/>
      <c r="AG246" s="11"/>
      <c r="AH246" s="11"/>
      <c r="AI246" s="11"/>
      <c r="AJ246" s="11"/>
      <c r="AK246" s="11"/>
      <c r="AL246" s="11"/>
    </row>
    <row r="247" spans="1:38" x14ac:dyDescent="0.25">
      <c r="A247" s="38">
        <f>+Données!A247</f>
        <v>5831</v>
      </c>
      <c r="B247" s="250" t="str">
        <f>+Données!B247</f>
        <v>Valbroye</v>
      </c>
      <c r="C247" s="238">
        <f>+Ecrêtage!C247</f>
        <v>83737.262655956278</v>
      </c>
      <c r="D247" s="236"/>
      <c r="E247" s="238">
        <f>Données!AF247+Données!AG247+Données!AH247</f>
        <v>1720061</v>
      </c>
      <c r="F247" s="236">
        <f t="shared" si="25"/>
        <v>669898.10124765022</v>
      </c>
      <c r="G247" s="8">
        <f t="shared" si="27"/>
        <v>1050162.8987523499</v>
      </c>
      <c r="H247" s="317">
        <f t="shared" si="28"/>
        <v>-787622.17406426242</v>
      </c>
      <c r="J247" s="8">
        <f>Données!AN247</f>
        <v>34595</v>
      </c>
      <c r="K247" s="216">
        <f t="shared" si="26"/>
        <v>83737.262655956278</v>
      </c>
      <c r="L247" s="12">
        <f t="shared" si="29"/>
        <v>0</v>
      </c>
      <c r="M247" s="317">
        <f t="shared" si="30"/>
        <v>0</v>
      </c>
      <c r="O247" s="42">
        <f t="shared" si="31"/>
        <v>-787622.17406426242</v>
      </c>
      <c r="P247" s="274"/>
      <c r="Q247" s="229"/>
      <c r="R247" s="229"/>
      <c r="S247" s="229"/>
      <c r="T247" s="229"/>
      <c r="U247" s="229"/>
      <c r="AF247" s="11"/>
      <c r="AG247" s="11"/>
      <c r="AH247" s="11"/>
      <c r="AI247" s="11"/>
      <c r="AJ247" s="11"/>
      <c r="AK247" s="11"/>
      <c r="AL247" s="11"/>
    </row>
    <row r="248" spans="1:38" x14ac:dyDescent="0.25">
      <c r="A248" s="38">
        <f>+Données!A248</f>
        <v>5841</v>
      </c>
      <c r="B248" s="250" t="str">
        <f>+Données!B248</f>
        <v>Château-d'Oex</v>
      </c>
      <c r="C248" s="238">
        <f>+Ecrêtage!C248</f>
        <v>108627.58984858803</v>
      </c>
      <c r="D248" s="236"/>
      <c r="E248" s="238">
        <f>Données!AF248+Données!AG248+Données!AH248</f>
        <v>3625785</v>
      </c>
      <c r="F248" s="236">
        <f t="shared" si="25"/>
        <v>869020.71878870425</v>
      </c>
      <c r="G248" s="8">
        <f t="shared" si="27"/>
        <v>2756764.2812112956</v>
      </c>
      <c r="H248" s="317">
        <f t="shared" si="28"/>
        <v>-2067573.2109084716</v>
      </c>
      <c r="J248" s="8">
        <f>Données!AN248</f>
        <v>80380</v>
      </c>
      <c r="K248" s="216">
        <f t="shared" si="26"/>
        <v>108627.58984858803</v>
      </c>
      <c r="L248" s="12">
        <f t="shared" si="29"/>
        <v>0</v>
      </c>
      <c r="M248" s="317">
        <f t="shared" si="30"/>
        <v>0</v>
      </c>
      <c r="O248" s="42">
        <f t="shared" si="31"/>
        <v>-2067573.2109084716</v>
      </c>
      <c r="P248" s="274"/>
      <c r="Q248" s="229"/>
      <c r="R248" s="229"/>
      <c r="S248" s="229"/>
      <c r="T248" s="229"/>
      <c r="U248" s="229"/>
      <c r="AF248" s="11"/>
      <c r="AG248" s="11"/>
      <c r="AH248" s="11"/>
      <c r="AI248" s="11"/>
      <c r="AJ248" s="11"/>
      <c r="AK248" s="11"/>
      <c r="AL248" s="11"/>
    </row>
    <row r="249" spans="1:38" x14ac:dyDescent="0.25">
      <c r="A249" s="38">
        <f>+Données!A249</f>
        <v>5842</v>
      </c>
      <c r="B249" s="250" t="str">
        <f>+Données!B249</f>
        <v>Rossinière</v>
      </c>
      <c r="C249" s="238">
        <f>+Ecrêtage!C249</f>
        <v>14504.788146274859</v>
      </c>
      <c r="D249" s="236"/>
      <c r="E249" s="238">
        <f>Données!AF249+Données!AG249+Données!AH249</f>
        <v>623834</v>
      </c>
      <c r="F249" s="236">
        <f t="shared" si="25"/>
        <v>116038.30517019887</v>
      </c>
      <c r="G249" s="8">
        <f t="shared" si="27"/>
        <v>507795.6948298011</v>
      </c>
      <c r="H249" s="317">
        <f t="shared" si="28"/>
        <v>-380846.77112235082</v>
      </c>
      <c r="J249" s="8">
        <f>Données!AN249</f>
        <v>212</v>
      </c>
      <c r="K249" s="216">
        <f t="shared" si="26"/>
        <v>14504.788146274859</v>
      </c>
      <c r="L249" s="12">
        <f t="shared" si="29"/>
        <v>0</v>
      </c>
      <c r="M249" s="317">
        <f t="shared" si="30"/>
        <v>0</v>
      </c>
      <c r="O249" s="42">
        <f t="shared" si="31"/>
        <v>-380846.77112235082</v>
      </c>
      <c r="P249" s="274"/>
      <c r="Q249" s="229"/>
      <c r="R249" s="229"/>
      <c r="S249" s="229"/>
      <c r="T249" s="229"/>
      <c r="U249" s="229"/>
      <c r="AF249" s="11"/>
      <c r="AG249" s="11"/>
      <c r="AH249" s="11"/>
      <c r="AI249" s="11"/>
      <c r="AJ249" s="11"/>
      <c r="AK249" s="11"/>
      <c r="AL249" s="11"/>
    </row>
    <row r="250" spans="1:38" x14ac:dyDescent="0.25">
      <c r="A250" s="38">
        <f>+Données!A250</f>
        <v>5843</v>
      </c>
      <c r="B250" s="250" t="str">
        <f>+Données!B250</f>
        <v>Rougemont</v>
      </c>
      <c r="C250" s="238">
        <f>+Ecrêtage!C250</f>
        <v>100453.05146272083</v>
      </c>
      <c r="D250" s="236"/>
      <c r="E250" s="238">
        <f>Données!AF250+Données!AG250+Données!AH250</f>
        <v>898116</v>
      </c>
      <c r="F250" s="236">
        <f t="shared" si="25"/>
        <v>803624.41170176666</v>
      </c>
      <c r="G250" s="8">
        <f t="shared" si="27"/>
        <v>94491.588298233342</v>
      </c>
      <c r="H250" s="317">
        <f t="shared" si="28"/>
        <v>-70868.691223675007</v>
      </c>
      <c r="J250" s="8">
        <f>Données!AN250</f>
        <v>14952</v>
      </c>
      <c r="K250" s="216">
        <f t="shared" si="26"/>
        <v>100453.05146272083</v>
      </c>
      <c r="L250" s="12">
        <f t="shared" si="29"/>
        <v>0</v>
      </c>
      <c r="M250" s="317">
        <f t="shared" si="30"/>
        <v>0</v>
      </c>
      <c r="O250" s="42">
        <f t="shared" si="31"/>
        <v>-70868.691223675007</v>
      </c>
      <c r="P250" s="274"/>
      <c r="Q250" s="229"/>
      <c r="R250" s="229"/>
      <c r="S250" s="229"/>
      <c r="T250" s="229"/>
      <c r="U250" s="229"/>
      <c r="AF250" s="11"/>
      <c r="AG250" s="11"/>
      <c r="AH250" s="11"/>
      <c r="AI250" s="11"/>
      <c r="AJ250" s="11"/>
      <c r="AK250" s="11"/>
      <c r="AL250" s="11"/>
    </row>
    <row r="251" spans="1:38" x14ac:dyDescent="0.25">
      <c r="A251" s="38">
        <f>+Données!A251</f>
        <v>5851</v>
      </c>
      <c r="B251" s="250" t="str">
        <f>+Données!B251</f>
        <v>Allaman</v>
      </c>
      <c r="C251" s="238">
        <f>+Ecrêtage!C251</f>
        <v>24279.81507965273</v>
      </c>
      <c r="D251" s="236"/>
      <c r="E251" s="238">
        <f>Données!AF251+Données!AG251+Données!AH251</f>
        <v>181425</v>
      </c>
      <c r="F251" s="236">
        <f t="shared" si="25"/>
        <v>194238.52063722184</v>
      </c>
      <c r="G251" s="8">
        <f t="shared" si="27"/>
        <v>0</v>
      </c>
      <c r="H251" s="317">
        <f t="shared" si="28"/>
        <v>0</v>
      </c>
      <c r="J251" s="8">
        <f>Données!AN251</f>
        <v>396</v>
      </c>
      <c r="K251" s="216">
        <f t="shared" si="26"/>
        <v>24279.81507965273</v>
      </c>
      <c r="L251" s="12">
        <f t="shared" si="29"/>
        <v>0</v>
      </c>
      <c r="M251" s="317">
        <f t="shared" si="30"/>
        <v>0</v>
      </c>
      <c r="O251" s="42">
        <f t="shared" si="31"/>
        <v>0</v>
      </c>
      <c r="P251" s="274"/>
      <c r="Q251" s="229"/>
      <c r="R251" s="229"/>
      <c r="S251" s="229"/>
      <c r="T251" s="229"/>
      <c r="U251" s="229"/>
      <c r="AF251" s="11"/>
      <c r="AG251" s="11"/>
      <c r="AH251" s="11"/>
      <c r="AI251" s="11"/>
      <c r="AJ251" s="11"/>
      <c r="AK251" s="11"/>
      <c r="AL251" s="11"/>
    </row>
    <row r="252" spans="1:38" x14ac:dyDescent="0.25">
      <c r="A252" s="38">
        <f>+Données!A252</f>
        <v>5852</v>
      </c>
      <c r="B252" s="250" t="str">
        <f>+Données!B252</f>
        <v>Bursinel</v>
      </c>
      <c r="C252" s="238">
        <f>+Ecrêtage!C252</f>
        <v>40701.690718752099</v>
      </c>
      <c r="D252" s="236"/>
      <c r="E252" s="238">
        <f>Données!AF252+Données!AG252+Données!AH252</f>
        <v>244346</v>
      </c>
      <c r="F252" s="236">
        <f t="shared" si="25"/>
        <v>325613.52575001679</v>
      </c>
      <c r="G252" s="8">
        <f t="shared" si="27"/>
        <v>0</v>
      </c>
      <c r="H252" s="317">
        <f t="shared" si="28"/>
        <v>0</v>
      </c>
      <c r="J252" s="8">
        <f>Données!AN252</f>
        <v>768</v>
      </c>
      <c r="K252" s="216">
        <f t="shared" si="26"/>
        <v>40701.690718752099</v>
      </c>
      <c r="L252" s="12">
        <f t="shared" si="29"/>
        <v>0</v>
      </c>
      <c r="M252" s="317">
        <f t="shared" si="30"/>
        <v>0</v>
      </c>
      <c r="O252" s="42">
        <f t="shared" ref="O252:O283" si="32">M252+H252</f>
        <v>0</v>
      </c>
      <c r="P252" s="274"/>
      <c r="Q252" s="229"/>
      <c r="R252" s="229"/>
      <c r="S252" s="229"/>
      <c r="T252" s="229"/>
      <c r="U252" s="229"/>
      <c r="AF252" s="11"/>
      <c r="AG252" s="11"/>
      <c r="AH252" s="11"/>
      <c r="AI252" s="11"/>
      <c r="AJ252" s="11"/>
      <c r="AK252" s="11"/>
      <c r="AL252" s="11"/>
    </row>
    <row r="253" spans="1:38" x14ac:dyDescent="0.25">
      <c r="A253" s="38">
        <f>+Données!A253</f>
        <v>5853</v>
      </c>
      <c r="B253" s="250" t="str">
        <f>+Données!B253</f>
        <v>Bursins</v>
      </c>
      <c r="C253" s="238">
        <f>+Ecrêtage!C253</f>
        <v>41997.209489150475</v>
      </c>
      <c r="D253" s="236"/>
      <c r="E253" s="238">
        <f>Données!AF253+Données!AG253+Données!AH253</f>
        <v>305866</v>
      </c>
      <c r="F253" s="236">
        <f t="shared" si="25"/>
        <v>335977.6759132038</v>
      </c>
      <c r="G253" s="8">
        <f t="shared" si="27"/>
        <v>0</v>
      </c>
      <c r="H253" s="317">
        <f t="shared" si="28"/>
        <v>0</v>
      </c>
      <c r="J253" s="8">
        <f>Données!AN253</f>
        <v>47887</v>
      </c>
      <c r="K253" s="216">
        <f t="shared" si="26"/>
        <v>41997.209489150475</v>
      </c>
      <c r="L253" s="12">
        <f t="shared" si="29"/>
        <v>5889.7905108495252</v>
      </c>
      <c r="M253" s="317">
        <f t="shared" si="30"/>
        <v>-4417.3428831371439</v>
      </c>
      <c r="O253" s="42">
        <f t="shared" si="32"/>
        <v>-4417.3428831371439</v>
      </c>
      <c r="P253" s="274"/>
      <c r="Q253" s="229"/>
      <c r="R253" s="229"/>
      <c r="S253" s="229"/>
      <c r="T253" s="229"/>
      <c r="U253" s="229"/>
      <c r="AF253" s="11"/>
      <c r="AG253" s="11"/>
      <c r="AH253" s="11"/>
      <c r="AI253" s="11"/>
      <c r="AJ253" s="11"/>
      <c r="AK253" s="11"/>
      <c r="AL253" s="11"/>
    </row>
    <row r="254" spans="1:38" x14ac:dyDescent="0.25">
      <c r="A254" s="38">
        <f>+Données!A254</f>
        <v>5854</v>
      </c>
      <c r="B254" s="250" t="str">
        <f>+Données!B254</f>
        <v>Burtigny</v>
      </c>
      <c r="C254" s="238">
        <f>+Ecrêtage!C254</f>
        <v>10782.892174980714</v>
      </c>
      <c r="D254" s="236"/>
      <c r="E254" s="238">
        <f>Données!AF254+Données!AG254+Données!AH254</f>
        <v>128718</v>
      </c>
      <c r="F254" s="236">
        <f t="shared" si="25"/>
        <v>86263.137399845713</v>
      </c>
      <c r="G254" s="8">
        <f t="shared" si="27"/>
        <v>42454.862600154287</v>
      </c>
      <c r="H254" s="317">
        <f t="shared" si="28"/>
        <v>-31841.146950115715</v>
      </c>
      <c r="J254" s="8">
        <f>Données!AN254</f>
        <v>17294</v>
      </c>
      <c r="K254" s="216">
        <f t="shared" si="26"/>
        <v>10782.892174980714</v>
      </c>
      <c r="L254" s="12">
        <f t="shared" si="29"/>
        <v>6511.1078250192859</v>
      </c>
      <c r="M254" s="317">
        <f t="shared" si="30"/>
        <v>-4883.330868764464</v>
      </c>
      <c r="O254" s="42">
        <f t="shared" si="32"/>
        <v>-36724.477818880179</v>
      </c>
      <c r="P254" s="274"/>
      <c r="Q254" s="229"/>
      <c r="R254" s="229"/>
      <c r="S254" s="229"/>
      <c r="T254" s="229"/>
      <c r="U254" s="229"/>
      <c r="AF254" s="11"/>
      <c r="AG254" s="11"/>
      <c r="AH254" s="11"/>
      <c r="AI254" s="11"/>
      <c r="AJ254" s="11"/>
      <c r="AK254" s="11"/>
      <c r="AL254" s="11"/>
    </row>
    <row r="255" spans="1:38" x14ac:dyDescent="0.25">
      <c r="A255" s="38">
        <f>+Données!A255</f>
        <v>5855</v>
      </c>
      <c r="B255" s="250" t="str">
        <f>+Données!B255</f>
        <v>Dully</v>
      </c>
      <c r="C255" s="238">
        <f>+Ecrêtage!C255</f>
        <v>98130.783845823462</v>
      </c>
      <c r="D255" s="236"/>
      <c r="E255" s="238">
        <f>Données!AF255+Données!AG255+Données!AH255</f>
        <v>350653</v>
      </c>
      <c r="F255" s="236">
        <f t="shared" si="25"/>
        <v>785046.2707665877</v>
      </c>
      <c r="G255" s="8">
        <f t="shared" si="27"/>
        <v>0</v>
      </c>
      <c r="H255" s="317">
        <f t="shared" si="28"/>
        <v>0</v>
      </c>
      <c r="J255" s="8">
        <f>Données!AN255</f>
        <v>3304</v>
      </c>
      <c r="K255" s="216">
        <f t="shared" si="26"/>
        <v>98130.783845823462</v>
      </c>
      <c r="L255" s="12">
        <f t="shared" si="29"/>
        <v>0</v>
      </c>
      <c r="M255" s="317">
        <f t="shared" si="30"/>
        <v>0</v>
      </c>
      <c r="O255" s="42">
        <f t="shared" si="32"/>
        <v>0</v>
      </c>
      <c r="P255" s="274"/>
      <c r="Q255" s="229"/>
      <c r="R255" s="229"/>
      <c r="S255" s="229"/>
      <c r="T255" s="229"/>
      <c r="U255" s="229"/>
      <c r="AF255" s="11"/>
      <c r="AG255" s="11"/>
      <c r="AH255" s="11"/>
      <c r="AI255" s="11"/>
      <c r="AJ255" s="11"/>
      <c r="AK255" s="11"/>
      <c r="AL255" s="11"/>
    </row>
    <row r="256" spans="1:38" x14ac:dyDescent="0.25">
      <c r="A256" s="38">
        <f>+Données!A256</f>
        <v>5856</v>
      </c>
      <c r="B256" s="250" t="str">
        <f>+Données!B256</f>
        <v>Essertines-sur-Rolle</v>
      </c>
      <c r="C256" s="238">
        <f>+Ecrêtage!C256</f>
        <v>35711.178597082457</v>
      </c>
      <c r="D256" s="236"/>
      <c r="E256" s="238">
        <f>Données!AF256+Données!AG256+Données!AH256</f>
        <v>210618</v>
      </c>
      <c r="F256" s="236">
        <f t="shared" si="25"/>
        <v>285689.42877665965</v>
      </c>
      <c r="G256" s="8">
        <f t="shared" si="27"/>
        <v>0</v>
      </c>
      <c r="H256" s="317">
        <f t="shared" si="28"/>
        <v>0</v>
      </c>
      <c r="J256" s="8">
        <f>Données!AN256</f>
        <v>-718</v>
      </c>
      <c r="K256" s="216">
        <f t="shared" si="26"/>
        <v>35711.178597082457</v>
      </c>
      <c r="L256" s="12">
        <f t="shared" si="29"/>
        <v>0</v>
      </c>
      <c r="M256" s="317">
        <f t="shared" si="30"/>
        <v>0</v>
      </c>
      <c r="O256" s="42">
        <f t="shared" si="32"/>
        <v>0</v>
      </c>
      <c r="P256" s="274"/>
      <c r="Q256" s="229"/>
      <c r="R256" s="229"/>
      <c r="S256" s="229"/>
      <c r="T256" s="229"/>
      <c r="U256" s="229"/>
      <c r="AF256" s="11"/>
      <c r="AG256" s="11"/>
      <c r="AH256" s="11"/>
      <c r="AI256" s="11"/>
      <c r="AJ256" s="11"/>
      <c r="AK256" s="11"/>
      <c r="AL256" s="11"/>
    </row>
    <row r="257" spans="1:38" x14ac:dyDescent="0.25">
      <c r="A257" s="38">
        <f>+Données!A257</f>
        <v>5857</v>
      </c>
      <c r="B257" s="250" t="str">
        <f>+Données!B257</f>
        <v>Gilly</v>
      </c>
      <c r="C257" s="238">
        <f>+Ecrêtage!C257</f>
        <v>82138.568992248052</v>
      </c>
      <c r="D257" s="236"/>
      <c r="E257" s="238">
        <f>Données!AF257+Données!AG257+Données!AH257</f>
        <v>0</v>
      </c>
      <c r="F257" s="236">
        <f t="shared" si="25"/>
        <v>657108.55193798442</v>
      </c>
      <c r="G257" s="8">
        <f t="shared" si="27"/>
        <v>0</v>
      </c>
      <c r="H257" s="317">
        <f t="shared" si="28"/>
        <v>0</v>
      </c>
      <c r="J257" s="8">
        <f>Données!AN257</f>
        <v>0</v>
      </c>
      <c r="K257" s="216">
        <f t="shared" si="26"/>
        <v>82138.568992248052</v>
      </c>
      <c r="L257" s="12">
        <f t="shared" si="29"/>
        <v>0</v>
      </c>
      <c r="M257" s="317">
        <f t="shared" si="30"/>
        <v>0</v>
      </c>
      <c r="O257" s="42">
        <f t="shared" si="32"/>
        <v>0</v>
      </c>
      <c r="P257" s="274"/>
      <c r="Q257" s="229"/>
      <c r="R257" s="229"/>
      <c r="S257" s="229"/>
      <c r="T257" s="229"/>
      <c r="U257" s="229"/>
      <c r="AF257" s="11"/>
      <c r="AG257" s="11"/>
      <c r="AH257" s="11"/>
      <c r="AI257" s="11"/>
      <c r="AJ257" s="11"/>
      <c r="AK257" s="11"/>
      <c r="AL257" s="11"/>
    </row>
    <row r="258" spans="1:38" x14ac:dyDescent="0.25">
      <c r="A258" s="38">
        <f>+Données!A258</f>
        <v>5858</v>
      </c>
      <c r="B258" s="250" t="str">
        <f>+Données!B258</f>
        <v>Luins</v>
      </c>
      <c r="C258" s="238">
        <f>+Ecrêtage!C258</f>
        <v>40277.440146315326</v>
      </c>
      <c r="D258" s="236"/>
      <c r="E258" s="238">
        <f>Données!AF258+Données!AG258+Données!AH258</f>
        <v>0</v>
      </c>
      <c r="F258" s="236">
        <f t="shared" si="25"/>
        <v>322219.52117052261</v>
      </c>
      <c r="G258" s="8">
        <f t="shared" si="27"/>
        <v>0</v>
      </c>
      <c r="H258" s="317">
        <f t="shared" si="28"/>
        <v>0</v>
      </c>
      <c r="J258" s="8">
        <f>Données!AN258</f>
        <v>0</v>
      </c>
      <c r="K258" s="216">
        <f t="shared" si="26"/>
        <v>40277.440146315326</v>
      </c>
      <c r="L258" s="12">
        <f t="shared" si="29"/>
        <v>0</v>
      </c>
      <c r="M258" s="317">
        <f t="shared" si="30"/>
        <v>0</v>
      </c>
      <c r="O258" s="42">
        <f t="shared" si="32"/>
        <v>0</v>
      </c>
      <c r="P258" s="274"/>
      <c r="Q258" s="229"/>
      <c r="R258" s="229"/>
      <c r="S258" s="229"/>
      <c r="T258" s="229"/>
      <c r="U258" s="229"/>
      <c r="AF258" s="11"/>
      <c r="AG258" s="11"/>
      <c r="AH258" s="11"/>
      <c r="AI258" s="11"/>
      <c r="AJ258" s="11"/>
      <c r="AK258" s="11"/>
      <c r="AL258" s="11"/>
    </row>
    <row r="259" spans="1:38" x14ac:dyDescent="0.25">
      <c r="A259" s="38">
        <f>+Données!A259</f>
        <v>5859</v>
      </c>
      <c r="B259" s="250" t="str">
        <f>+Données!B259</f>
        <v>Mont-sur-Rolle</v>
      </c>
      <c r="C259" s="238">
        <f>+Ecrêtage!C259</f>
        <v>146440.66164065379</v>
      </c>
      <c r="D259" s="236"/>
      <c r="E259" s="238">
        <f>Données!AF259+Données!AG259+Données!AH259</f>
        <v>675503</v>
      </c>
      <c r="F259" s="236">
        <f t="shared" si="25"/>
        <v>1171525.2931252304</v>
      </c>
      <c r="G259" s="8">
        <f t="shared" si="27"/>
        <v>0</v>
      </c>
      <c r="H259" s="317">
        <f t="shared" si="28"/>
        <v>0</v>
      </c>
      <c r="J259" s="8">
        <f>Données!AN259</f>
        <v>2889</v>
      </c>
      <c r="K259" s="216">
        <f t="shared" si="26"/>
        <v>146440.66164065379</v>
      </c>
      <c r="L259" s="12">
        <f t="shared" si="29"/>
        <v>0</v>
      </c>
      <c r="M259" s="317">
        <f t="shared" si="30"/>
        <v>0</v>
      </c>
      <c r="O259" s="42">
        <f t="shared" si="32"/>
        <v>0</v>
      </c>
      <c r="P259" s="274"/>
      <c r="Q259" s="229"/>
      <c r="R259" s="229"/>
      <c r="S259" s="229"/>
      <c r="T259" s="229"/>
      <c r="U259" s="229"/>
      <c r="AF259" s="11"/>
      <c r="AG259" s="11"/>
      <c r="AH259" s="11"/>
      <c r="AI259" s="11"/>
      <c r="AJ259" s="11"/>
      <c r="AK259" s="11"/>
      <c r="AL259" s="11"/>
    </row>
    <row r="260" spans="1:38" x14ac:dyDescent="0.25">
      <c r="A260" s="38">
        <f>+Données!A260</f>
        <v>5860</v>
      </c>
      <c r="B260" s="250" t="str">
        <f>+Données!B260</f>
        <v>Perroy</v>
      </c>
      <c r="C260" s="238">
        <f>+Ecrêtage!C260</f>
        <v>110194.28576674461</v>
      </c>
      <c r="D260" s="236"/>
      <c r="E260" s="238">
        <f>Données!AF260+Données!AG260+Données!AH260</f>
        <v>462874</v>
      </c>
      <c r="F260" s="236">
        <f t="shared" si="25"/>
        <v>881554.28613395686</v>
      </c>
      <c r="G260" s="8">
        <f t="shared" si="27"/>
        <v>0</v>
      </c>
      <c r="H260" s="317">
        <f t="shared" si="28"/>
        <v>0</v>
      </c>
      <c r="J260" s="8">
        <f>Données!AN260</f>
        <v>14069</v>
      </c>
      <c r="K260" s="216">
        <f t="shared" si="26"/>
        <v>110194.28576674461</v>
      </c>
      <c r="L260" s="12">
        <f t="shared" si="29"/>
        <v>0</v>
      </c>
      <c r="M260" s="317">
        <f t="shared" si="30"/>
        <v>0</v>
      </c>
      <c r="O260" s="42">
        <f t="shared" si="32"/>
        <v>0</v>
      </c>
      <c r="P260" s="274"/>
      <c r="Q260" s="229"/>
      <c r="R260" s="229"/>
      <c r="S260" s="229"/>
      <c r="T260" s="229"/>
      <c r="U260" s="229"/>
      <c r="AF260" s="11"/>
      <c r="AG260" s="11"/>
      <c r="AH260" s="11"/>
      <c r="AI260" s="11"/>
      <c r="AJ260" s="11"/>
      <c r="AK260" s="11"/>
      <c r="AL260" s="11"/>
    </row>
    <row r="261" spans="1:38" x14ac:dyDescent="0.25">
      <c r="A261" s="38">
        <f>+Données!A261</f>
        <v>5861</v>
      </c>
      <c r="B261" s="250" t="str">
        <f>+Données!B261</f>
        <v>Rolle</v>
      </c>
      <c r="C261" s="238">
        <f>+Ecrêtage!C261</f>
        <v>663825.23287759279</v>
      </c>
      <c r="D261" s="236"/>
      <c r="E261" s="238">
        <f>Données!AF261+Données!AG261+Données!AH261</f>
        <v>3643619</v>
      </c>
      <c r="F261" s="236">
        <f t="shared" si="25"/>
        <v>5310601.8630207423</v>
      </c>
      <c r="G261" s="8">
        <f t="shared" si="27"/>
        <v>0</v>
      </c>
      <c r="H261" s="317">
        <f t="shared" si="28"/>
        <v>0</v>
      </c>
      <c r="J261" s="8">
        <f>Données!AN261</f>
        <v>141510</v>
      </c>
      <c r="K261" s="216">
        <f t="shared" si="26"/>
        <v>663825.23287759279</v>
      </c>
      <c r="L261" s="12">
        <f t="shared" si="29"/>
        <v>0</v>
      </c>
      <c r="M261" s="317">
        <f t="shared" si="30"/>
        <v>0</v>
      </c>
      <c r="O261" s="42">
        <f t="shared" si="32"/>
        <v>0</v>
      </c>
      <c r="P261" s="274"/>
      <c r="Q261" s="229"/>
      <c r="R261" s="229"/>
      <c r="S261" s="229"/>
      <c r="T261" s="229"/>
      <c r="U261" s="229"/>
      <c r="AF261" s="11"/>
      <c r="AG261" s="11"/>
      <c r="AH261" s="11"/>
      <c r="AI261" s="11"/>
      <c r="AJ261" s="11"/>
      <c r="AK261" s="11"/>
      <c r="AL261" s="11"/>
    </row>
    <row r="262" spans="1:38" x14ac:dyDescent="0.25">
      <c r="A262" s="38">
        <f>+Données!A262</f>
        <v>5862</v>
      </c>
      <c r="B262" s="250" t="str">
        <f>+Données!B262</f>
        <v>Tartegnin</v>
      </c>
      <c r="C262" s="238">
        <f>+Ecrêtage!C262</f>
        <v>8093.970937390457</v>
      </c>
      <c r="D262" s="236"/>
      <c r="E262" s="238">
        <f>Données!AF262+Données!AG262+Données!AH262</f>
        <v>45791</v>
      </c>
      <c r="F262" s="236">
        <f t="shared" ref="F262:F305" si="33">+C262*$G$5</f>
        <v>64751.767499123656</v>
      </c>
      <c r="G262" s="8">
        <f t="shared" si="27"/>
        <v>0</v>
      </c>
      <c r="H262" s="317">
        <f t="shared" si="28"/>
        <v>0</v>
      </c>
      <c r="J262" s="8">
        <f>Données!AN262</f>
        <v>7569</v>
      </c>
      <c r="K262" s="216">
        <f t="shared" ref="K262:K305" si="34">C262*L$5</f>
        <v>8093.970937390457</v>
      </c>
      <c r="L262" s="12">
        <f t="shared" si="29"/>
        <v>0</v>
      </c>
      <c r="M262" s="317">
        <f t="shared" si="30"/>
        <v>0</v>
      </c>
      <c r="O262" s="42">
        <f t="shared" si="32"/>
        <v>0</v>
      </c>
      <c r="P262" s="274"/>
      <c r="Q262" s="229"/>
      <c r="R262" s="229"/>
      <c r="S262" s="229"/>
      <c r="T262" s="229"/>
      <c r="U262" s="229"/>
      <c r="AF262" s="11"/>
      <c r="AG262" s="11"/>
      <c r="AH262" s="11"/>
      <c r="AI262" s="11"/>
      <c r="AJ262" s="11"/>
      <c r="AK262" s="11"/>
      <c r="AL262" s="11"/>
    </row>
    <row r="263" spans="1:38" x14ac:dyDescent="0.25">
      <c r="A263" s="38">
        <f>+Données!A263</f>
        <v>5863</v>
      </c>
      <c r="B263" s="250" t="str">
        <f>+Données!B263</f>
        <v>Vinzel</v>
      </c>
      <c r="C263" s="238">
        <f>+Ecrêtage!C263</f>
        <v>21922.221840386148</v>
      </c>
      <c r="D263" s="236"/>
      <c r="E263" s="238">
        <f>Données!AF263+Données!AG263+Données!AH263</f>
        <v>55099</v>
      </c>
      <c r="F263" s="236">
        <f t="shared" si="33"/>
        <v>175377.77472308918</v>
      </c>
      <c r="G263" s="8">
        <f t="shared" ref="G263:G305" si="35">IF(E263&gt;F263,E263-F263,0)</f>
        <v>0</v>
      </c>
      <c r="H263" s="317">
        <f t="shared" ref="H263:H305" si="36">-G263*H$5</f>
        <v>0</v>
      </c>
      <c r="J263" s="8">
        <f>Données!AN263</f>
        <v>2072</v>
      </c>
      <c r="K263" s="216">
        <f t="shared" si="34"/>
        <v>21922.221840386148</v>
      </c>
      <c r="L263" s="12">
        <f t="shared" ref="L263:L305" si="37">IF(J263&gt;K263,J263-K263,0)</f>
        <v>0</v>
      </c>
      <c r="M263" s="317">
        <f t="shared" ref="M263:M305" si="38">-L263*M$5</f>
        <v>0</v>
      </c>
      <c r="O263" s="42">
        <f t="shared" si="32"/>
        <v>0</v>
      </c>
      <c r="P263" s="274"/>
      <c r="Q263" s="229"/>
      <c r="R263" s="229"/>
      <c r="S263" s="229"/>
      <c r="T263" s="229"/>
      <c r="U263" s="229"/>
      <c r="AF263" s="11"/>
      <c r="AG263" s="11"/>
      <c r="AH263" s="11"/>
      <c r="AI263" s="11"/>
      <c r="AJ263" s="11"/>
      <c r="AK263" s="11"/>
      <c r="AL263" s="11"/>
    </row>
    <row r="264" spans="1:38" x14ac:dyDescent="0.25">
      <c r="A264" s="38">
        <f>+Données!A264</f>
        <v>5871</v>
      </c>
      <c r="B264" s="250" t="str">
        <f>+Données!B264</f>
        <v>L'Abbaye</v>
      </c>
      <c r="C264" s="238">
        <f>+Ecrêtage!C264</f>
        <v>49484.284679945325</v>
      </c>
      <c r="D264" s="236"/>
      <c r="E264" s="238">
        <f>Données!AF264+Données!AG264+Données!AH264</f>
        <v>862229</v>
      </c>
      <c r="F264" s="236">
        <f t="shared" si="33"/>
        <v>395874.2774395626</v>
      </c>
      <c r="G264" s="8">
        <f t="shared" si="35"/>
        <v>466354.7225604374</v>
      </c>
      <c r="H264" s="317">
        <f t="shared" si="36"/>
        <v>-349766.04192032805</v>
      </c>
      <c r="J264" s="8">
        <f>Données!AN264</f>
        <v>35920</v>
      </c>
      <c r="K264" s="216">
        <f t="shared" si="34"/>
        <v>49484.284679945325</v>
      </c>
      <c r="L264" s="12">
        <f t="shared" si="37"/>
        <v>0</v>
      </c>
      <c r="M264" s="317">
        <f t="shared" si="38"/>
        <v>0</v>
      </c>
      <c r="O264" s="42">
        <f t="shared" si="32"/>
        <v>-349766.04192032805</v>
      </c>
      <c r="P264" s="274"/>
      <c r="Q264" s="229"/>
      <c r="R264" s="229"/>
      <c r="S264" s="229"/>
      <c r="T264" s="229"/>
      <c r="U264" s="229"/>
      <c r="AF264" s="11"/>
      <c r="AG264" s="11"/>
      <c r="AH264" s="11"/>
      <c r="AI264" s="11"/>
      <c r="AJ264" s="11"/>
      <c r="AK264" s="11"/>
      <c r="AL264" s="11"/>
    </row>
    <row r="265" spans="1:38" x14ac:dyDescent="0.25">
      <c r="A265" s="38">
        <f>+Données!A265</f>
        <v>5872</v>
      </c>
      <c r="B265" s="250" t="str">
        <f>+Données!B265</f>
        <v>Le Chenit</v>
      </c>
      <c r="C265" s="238">
        <f>+Ecrêtage!C265</f>
        <v>234098.82523259622</v>
      </c>
      <c r="D265" s="236"/>
      <c r="E265" s="238">
        <f>Données!AF265+Données!AG265+Données!AH265</f>
        <v>3701644</v>
      </c>
      <c r="F265" s="236">
        <f t="shared" si="33"/>
        <v>1872790.6018607698</v>
      </c>
      <c r="G265" s="8">
        <f t="shared" si="35"/>
        <v>1828853.3981392302</v>
      </c>
      <c r="H265" s="317">
        <f t="shared" si="36"/>
        <v>-1371640.0486044227</v>
      </c>
      <c r="J265" s="8">
        <f>Données!AN265</f>
        <v>456245</v>
      </c>
      <c r="K265" s="216">
        <f t="shared" si="34"/>
        <v>234098.82523259622</v>
      </c>
      <c r="L265" s="12">
        <f t="shared" si="37"/>
        <v>222146.17476740378</v>
      </c>
      <c r="M265" s="317">
        <f t="shared" si="38"/>
        <v>-166609.63107555284</v>
      </c>
      <c r="O265" s="42">
        <f t="shared" si="32"/>
        <v>-1538249.6796799756</v>
      </c>
      <c r="P265" s="274"/>
      <c r="Q265" s="229"/>
      <c r="R265" s="229"/>
      <c r="S265" s="229"/>
      <c r="T265" s="229"/>
      <c r="U265" s="229"/>
      <c r="AF265" s="11"/>
      <c r="AG265" s="11"/>
      <c r="AH265" s="11"/>
      <c r="AI265" s="11"/>
      <c r="AJ265" s="11"/>
      <c r="AK265" s="11"/>
      <c r="AL265" s="11"/>
    </row>
    <row r="266" spans="1:38" x14ac:dyDescent="0.25">
      <c r="A266" s="38">
        <f>+Données!A266</f>
        <v>5873</v>
      </c>
      <c r="B266" s="250" t="str">
        <f>+Données!B266</f>
        <v>Le Lieu</v>
      </c>
      <c r="C266" s="238">
        <f>+Ecrêtage!C266</f>
        <v>30412.639654224466</v>
      </c>
      <c r="D266" s="236"/>
      <c r="E266" s="238">
        <f>Données!AF266+Données!AG266+Données!AH266</f>
        <v>995623</v>
      </c>
      <c r="F266" s="236">
        <f t="shared" si="33"/>
        <v>243301.11723379573</v>
      </c>
      <c r="G266" s="8">
        <f t="shared" si="35"/>
        <v>752321.8827662043</v>
      </c>
      <c r="H266" s="317">
        <f t="shared" si="36"/>
        <v>-564241.4120746532</v>
      </c>
      <c r="J266" s="8">
        <f>Données!AN266</f>
        <v>202518</v>
      </c>
      <c r="K266" s="216">
        <f t="shared" si="34"/>
        <v>30412.639654224466</v>
      </c>
      <c r="L266" s="12">
        <f t="shared" si="37"/>
        <v>172105.36034577552</v>
      </c>
      <c r="M266" s="317">
        <f t="shared" si="38"/>
        <v>-129079.02025933165</v>
      </c>
      <c r="O266" s="42">
        <f t="shared" si="32"/>
        <v>-693320.43233398488</v>
      </c>
      <c r="P266" s="274"/>
      <c r="Q266" s="229"/>
      <c r="R266" s="229"/>
      <c r="S266" s="229"/>
      <c r="T266" s="229"/>
      <c r="U266" s="229"/>
      <c r="AF266" s="11"/>
      <c r="AG266" s="11"/>
      <c r="AH266" s="11"/>
      <c r="AI266" s="11"/>
      <c r="AJ266" s="11"/>
      <c r="AK266" s="11"/>
      <c r="AL266" s="11"/>
    </row>
    <row r="267" spans="1:38" x14ac:dyDescent="0.25">
      <c r="A267" s="38">
        <f>+Données!A267</f>
        <v>5882</v>
      </c>
      <c r="B267" s="250" t="str">
        <f>+Données!B267</f>
        <v>Chardonne</v>
      </c>
      <c r="C267" s="238">
        <f>+Ecrêtage!C267</f>
        <v>178990.25503852809</v>
      </c>
      <c r="D267" s="236"/>
      <c r="E267" s="238">
        <f>Données!AF267+Données!AG267+Données!AH267</f>
        <v>1944764</v>
      </c>
      <c r="F267" s="236">
        <f t="shared" si="33"/>
        <v>1431922.0403082247</v>
      </c>
      <c r="G267" s="8">
        <f t="shared" si="35"/>
        <v>512841.95969177526</v>
      </c>
      <c r="H267" s="317">
        <f t="shared" si="36"/>
        <v>-384631.46976883145</v>
      </c>
      <c r="J267" s="8">
        <f>Données!AN267</f>
        <v>9801</v>
      </c>
      <c r="K267" s="216">
        <f t="shared" si="34"/>
        <v>178990.25503852809</v>
      </c>
      <c r="L267" s="12">
        <f t="shared" si="37"/>
        <v>0</v>
      </c>
      <c r="M267" s="317">
        <f t="shared" si="38"/>
        <v>0</v>
      </c>
      <c r="O267" s="42">
        <f t="shared" si="32"/>
        <v>-384631.46976883145</v>
      </c>
      <c r="P267" s="274"/>
      <c r="Q267" s="229"/>
      <c r="R267" s="229"/>
      <c r="S267" s="229"/>
      <c r="T267" s="229"/>
      <c r="U267" s="229"/>
      <c r="AF267" s="11"/>
      <c r="AG267" s="11"/>
      <c r="AH267" s="11"/>
      <c r="AI267" s="11"/>
      <c r="AJ267" s="11"/>
      <c r="AK267" s="11"/>
      <c r="AL267" s="11"/>
    </row>
    <row r="268" spans="1:38" x14ac:dyDescent="0.25">
      <c r="A268" s="38">
        <f>+Données!A268</f>
        <v>5883</v>
      </c>
      <c r="B268" s="250" t="str">
        <f>+Données!B268</f>
        <v>Corseaux</v>
      </c>
      <c r="C268" s="238">
        <f>+Ecrêtage!C268</f>
        <v>167834.94979180559</v>
      </c>
      <c r="D268" s="236"/>
      <c r="E268" s="238">
        <f>Données!AF268+Données!AG268+Données!AH268</f>
        <v>1038585</v>
      </c>
      <c r="F268" s="236">
        <f t="shared" si="33"/>
        <v>1342679.5983344447</v>
      </c>
      <c r="G268" s="8">
        <f t="shared" si="35"/>
        <v>0</v>
      </c>
      <c r="H268" s="317">
        <f t="shared" si="36"/>
        <v>0</v>
      </c>
      <c r="J268" s="8">
        <f>Données!AN268</f>
        <v>1784</v>
      </c>
      <c r="K268" s="216">
        <f t="shared" si="34"/>
        <v>167834.94979180559</v>
      </c>
      <c r="L268" s="12">
        <f t="shared" si="37"/>
        <v>0</v>
      </c>
      <c r="M268" s="317">
        <f t="shared" si="38"/>
        <v>0</v>
      </c>
      <c r="O268" s="42">
        <f t="shared" si="32"/>
        <v>0</v>
      </c>
      <c r="P268" s="274"/>
      <c r="Q268" s="229"/>
      <c r="R268" s="229"/>
      <c r="S268" s="229"/>
      <c r="T268" s="229"/>
      <c r="U268" s="229"/>
      <c r="AF268" s="11"/>
      <c r="AG268" s="11"/>
      <c r="AH268" s="11"/>
      <c r="AI268" s="11"/>
      <c r="AJ268" s="11"/>
      <c r="AK268" s="11"/>
      <c r="AL268" s="11"/>
    </row>
    <row r="269" spans="1:38" x14ac:dyDescent="0.25">
      <c r="A269" s="38">
        <f>+Données!A269</f>
        <v>5884</v>
      </c>
      <c r="B269" s="250" t="str">
        <f>+Données!B269</f>
        <v>Corsier-sur-Vevey</v>
      </c>
      <c r="C269" s="238">
        <f>+Ecrêtage!C269</f>
        <v>122060.78000997694</v>
      </c>
      <c r="D269" s="236"/>
      <c r="E269" s="238">
        <f>Données!AF269+Données!AG269+Données!AH269</f>
        <v>2735390</v>
      </c>
      <c r="F269" s="236">
        <f t="shared" si="33"/>
        <v>976486.2400798155</v>
      </c>
      <c r="G269" s="8">
        <f t="shared" si="35"/>
        <v>1758903.7599201845</v>
      </c>
      <c r="H269" s="317">
        <f t="shared" si="36"/>
        <v>-1319177.8199401384</v>
      </c>
      <c r="J269" s="8">
        <f>Données!AN269</f>
        <v>-18070</v>
      </c>
      <c r="K269" s="216">
        <f t="shared" si="34"/>
        <v>122060.78000997694</v>
      </c>
      <c r="L269" s="12">
        <f t="shared" si="37"/>
        <v>0</v>
      </c>
      <c r="M269" s="317">
        <f t="shared" si="38"/>
        <v>0</v>
      </c>
      <c r="O269" s="42">
        <f t="shared" si="32"/>
        <v>-1319177.8199401384</v>
      </c>
      <c r="P269" s="274"/>
      <c r="Q269" s="229"/>
      <c r="R269" s="229"/>
      <c r="S269" s="229"/>
      <c r="T269" s="229"/>
      <c r="U269" s="229"/>
      <c r="AF269" s="11"/>
      <c r="AG269" s="11"/>
      <c r="AH269" s="11"/>
      <c r="AI269" s="11"/>
      <c r="AJ269" s="11"/>
      <c r="AK269" s="11"/>
      <c r="AL269" s="11"/>
    </row>
    <row r="270" spans="1:38" x14ac:dyDescent="0.25">
      <c r="A270" s="38">
        <f>+Données!A270</f>
        <v>5885</v>
      </c>
      <c r="B270" s="250" t="str">
        <f>+Données!B270</f>
        <v>Jongny</v>
      </c>
      <c r="C270" s="238">
        <f>+Ecrêtage!C270</f>
        <v>85101.147065913159</v>
      </c>
      <c r="D270" s="236"/>
      <c r="E270" s="238">
        <f>Données!AF270+Données!AG270+Données!AH270</f>
        <v>779018</v>
      </c>
      <c r="F270" s="236">
        <f t="shared" si="33"/>
        <v>680809.17652730527</v>
      </c>
      <c r="G270" s="8">
        <f t="shared" si="35"/>
        <v>98208.823472694727</v>
      </c>
      <c r="H270" s="317">
        <f t="shared" si="36"/>
        <v>-73656.617604521045</v>
      </c>
      <c r="J270" s="8">
        <f>Données!AN270</f>
        <v>-3096</v>
      </c>
      <c r="K270" s="216">
        <f t="shared" si="34"/>
        <v>85101.147065913159</v>
      </c>
      <c r="L270" s="12">
        <f t="shared" si="37"/>
        <v>0</v>
      </c>
      <c r="M270" s="317">
        <f t="shared" si="38"/>
        <v>0</v>
      </c>
      <c r="O270" s="42">
        <f t="shared" si="32"/>
        <v>-73656.617604521045</v>
      </c>
      <c r="P270" s="274"/>
      <c r="Q270" s="229"/>
      <c r="R270" s="229"/>
      <c r="S270" s="229"/>
      <c r="T270" s="229"/>
      <c r="U270" s="229"/>
      <c r="AF270" s="11"/>
      <c r="AG270" s="11"/>
      <c r="AH270" s="11"/>
      <c r="AI270" s="11"/>
      <c r="AJ270" s="11"/>
      <c r="AK270" s="11"/>
      <c r="AL270" s="11"/>
    </row>
    <row r="271" spans="1:38" x14ac:dyDescent="0.25">
      <c r="A271" s="38">
        <f>+Données!A271</f>
        <v>5886</v>
      </c>
      <c r="B271" s="250" t="str">
        <f>+Données!B271</f>
        <v>Montreux</v>
      </c>
      <c r="C271" s="238">
        <f>+Ecrêtage!C271</f>
        <v>1096049.6436560636</v>
      </c>
      <c r="D271" s="236"/>
      <c r="E271" s="238">
        <f>Données!AF271+Données!AG271+Données!AH271</f>
        <v>16213752</v>
      </c>
      <c r="F271" s="236">
        <f t="shared" si="33"/>
        <v>8768397.1492485087</v>
      </c>
      <c r="G271" s="8">
        <f t="shared" si="35"/>
        <v>7445354.8507514913</v>
      </c>
      <c r="H271" s="317">
        <f t="shared" si="36"/>
        <v>-5584016.1380636189</v>
      </c>
      <c r="J271" s="8">
        <f>Données!AN271</f>
        <v>2091687</v>
      </c>
      <c r="K271" s="216">
        <f t="shared" si="34"/>
        <v>1096049.6436560636</v>
      </c>
      <c r="L271" s="12">
        <f t="shared" si="37"/>
        <v>995637.35634393641</v>
      </c>
      <c r="M271" s="317">
        <f t="shared" si="38"/>
        <v>-746728.01725795236</v>
      </c>
      <c r="O271" s="42">
        <f t="shared" si="32"/>
        <v>-6330744.155321571</v>
      </c>
      <c r="P271" s="274"/>
      <c r="Q271" s="229"/>
      <c r="R271" s="229"/>
      <c r="S271" s="229"/>
      <c r="T271" s="229"/>
      <c r="U271" s="229"/>
      <c r="AF271" s="11"/>
      <c r="AG271" s="11"/>
      <c r="AH271" s="11"/>
      <c r="AI271" s="11"/>
      <c r="AJ271" s="11"/>
      <c r="AK271" s="11"/>
      <c r="AL271" s="11"/>
    </row>
    <row r="272" spans="1:38" x14ac:dyDescent="0.25">
      <c r="A272" s="38">
        <f>+Données!A272</f>
        <v>5889</v>
      </c>
      <c r="B272" s="250" t="str">
        <f>+Données!B272</f>
        <v>La Tour-de-Peilz</v>
      </c>
      <c r="C272" s="238">
        <f>+Ecrêtage!C272</f>
        <v>674464.00637600874</v>
      </c>
      <c r="D272" s="236"/>
      <c r="E272" s="238">
        <f>Données!AF272+Données!AG272+Données!AH272</f>
        <v>5591452</v>
      </c>
      <c r="F272" s="236">
        <f t="shared" si="33"/>
        <v>5395712.0510080699</v>
      </c>
      <c r="G272" s="8">
        <f t="shared" si="35"/>
        <v>195739.94899193011</v>
      </c>
      <c r="H272" s="317">
        <f t="shared" si="36"/>
        <v>-146804.96174394758</v>
      </c>
      <c r="J272" s="8">
        <f>Données!AN272</f>
        <v>8144</v>
      </c>
      <c r="K272" s="216">
        <f t="shared" si="34"/>
        <v>674464.00637600874</v>
      </c>
      <c r="L272" s="12">
        <f t="shared" si="37"/>
        <v>0</v>
      </c>
      <c r="M272" s="317">
        <f t="shared" si="38"/>
        <v>0</v>
      </c>
      <c r="O272" s="42">
        <f t="shared" si="32"/>
        <v>-146804.96174394758</v>
      </c>
      <c r="P272" s="274"/>
      <c r="Q272" s="229"/>
      <c r="R272" s="229"/>
      <c r="S272" s="229"/>
      <c r="T272" s="229"/>
      <c r="U272" s="229"/>
      <c r="AF272" s="11"/>
      <c r="AG272" s="11"/>
      <c r="AH272" s="11"/>
      <c r="AI272" s="11"/>
      <c r="AJ272" s="11"/>
      <c r="AK272" s="11"/>
      <c r="AL272" s="11"/>
    </row>
    <row r="273" spans="1:38" x14ac:dyDescent="0.25">
      <c r="A273" s="38">
        <f>+Données!A273</f>
        <v>5890</v>
      </c>
      <c r="B273" s="250" t="str">
        <f>+Données!B273</f>
        <v>Vevey</v>
      </c>
      <c r="C273" s="238">
        <f>+Ecrêtage!C273</f>
        <v>858874.45047675935</v>
      </c>
      <c r="D273" s="236"/>
      <c r="E273" s="238">
        <f>Données!AF273+Données!AG273+Données!AH273</f>
        <v>11856711</v>
      </c>
      <c r="F273" s="236">
        <f t="shared" si="33"/>
        <v>6870995.6038140748</v>
      </c>
      <c r="G273" s="8">
        <f t="shared" si="35"/>
        <v>4985715.3961859252</v>
      </c>
      <c r="H273" s="317">
        <f t="shared" si="36"/>
        <v>-3739286.5471394439</v>
      </c>
      <c r="J273" s="8">
        <f>Données!AN273</f>
        <v>100000</v>
      </c>
      <c r="K273" s="216">
        <f t="shared" si="34"/>
        <v>858874.45047675935</v>
      </c>
      <c r="L273" s="12">
        <f t="shared" si="37"/>
        <v>0</v>
      </c>
      <c r="M273" s="317">
        <f t="shared" si="38"/>
        <v>0</v>
      </c>
      <c r="O273" s="42">
        <f t="shared" si="32"/>
        <v>-3739286.5471394439</v>
      </c>
      <c r="P273" s="274"/>
      <c r="Q273" s="229"/>
      <c r="R273" s="229"/>
      <c r="S273" s="229"/>
      <c r="T273" s="229"/>
      <c r="U273" s="229"/>
      <c r="AF273" s="11"/>
      <c r="AG273" s="11"/>
      <c r="AH273" s="11"/>
      <c r="AI273" s="11"/>
      <c r="AJ273" s="11"/>
      <c r="AK273" s="11"/>
      <c r="AL273" s="11"/>
    </row>
    <row r="274" spans="1:38" x14ac:dyDescent="0.25">
      <c r="A274" s="38">
        <f>+Données!A274</f>
        <v>5891</v>
      </c>
      <c r="B274" s="250" t="str">
        <f>+Données!B274</f>
        <v>Veytaux</v>
      </c>
      <c r="C274" s="238">
        <f>+Ecrêtage!C274</f>
        <v>43940.417859726374</v>
      </c>
      <c r="D274" s="236"/>
      <c r="E274" s="238">
        <f>Données!AF274+Données!AG274+Données!AH274</f>
        <v>602991</v>
      </c>
      <c r="F274" s="236">
        <f t="shared" si="33"/>
        <v>351523.342877811</v>
      </c>
      <c r="G274" s="8">
        <f t="shared" si="35"/>
        <v>251467.657122189</v>
      </c>
      <c r="H274" s="317">
        <f t="shared" si="36"/>
        <v>-188600.74284164177</v>
      </c>
      <c r="J274" s="8">
        <f>Données!AN274</f>
        <v>402123</v>
      </c>
      <c r="K274" s="216">
        <f t="shared" si="34"/>
        <v>43940.417859726374</v>
      </c>
      <c r="L274" s="12">
        <f t="shared" si="37"/>
        <v>358182.58214027365</v>
      </c>
      <c r="M274" s="317">
        <f t="shared" si="38"/>
        <v>-268636.93660520524</v>
      </c>
      <c r="O274" s="42">
        <f t="shared" si="32"/>
        <v>-457237.679446847</v>
      </c>
      <c r="P274" s="274"/>
      <c r="Q274" s="229"/>
      <c r="R274" s="229"/>
      <c r="S274" s="229"/>
      <c r="T274" s="229"/>
      <c r="U274" s="229"/>
      <c r="AF274" s="11"/>
      <c r="AG274" s="11"/>
      <c r="AH274" s="11"/>
      <c r="AI274" s="11"/>
      <c r="AJ274" s="11"/>
      <c r="AK274" s="11"/>
      <c r="AL274" s="11"/>
    </row>
    <row r="275" spans="1:38" s="220" customFormat="1" x14ac:dyDescent="0.25">
      <c r="A275" s="38">
        <f>+Données!A275</f>
        <v>5892</v>
      </c>
      <c r="B275" s="250" t="str">
        <f>+Données!B275</f>
        <v>Blonay-Saint-Légier</v>
      </c>
      <c r="C275" s="238">
        <f>+Ecrêtage!C275</f>
        <v>693176.17061999615</v>
      </c>
      <c r="D275" s="236"/>
      <c r="E275" s="238">
        <f>Données!AF275+Données!AG275+Données!AH275</f>
        <v>7538825</v>
      </c>
      <c r="F275" s="236">
        <f t="shared" si="33"/>
        <v>5545409.3649599692</v>
      </c>
      <c r="G275" s="8">
        <f t="shared" si="35"/>
        <v>1993415.6350400308</v>
      </c>
      <c r="H275" s="317">
        <f t="shared" si="36"/>
        <v>-1495061.7262800231</v>
      </c>
      <c r="I275" s="239"/>
      <c r="J275" s="8">
        <f>Données!AN275</f>
        <v>1201177</v>
      </c>
      <c r="K275" s="216">
        <f t="shared" si="34"/>
        <v>693176.17061999615</v>
      </c>
      <c r="L275" s="239">
        <f t="shared" si="37"/>
        <v>508000.82938000385</v>
      </c>
      <c r="M275" s="317">
        <f t="shared" si="38"/>
        <v>-381000.62203500292</v>
      </c>
      <c r="N275" s="239"/>
      <c r="O275" s="42">
        <f t="shared" si="32"/>
        <v>-1876062.3483150261</v>
      </c>
      <c r="P275" s="274"/>
      <c r="Q275" s="229"/>
      <c r="R275" s="229"/>
      <c r="S275" s="229"/>
      <c r="T275" s="229"/>
      <c r="U275" s="229"/>
    </row>
    <row r="276" spans="1:38" x14ac:dyDescent="0.25">
      <c r="A276" s="38">
        <f>+Données!A276</f>
        <v>5902</v>
      </c>
      <c r="B276" s="250" t="str">
        <f>+Données!B276</f>
        <v>Belmont-sur-Yverdon</v>
      </c>
      <c r="C276" s="238">
        <f>+Ecrêtage!C276</f>
        <v>11718.07192496429</v>
      </c>
      <c r="D276" s="236"/>
      <c r="E276" s="238">
        <f>Données!AF276+Données!AG276+Données!AH276</f>
        <v>77133</v>
      </c>
      <c r="F276" s="236">
        <f t="shared" si="33"/>
        <v>93744.575399714318</v>
      </c>
      <c r="G276" s="8">
        <f t="shared" si="35"/>
        <v>0</v>
      </c>
      <c r="H276" s="317">
        <f t="shared" si="36"/>
        <v>0</v>
      </c>
      <c r="J276" s="8">
        <f>Données!AN276</f>
        <v>17576</v>
      </c>
      <c r="K276" s="216">
        <f t="shared" si="34"/>
        <v>11718.07192496429</v>
      </c>
      <c r="L276" s="12">
        <f t="shared" si="37"/>
        <v>5857.9280750357102</v>
      </c>
      <c r="M276" s="317">
        <f t="shared" si="38"/>
        <v>-4393.4460562767827</v>
      </c>
      <c r="O276" s="42">
        <f t="shared" si="32"/>
        <v>-4393.4460562767827</v>
      </c>
      <c r="P276" s="274"/>
      <c r="Q276" s="229"/>
      <c r="R276" s="229"/>
      <c r="S276" s="229"/>
      <c r="T276" s="229"/>
      <c r="U276" s="229"/>
      <c r="AF276" s="11"/>
      <c r="AG276" s="11"/>
      <c r="AH276" s="11"/>
      <c r="AI276" s="11"/>
      <c r="AJ276" s="11"/>
      <c r="AK276" s="11"/>
      <c r="AL276" s="11"/>
    </row>
    <row r="277" spans="1:38" x14ac:dyDescent="0.25">
      <c r="A277" s="38">
        <f>+Données!A277</f>
        <v>5903</v>
      </c>
      <c r="B277" s="250" t="str">
        <f>+Données!B277</f>
        <v>Bioley-Magnoux</v>
      </c>
      <c r="C277" s="238">
        <f>+Ecrêtage!C277</f>
        <v>5023.7843849206347</v>
      </c>
      <c r="D277" s="236"/>
      <c r="E277" s="238">
        <f>Données!AF277+Données!AG277+Données!AH277</f>
        <v>205201</v>
      </c>
      <c r="F277" s="236">
        <f t="shared" si="33"/>
        <v>40190.275079365078</v>
      </c>
      <c r="G277" s="8">
        <f t="shared" si="35"/>
        <v>165010.72492063494</v>
      </c>
      <c r="H277" s="317">
        <f t="shared" si="36"/>
        <v>-123758.0436904762</v>
      </c>
      <c r="J277" s="8">
        <f>Données!AN277</f>
        <v>25330</v>
      </c>
      <c r="K277" s="216">
        <f t="shared" si="34"/>
        <v>5023.7843849206347</v>
      </c>
      <c r="L277" s="12">
        <f t="shared" si="37"/>
        <v>20306.215615079367</v>
      </c>
      <c r="M277" s="317">
        <f t="shared" si="38"/>
        <v>-15229.661711309525</v>
      </c>
      <c r="O277" s="42">
        <f t="shared" si="32"/>
        <v>-138987.70540178573</v>
      </c>
      <c r="P277" s="274"/>
      <c r="Q277" s="229"/>
      <c r="R277" s="229"/>
      <c r="S277" s="229"/>
      <c r="T277" s="229"/>
      <c r="U277" s="229"/>
      <c r="AF277" s="11"/>
      <c r="AG277" s="11"/>
      <c r="AH277" s="11"/>
      <c r="AI277" s="11"/>
      <c r="AJ277" s="11"/>
      <c r="AK277" s="11"/>
      <c r="AL277" s="11"/>
    </row>
    <row r="278" spans="1:38" x14ac:dyDescent="0.25">
      <c r="A278" s="38">
        <f>+Données!A278</f>
        <v>5904</v>
      </c>
      <c r="B278" s="250" t="str">
        <f>+Données!B278</f>
        <v>Chamblon</v>
      </c>
      <c r="C278" s="238">
        <f>+Ecrêtage!C278</f>
        <v>21692.89514545034</v>
      </c>
      <c r="D278" s="236"/>
      <c r="E278" s="238">
        <f>Données!AF278+Données!AG278+Données!AH278</f>
        <v>98862</v>
      </c>
      <c r="F278" s="236">
        <f t="shared" si="33"/>
        <v>173543.16116360272</v>
      </c>
      <c r="G278" s="8">
        <f t="shared" si="35"/>
        <v>0</v>
      </c>
      <c r="H278" s="317">
        <f t="shared" si="36"/>
        <v>0</v>
      </c>
      <c r="J278" s="8">
        <f>Données!AN278</f>
        <v>415</v>
      </c>
      <c r="K278" s="216">
        <f t="shared" si="34"/>
        <v>21692.89514545034</v>
      </c>
      <c r="L278" s="12">
        <f t="shared" si="37"/>
        <v>0</v>
      </c>
      <c r="M278" s="317">
        <f t="shared" si="38"/>
        <v>0</v>
      </c>
      <c r="O278" s="42">
        <f t="shared" si="32"/>
        <v>0</v>
      </c>
      <c r="P278" s="274"/>
      <c r="Q278" s="229"/>
      <c r="R278" s="229"/>
      <c r="S278" s="229"/>
      <c r="T278" s="229"/>
      <c r="U278" s="229"/>
      <c r="AF278" s="11"/>
      <c r="AG278" s="11"/>
      <c r="AH278" s="11"/>
      <c r="AI278" s="11"/>
      <c r="AJ278" s="11"/>
      <c r="AK278" s="11"/>
      <c r="AL278" s="11"/>
    </row>
    <row r="279" spans="1:38" x14ac:dyDescent="0.25">
      <c r="A279" s="38">
        <f>+Données!A279</f>
        <v>5905</v>
      </c>
      <c r="B279" s="250" t="str">
        <f>+Données!B279</f>
        <v>Champvent</v>
      </c>
      <c r="C279" s="238">
        <f>+Ecrêtage!C279</f>
        <v>21633.757449586756</v>
      </c>
      <c r="D279" s="236"/>
      <c r="E279" s="238">
        <f>Données!AF279+Données!AG279+Données!AH279</f>
        <v>291763</v>
      </c>
      <c r="F279" s="236">
        <f t="shared" si="33"/>
        <v>173070.05959669405</v>
      </c>
      <c r="G279" s="8">
        <f t="shared" si="35"/>
        <v>118692.94040330595</v>
      </c>
      <c r="H279" s="317">
        <f t="shared" si="36"/>
        <v>-89019.705302479473</v>
      </c>
      <c r="J279" s="8">
        <f>Données!AN279</f>
        <v>-36255</v>
      </c>
      <c r="K279" s="216">
        <f t="shared" si="34"/>
        <v>21633.757449586756</v>
      </c>
      <c r="L279" s="12">
        <f t="shared" si="37"/>
        <v>0</v>
      </c>
      <c r="M279" s="317">
        <f t="shared" si="38"/>
        <v>0</v>
      </c>
      <c r="O279" s="42">
        <f t="shared" si="32"/>
        <v>-89019.705302479473</v>
      </c>
      <c r="P279" s="274"/>
      <c r="Q279" s="229"/>
      <c r="R279" s="229"/>
      <c r="S279" s="229"/>
      <c r="T279" s="229"/>
      <c r="U279" s="229"/>
      <c r="AF279" s="11"/>
      <c r="AG279" s="11"/>
      <c r="AH279" s="11"/>
      <c r="AI279" s="11"/>
      <c r="AJ279" s="11"/>
      <c r="AK279" s="11"/>
      <c r="AL279" s="11"/>
    </row>
    <row r="280" spans="1:38" x14ac:dyDescent="0.25">
      <c r="A280" s="38">
        <f>+Données!A280</f>
        <v>5907</v>
      </c>
      <c r="B280" s="250" t="str">
        <f>+Données!B280</f>
        <v>Chavannes-le-Chêne</v>
      </c>
      <c r="C280" s="238">
        <f>+Ecrêtage!C280</f>
        <v>9890.8899187559018</v>
      </c>
      <c r="D280" s="236"/>
      <c r="E280" s="238">
        <f>Données!AF280+Données!AG280+Données!AH280</f>
        <v>143759</v>
      </c>
      <c r="F280" s="236">
        <f t="shared" si="33"/>
        <v>79127.119350047215</v>
      </c>
      <c r="G280" s="8">
        <f t="shared" si="35"/>
        <v>64631.880649952785</v>
      </c>
      <c r="H280" s="317">
        <f t="shared" si="36"/>
        <v>-48473.910487464585</v>
      </c>
      <c r="J280" s="8">
        <f>Données!AN280</f>
        <v>8149</v>
      </c>
      <c r="K280" s="216">
        <f t="shared" si="34"/>
        <v>9890.8899187559018</v>
      </c>
      <c r="L280" s="12">
        <f t="shared" si="37"/>
        <v>0</v>
      </c>
      <c r="M280" s="317">
        <f t="shared" si="38"/>
        <v>0</v>
      </c>
      <c r="O280" s="42">
        <f t="shared" si="32"/>
        <v>-48473.910487464585</v>
      </c>
      <c r="P280" s="274"/>
      <c r="Q280" s="229"/>
      <c r="R280" s="229"/>
      <c r="S280" s="229"/>
      <c r="T280" s="229"/>
      <c r="U280" s="229"/>
      <c r="AF280" s="11"/>
      <c r="AG280" s="11"/>
      <c r="AH280" s="11"/>
      <c r="AI280" s="11"/>
      <c r="AJ280" s="11"/>
      <c r="AK280" s="11"/>
      <c r="AL280" s="11"/>
    </row>
    <row r="281" spans="1:38" x14ac:dyDescent="0.25">
      <c r="A281" s="38">
        <f>+Données!A281</f>
        <v>5908</v>
      </c>
      <c r="B281" s="250" t="str">
        <f>+Données!B281</f>
        <v>Chêne-Pâquier</v>
      </c>
      <c r="C281" s="238">
        <f>+Ecrêtage!C281</f>
        <v>6502.346088577403</v>
      </c>
      <c r="D281" s="236"/>
      <c r="E281" s="238">
        <f>Données!AF281+Données!AG281+Données!AH281</f>
        <v>31688</v>
      </c>
      <c r="F281" s="236">
        <f t="shared" si="33"/>
        <v>52018.768708619224</v>
      </c>
      <c r="G281" s="8">
        <f t="shared" si="35"/>
        <v>0</v>
      </c>
      <c r="H281" s="317">
        <f t="shared" si="36"/>
        <v>0</v>
      </c>
      <c r="J281" s="8">
        <f>Données!AN281</f>
        <v>15472</v>
      </c>
      <c r="K281" s="216">
        <f t="shared" si="34"/>
        <v>6502.346088577403</v>
      </c>
      <c r="L281" s="12">
        <f t="shared" si="37"/>
        <v>8969.6539114225961</v>
      </c>
      <c r="M281" s="317">
        <f t="shared" si="38"/>
        <v>-6727.2404335669471</v>
      </c>
      <c r="O281" s="42">
        <f t="shared" si="32"/>
        <v>-6727.2404335669471</v>
      </c>
      <c r="P281" s="274"/>
      <c r="Q281" s="229"/>
      <c r="R281" s="229"/>
      <c r="S281" s="229"/>
      <c r="T281" s="229"/>
      <c r="U281" s="229"/>
      <c r="AF281" s="11"/>
      <c r="AG281" s="11"/>
      <c r="AH281" s="11"/>
      <c r="AI281" s="11"/>
      <c r="AJ281" s="11"/>
      <c r="AK281" s="11"/>
      <c r="AL281" s="11"/>
    </row>
    <row r="282" spans="1:38" x14ac:dyDescent="0.25">
      <c r="A282" s="38">
        <f>+Données!A282</f>
        <v>5909</v>
      </c>
      <c r="B282" s="250" t="str">
        <f>+Données!B282</f>
        <v>Cheseaux-Noréaz</v>
      </c>
      <c r="C282" s="238">
        <f>+Ecrêtage!C282</f>
        <v>39252.843107523055</v>
      </c>
      <c r="D282" s="236"/>
      <c r="E282" s="238">
        <f>Données!AF282+Données!AG282+Données!AH282</f>
        <v>351869</v>
      </c>
      <c r="F282" s="236">
        <f t="shared" si="33"/>
        <v>314022.74486018444</v>
      </c>
      <c r="G282" s="8">
        <f t="shared" si="35"/>
        <v>37846.255139815563</v>
      </c>
      <c r="H282" s="317">
        <f t="shared" si="36"/>
        <v>-28384.691354861672</v>
      </c>
      <c r="J282" s="8">
        <f>Données!AN282</f>
        <v>14877</v>
      </c>
      <c r="K282" s="216">
        <f t="shared" si="34"/>
        <v>39252.843107523055</v>
      </c>
      <c r="L282" s="12">
        <f t="shared" si="37"/>
        <v>0</v>
      </c>
      <c r="M282" s="317">
        <f t="shared" si="38"/>
        <v>0</v>
      </c>
      <c r="O282" s="42">
        <f t="shared" si="32"/>
        <v>-28384.691354861672</v>
      </c>
      <c r="P282" s="274"/>
      <c r="Q282" s="229"/>
      <c r="R282" s="229"/>
      <c r="S282" s="229"/>
      <c r="T282" s="229"/>
      <c r="U282" s="229"/>
      <c r="AF282" s="11"/>
      <c r="AG282" s="11"/>
      <c r="AH282" s="11"/>
      <c r="AI282" s="11"/>
      <c r="AJ282" s="11"/>
      <c r="AK282" s="11"/>
      <c r="AL282" s="11"/>
    </row>
    <row r="283" spans="1:38" x14ac:dyDescent="0.25">
      <c r="A283" s="38">
        <f>+Données!A283</f>
        <v>5910</v>
      </c>
      <c r="B283" s="250" t="str">
        <f>+Données!B283</f>
        <v>Cronay</v>
      </c>
      <c r="C283" s="238">
        <f>+Ecrêtage!C283</f>
        <v>9974.6879714090483</v>
      </c>
      <c r="D283" s="236"/>
      <c r="E283" s="238">
        <f>Données!AF283+Données!AG283+Données!AH283</f>
        <v>127634</v>
      </c>
      <c r="F283" s="236">
        <f t="shared" si="33"/>
        <v>79797.503771272386</v>
      </c>
      <c r="G283" s="8">
        <f t="shared" si="35"/>
        <v>47836.496228727614</v>
      </c>
      <c r="H283" s="317">
        <f t="shared" si="36"/>
        <v>-35877.372171545707</v>
      </c>
      <c r="J283" s="8">
        <f>Données!AN283</f>
        <v>95922</v>
      </c>
      <c r="K283" s="216">
        <f t="shared" si="34"/>
        <v>9974.6879714090483</v>
      </c>
      <c r="L283" s="12">
        <f t="shared" si="37"/>
        <v>85947.312028590954</v>
      </c>
      <c r="M283" s="317">
        <f t="shared" si="38"/>
        <v>-64460.484021443219</v>
      </c>
      <c r="O283" s="42">
        <f t="shared" si="32"/>
        <v>-100337.85619298893</v>
      </c>
      <c r="P283" s="274"/>
      <c r="Q283" s="229"/>
      <c r="R283" s="229"/>
      <c r="S283" s="229"/>
      <c r="T283" s="229"/>
      <c r="U283" s="229"/>
      <c r="AF283" s="11"/>
      <c r="AG283" s="11"/>
      <c r="AH283" s="11"/>
      <c r="AI283" s="11"/>
      <c r="AJ283" s="11"/>
      <c r="AK283" s="11"/>
      <c r="AL283" s="11"/>
    </row>
    <row r="284" spans="1:38" x14ac:dyDescent="0.25">
      <c r="A284" s="38">
        <f>+Données!A284</f>
        <v>5911</v>
      </c>
      <c r="B284" s="250" t="str">
        <f>+Données!B284</f>
        <v>Cuarny</v>
      </c>
      <c r="C284" s="238">
        <f>+Ecrêtage!C284</f>
        <v>6938.982891321557</v>
      </c>
      <c r="D284" s="236"/>
      <c r="E284" s="238">
        <f>Données!AF284+Données!AG284+Données!AH284</f>
        <v>57144</v>
      </c>
      <c r="F284" s="236">
        <f t="shared" si="33"/>
        <v>55511.863130572456</v>
      </c>
      <c r="G284" s="8">
        <f t="shared" si="35"/>
        <v>1632.1368694275443</v>
      </c>
      <c r="H284" s="317">
        <f t="shared" si="36"/>
        <v>-1224.1026520706582</v>
      </c>
      <c r="J284" s="8">
        <f>Données!AN284</f>
        <v>16671</v>
      </c>
      <c r="K284" s="216">
        <f t="shared" si="34"/>
        <v>6938.982891321557</v>
      </c>
      <c r="L284" s="12">
        <f t="shared" si="37"/>
        <v>9732.017108678443</v>
      </c>
      <c r="M284" s="317">
        <f t="shared" si="38"/>
        <v>-7299.0128315088323</v>
      </c>
      <c r="O284" s="42">
        <f t="shared" ref="O284:O305" si="39">M284+H284</f>
        <v>-8523.1154835794914</v>
      </c>
      <c r="P284" s="274"/>
      <c r="Q284" s="229"/>
      <c r="R284" s="229"/>
      <c r="S284" s="229"/>
      <c r="T284" s="229"/>
      <c r="U284" s="229"/>
      <c r="AF284" s="11"/>
      <c r="AG284" s="11"/>
      <c r="AH284" s="11"/>
      <c r="AI284" s="11"/>
      <c r="AJ284" s="11"/>
      <c r="AK284" s="11"/>
      <c r="AL284" s="11"/>
    </row>
    <row r="285" spans="1:38" x14ac:dyDescent="0.25">
      <c r="A285" s="38">
        <f>+Données!A285</f>
        <v>5912</v>
      </c>
      <c r="B285" s="250" t="str">
        <f>+Données!B285</f>
        <v>Démoret</v>
      </c>
      <c r="C285" s="238">
        <f>+Ecrêtage!C285</f>
        <v>4068.1026902439612</v>
      </c>
      <c r="D285" s="236"/>
      <c r="E285" s="238">
        <f>Données!AF285+Données!AG285+Données!AH285</f>
        <v>26447</v>
      </c>
      <c r="F285" s="236">
        <f t="shared" si="33"/>
        <v>32544.82152195169</v>
      </c>
      <c r="G285" s="8">
        <f t="shared" si="35"/>
        <v>0</v>
      </c>
      <c r="H285" s="317">
        <f t="shared" si="36"/>
        <v>0</v>
      </c>
      <c r="J285" s="8">
        <f>Données!AN285</f>
        <v>18618</v>
      </c>
      <c r="K285" s="216">
        <f t="shared" si="34"/>
        <v>4068.1026902439612</v>
      </c>
      <c r="L285" s="12">
        <f t="shared" si="37"/>
        <v>14549.897309756039</v>
      </c>
      <c r="M285" s="317">
        <f t="shared" si="38"/>
        <v>-10912.42298231703</v>
      </c>
      <c r="O285" s="42">
        <f t="shared" si="39"/>
        <v>-10912.42298231703</v>
      </c>
      <c r="P285" s="274"/>
      <c r="Q285" s="229"/>
      <c r="R285" s="229"/>
      <c r="S285" s="229"/>
      <c r="T285" s="229"/>
      <c r="U285" s="229"/>
      <c r="AF285" s="11"/>
      <c r="AG285" s="11"/>
      <c r="AH285" s="11"/>
      <c r="AI285" s="11"/>
      <c r="AJ285" s="11"/>
      <c r="AK285" s="11"/>
      <c r="AL285" s="11"/>
    </row>
    <row r="286" spans="1:38" x14ac:dyDescent="0.25">
      <c r="A286" s="38">
        <f>+Données!A286</f>
        <v>5913</v>
      </c>
      <c r="B286" s="250" t="str">
        <f>+Données!B286</f>
        <v>Donneloye</v>
      </c>
      <c r="C286" s="238">
        <f>+Ecrêtage!C286</f>
        <v>19877.397448309883</v>
      </c>
      <c r="D286" s="236"/>
      <c r="E286" s="238">
        <f>Données!AF286+Données!AG286+Données!AH286</f>
        <v>169288</v>
      </c>
      <c r="F286" s="236">
        <f t="shared" si="33"/>
        <v>159019.17958647906</v>
      </c>
      <c r="G286" s="8">
        <f t="shared" si="35"/>
        <v>10268.820413520938</v>
      </c>
      <c r="H286" s="317">
        <f t="shared" si="36"/>
        <v>-7701.6153101407035</v>
      </c>
      <c r="J286" s="8">
        <f>Données!AN286</f>
        <v>66885</v>
      </c>
      <c r="K286" s="216">
        <f t="shared" si="34"/>
        <v>19877.397448309883</v>
      </c>
      <c r="L286" s="12">
        <f t="shared" si="37"/>
        <v>47007.602551690114</v>
      </c>
      <c r="M286" s="317">
        <f t="shared" si="38"/>
        <v>-35255.701913767582</v>
      </c>
      <c r="O286" s="42">
        <f t="shared" si="39"/>
        <v>-42957.317223908285</v>
      </c>
      <c r="P286" s="274"/>
      <c r="Q286" s="229"/>
      <c r="R286" s="229"/>
      <c r="S286" s="229"/>
      <c r="T286" s="229"/>
      <c r="U286" s="229"/>
      <c r="AF286" s="11"/>
      <c r="AG286" s="11"/>
      <c r="AH286" s="11"/>
      <c r="AI286" s="11"/>
      <c r="AJ286" s="11"/>
      <c r="AK286" s="11"/>
      <c r="AL286" s="11"/>
    </row>
    <row r="287" spans="1:38" x14ac:dyDescent="0.25">
      <c r="A287" s="38">
        <f>+Données!A287</f>
        <v>5914</v>
      </c>
      <c r="B287" s="250" t="str">
        <f>+Données!B287</f>
        <v>Ependes</v>
      </c>
      <c r="C287" s="238">
        <f>+Ecrêtage!C287</f>
        <v>10654.485759200121</v>
      </c>
      <c r="D287" s="236"/>
      <c r="E287" s="238">
        <f>Données!AF287+Données!AG287+Données!AH287</f>
        <v>164080</v>
      </c>
      <c r="F287" s="236">
        <f t="shared" si="33"/>
        <v>85235.886073600966</v>
      </c>
      <c r="G287" s="8">
        <f t="shared" si="35"/>
        <v>78844.113926399034</v>
      </c>
      <c r="H287" s="317">
        <f t="shared" si="36"/>
        <v>-59133.085444799275</v>
      </c>
      <c r="J287" s="8">
        <f>Données!AN287</f>
        <v>18017</v>
      </c>
      <c r="K287" s="216">
        <f t="shared" si="34"/>
        <v>10654.485759200121</v>
      </c>
      <c r="L287" s="12">
        <f t="shared" si="37"/>
        <v>7362.5142407998792</v>
      </c>
      <c r="M287" s="317">
        <f t="shared" si="38"/>
        <v>-5521.8856805999094</v>
      </c>
      <c r="O287" s="42">
        <f t="shared" si="39"/>
        <v>-64654.971125399185</v>
      </c>
      <c r="P287" s="274"/>
      <c r="Q287" s="229"/>
      <c r="R287" s="229"/>
      <c r="S287" s="229"/>
      <c r="T287" s="229"/>
      <c r="U287" s="229"/>
      <c r="AF287" s="11"/>
      <c r="AG287" s="11"/>
      <c r="AH287" s="11"/>
      <c r="AI287" s="11"/>
      <c r="AJ287" s="11"/>
      <c r="AK287" s="11"/>
      <c r="AL287" s="11"/>
    </row>
    <row r="288" spans="1:38" x14ac:dyDescent="0.25">
      <c r="A288" s="38">
        <f>+Données!A288</f>
        <v>5919</v>
      </c>
      <c r="B288" s="250" t="str">
        <f>+Données!B288</f>
        <v>Mathod</v>
      </c>
      <c r="C288" s="238">
        <f>+Ecrêtage!C288</f>
        <v>21548.298328397002</v>
      </c>
      <c r="D288" s="236"/>
      <c r="E288" s="238">
        <f>Données!AF288+Données!AG288+Données!AH288</f>
        <v>450715</v>
      </c>
      <c r="F288" s="236">
        <f t="shared" si="33"/>
        <v>172386.38662717602</v>
      </c>
      <c r="G288" s="8">
        <f t="shared" si="35"/>
        <v>278328.61337282398</v>
      </c>
      <c r="H288" s="317">
        <f t="shared" si="36"/>
        <v>-208746.460029618</v>
      </c>
      <c r="J288" s="8">
        <f>Données!AN288</f>
        <v>4177</v>
      </c>
      <c r="K288" s="216">
        <f t="shared" si="34"/>
        <v>21548.298328397002</v>
      </c>
      <c r="L288" s="12">
        <f t="shared" si="37"/>
        <v>0</v>
      </c>
      <c r="M288" s="317">
        <f t="shared" si="38"/>
        <v>0</v>
      </c>
      <c r="O288" s="42">
        <f t="shared" si="39"/>
        <v>-208746.460029618</v>
      </c>
      <c r="P288" s="274"/>
      <c r="Q288" s="229"/>
      <c r="R288" s="229"/>
      <c r="S288" s="229"/>
      <c r="T288" s="229"/>
      <c r="U288" s="229"/>
      <c r="AF288" s="11"/>
      <c r="AG288" s="11"/>
      <c r="AH288" s="11"/>
      <c r="AI288" s="11"/>
      <c r="AJ288" s="11"/>
      <c r="AK288" s="11"/>
      <c r="AL288" s="11"/>
    </row>
    <row r="289" spans="1:38" x14ac:dyDescent="0.25">
      <c r="A289" s="38">
        <f>+Données!A289</f>
        <v>5921</v>
      </c>
      <c r="B289" s="250" t="str">
        <f>+Données!B289</f>
        <v>Molondin</v>
      </c>
      <c r="C289" s="238">
        <f>+Ecrêtage!C289</f>
        <v>5680.8817283950611</v>
      </c>
      <c r="D289" s="236"/>
      <c r="E289" s="238">
        <f>Données!AF289+Données!AG289+Données!AH289</f>
        <v>38711</v>
      </c>
      <c r="F289" s="236">
        <f t="shared" si="33"/>
        <v>45447.053827160489</v>
      </c>
      <c r="G289" s="8">
        <f t="shared" si="35"/>
        <v>0</v>
      </c>
      <c r="H289" s="317">
        <f t="shared" si="36"/>
        <v>0</v>
      </c>
      <c r="J289" s="8">
        <f>Données!AN289</f>
        <v>91431</v>
      </c>
      <c r="K289" s="216">
        <f t="shared" si="34"/>
        <v>5680.8817283950611</v>
      </c>
      <c r="L289" s="12">
        <f t="shared" si="37"/>
        <v>85750.118271604937</v>
      </c>
      <c r="M289" s="317">
        <f t="shared" si="38"/>
        <v>-64312.588703703703</v>
      </c>
      <c r="O289" s="42">
        <f t="shared" si="39"/>
        <v>-64312.588703703703</v>
      </c>
      <c r="P289" s="274"/>
      <c r="Q289" s="229"/>
      <c r="R289" s="229"/>
      <c r="S289" s="229"/>
      <c r="T289" s="229"/>
      <c r="U289" s="229"/>
      <c r="AF289" s="11"/>
      <c r="AG289" s="11"/>
      <c r="AH289" s="11"/>
      <c r="AI289" s="11"/>
      <c r="AJ289" s="11"/>
      <c r="AK289" s="11"/>
      <c r="AL289" s="11"/>
    </row>
    <row r="290" spans="1:38" x14ac:dyDescent="0.25">
      <c r="A290" s="38">
        <f>+Données!A290</f>
        <v>5922</v>
      </c>
      <c r="B290" s="250" t="str">
        <f>+Données!B290</f>
        <v>Montagny-près-Yverdon</v>
      </c>
      <c r="C290" s="238">
        <f>+Ecrêtage!C290</f>
        <v>33186.709071572135</v>
      </c>
      <c r="D290" s="236"/>
      <c r="E290" s="238">
        <f>Données!AF290+Données!AG290+Données!AH290</f>
        <v>477856</v>
      </c>
      <c r="F290" s="236">
        <f t="shared" si="33"/>
        <v>265493.67257257708</v>
      </c>
      <c r="G290" s="8">
        <f t="shared" si="35"/>
        <v>212362.32742742292</v>
      </c>
      <c r="H290" s="317">
        <f t="shared" si="36"/>
        <v>-159271.7455705672</v>
      </c>
      <c r="J290" s="8">
        <f>Données!AN290</f>
        <v>1061</v>
      </c>
      <c r="K290" s="216">
        <f t="shared" si="34"/>
        <v>33186.709071572135</v>
      </c>
      <c r="L290" s="12">
        <f t="shared" si="37"/>
        <v>0</v>
      </c>
      <c r="M290" s="317">
        <f t="shared" si="38"/>
        <v>0</v>
      </c>
      <c r="O290" s="42">
        <f t="shared" si="39"/>
        <v>-159271.7455705672</v>
      </c>
      <c r="P290" s="274"/>
      <c r="Q290" s="229"/>
      <c r="R290" s="229"/>
      <c r="S290" s="229"/>
      <c r="T290" s="229"/>
      <c r="U290" s="229"/>
      <c r="AF290" s="11"/>
      <c r="AG290" s="11"/>
      <c r="AH290" s="11"/>
      <c r="AI290" s="11"/>
      <c r="AJ290" s="11"/>
      <c r="AK290" s="11"/>
      <c r="AL290" s="11"/>
    </row>
    <row r="291" spans="1:38" x14ac:dyDescent="0.25">
      <c r="A291" s="38">
        <f>+Données!A291</f>
        <v>5923</v>
      </c>
      <c r="B291" s="250" t="str">
        <f>+Données!B291</f>
        <v>Oppens</v>
      </c>
      <c r="C291" s="238">
        <f>+Ecrêtage!C291</f>
        <v>4798.3716723042917</v>
      </c>
      <c r="D291" s="236"/>
      <c r="E291" s="238">
        <f>Données!AF291+Données!AG291+Données!AH291</f>
        <v>100221</v>
      </c>
      <c r="F291" s="236">
        <f t="shared" si="33"/>
        <v>38386.973378434333</v>
      </c>
      <c r="G291" s="8">
        <f t="shared" si="35"/>
        <v>61834.026621565667</v>
      </c>
      <c r="H291" s="317">
        <f t="shared" si="36"/>
        <v>-46375.519966174252</v>
      </c>
      <c r="J291" s="8">
        <f>Données!AN291</f>
        <v>21731</v>
      </c>
      <c r="K291" s="216">
        <f t="shared" si="34"/>
        <v>4798.3716723042917</v>
      </c>
      <c r="L291" s="12">
        <f t="shared" si="37"/>
        <v>16932.628327695707</v>
      </c>
      <c r="M291" s="317">
        <f t="shared" si="38"/>
        <v>-12699.47124577178</v>
      </c>
      <c r="O291" s="42">
        <f t="shared" si="39"/>
        <v>-59074.991211946035</v>
      </c>
      <c r="P291" s="274"/>
      <c r="Q291" s="229"/>
      <c r="R291" s="229"/>
      <c r="S291" s="229"/>
      <c r="T291" s="229"/>
      <c r="U291" s="229"/>
      <c r="AF291" s="11"/>
      <c r="AG291" s="11"/>
      <c r="AH291" s="11"/>
      <c r="AI291" s="11"/>
      <c r="AJ291" s="11"/>
      <c r="AK291" s="11"/>
      <c r="AL291" s="11"/>
    </row>
    <row r="292" spans="1:38" x14ac:dyDescent="0.25">
      <c r="A292" s="38">
        <f>+Données!A292</f>
        <v>5924</v>
      </c>
      <c r="B292" s="250" t="str">
        <f>+Données!B292</f>
        <v>Orges</v>
      </c>
      <c r="C292" s="238">
        <f>+Ecrêtage!C292</f>
        <v>12515.741993747673</v>
      </c>
      <c r="D292" s="236"/>
      <c r="E292" s="238">
        <f>Données!AF292+Données!AG292+Données!AH292</f>
        <v>95871</v>
      </c>
      <c r="F292" s="236">
        <f t="shared" si="33"/>
        <v>100125.93594998139</v>
      </c>
      <c r="G292" s="8">
        <f t="shared" si="35"/>
        <v>0</v>
      </c>
      <c r="H292" s="317">
        <f t="shared" si="36"/>
        <v>0</v>
      </c>
      <c r="J292" s="8">
        <f>Données!AN292</f>
        <v>-583</v>
      </c>
      <c r="K292" s="216">
        <f t="shared" si="34"/>
        <v>12515.741993747673</v>
      </c>
      <c r="L292" s="12">
        <f t="shared" si="37"/>
        <v>0</v>
      </c>
      <c r="M292" s="317">
        <f t="shared" si="38"/>
        <v>0</v>
      </c>
      <c r="O292" s="42">
        <f t="shared" si="39"/>
        <v>0</v>
      </c>
      <c r="P292" s="274"/>
      <c r="Q292" s="229"/>
      <c r="R292" s="229"/>
      <c r="S292" s="229"/>
      <c r="T292" s="229"/>
      <c r="U292" s="229"/>
      <c r="AF292" s="11"/>
      <c r="AG292" s="11"/>
      <c r="AH292" s="11"/>
      <c r="AI292" s="11"/>
      <c r="AJ292" s="11"/>
      <c r="AK292" s="11"/>
      <c r="AL292" s="11"/>
    </row>
    <row r="293" spans="1:38" x14ac:dyDescent="0.25">
      <c r="A293" s="38">
        <f>+Données!A293</f>
        <v>5925</v>
      </c>
      <c r="B293" s="250" t="str">
        <f>+Données!B293</f>
        <v>Orzens</v>
      </c>
      <c r="C293" s="238">
        <f>+Ecrêtage!C293</f>
        <v>5885.1778481012652</v>
      </c>
      <c r="D293" s="236"/>
      <c r="E293" s="238">
        <f>Données!AF293+Données!AG293+Données!AH293</f>
        <v>54615</v>
      </c>
      <c r="F293" s="236">
        <f t="shared" si="33"/>
        <v>47081.422784810122</v>
      </c>
      <c r="G293" s="8">
        <f t="shared" si="35"/>
        <v>7533.5772151898782</v>
      </c>
      <c r="H293" s="317">
        <f t="shared" si="36"/>
        <v>-5650.1829113924086</v>
      </c>
      <c r="J293" s="8">
        <f>Données!AN293</f>
        <v>13637</v>
      </c>
      <c r="K293" s="216">
        <f t="shared" si="34"/>
        <v>5885.1778481012652</v>
      </c>
      <c r="L293" s="12">
        <f t="shared" si="37"/>
        <v>7751.8221518987348</v>
      </c>
      <c r="M293" s="317">
        <f t="shared" si="38"/>
        <v>-5813.8666139240513</v>
      </c>
      <c r="O293" s="42">
        <f t="shared" si="39"/>
        <v>-11464.049525316459</v>
      </c>
      <c r="P293" s="274"/>
      <c r="Q293" s="229"/>
      <c r="R293" s="229"/>
      <c r="S293" s="229"/>
      <c r="T293" s="229"/>
      <c r="U293" s="229"/>
      <c r="AF293" s="11"/>
      <c r="AG293" s="11"/>
      <c r="AH293" s="11"/>
      <c r="AI293" s="11"/>
      <c r="AJ293" s="11"/>
      <c r="AK293" s="11"/>
      <c r="AL293" s="11"/>
    </row>
    <row r="294" spans="1:38" x14ac:dyDescent="0.25">
      <c r="A294" s="38">
        <f>+Données!A294</f>
        <v>5926</v>
      </c>
      <c r="B294" s="250" t="str">
        <f>+Données!B294</f>
        <v>Pomy</v>
      </c>
      <c r="C294" s="238">
        <f>+Ecrêtage!C294</f>
        <v>27361.56181889947</v>
      </c>
      <c r="D294" s="236"/>
      <c r="E294" s="238">
        <f>Données!AF294+Données!AG294+Données!AH294</f>
        <v>223560</v>
      </c>
      <c r="F294" s="236">
        <f t="shared" si="33"/>
        <v>218892.49455119576</v>
      </c>
      <c r="G294" s="8">
        <f t="shared" si="35"/>
        <v>4667.5054488042369</v>
      </c>
      <c r="H294" s="317">
        <f t="shared" si="36"/>
        <v>-3500.6290866031777</v>
      </c>
      <c r="J294" s="8">
        <f>Données!AN294</f>
        <v>42626</v>
      </c>
      <c r="K294" s="216">
        <f t="shared" si="34"/>
        <v>27361.56181889947</v>
      </c>
      <c r="L294" s="12">
        <f t="shared" si="37"/>
        <v>15264.43818110053</v>
      </c>
      <c r="M294" s="317">
        <f t="shared" si="38"/>
        <v>-11448.328635825397</v>
      </c>
      <c r="O294" s="42">
        <f t="shared" si="39"/>
        <v>-14948.957722428575</v>
      </c>
      <c r="P294" s="274"/>
      <c r="Q294" s="229"/>
      <c r="R294" s="229"/>
      <c r="S294" s="229"/>
      <c r="T294" s="229"/>
      <c r="U294" s="229"/>
      <c r="AF294" s="11"/>
      <c r="AG294" s="11"/>
      <c r="AH294" s="11"/>
      <c r="AI294" s="11"/>
      <c r="AJ294" s="11"/>
      <c r="AK294" s="11"/>
      <c r="AL294" s="11"/>
    </row>
    <row r="295" spans="1:38" x14ac:dyDescent="0.25">
      <c r="A295" s="38">
        <f>+Données!A295</f>
        <v>5928</v>
      </c>
      <c r="B295" s="250" t="str">
        <f>+Données!B295</f>
        <v>Rovray</v>
      </c>
      <c r="C295" s="238">
        <f>+Ecrêtage!C295</f>
        <v>5562.4200865991261</v>
      </c>
      <c r="D295" s="236"/>
      <c r="E295" s="238">
        <f>Données!AF295+Données!AG295+Données!AH295</f>
        <v>43272</v>
      </c>
      <c r="F295" s="236">
        <f t="shared" si="33"/>
        <v>44499.360692793009</v>
      </c>
      <c r="G295" s="8">
        <f t="shared" si="35"/>
        <v>0</v>
      </c>
      <c r="H295" s="317">
        <f t="shared" si="36"/>
        <v>0</v>
      </c>
      <c r="J295" s="8">
        <f>Données!AN295</f>
        <v>4615</v>
      </c>
      <c r="K295" s="216">
        <f t="shared" si="34"/>
        <v>5562.4200865991261</v>
      </c>
      <c r="L295" s="12">
        <f t="shared" si="37"/>
        <v>0</v>
      </c>
      <c r="M295" s="317">
        <f t="shared" si="38"/>
        <v>0</v>
      </c>
      <c r="O295" s="42">
        <f t="shared" si="39"/>
        <v>0</v>
      </c>
      <c r="P295" s="274"/>
      <c r="Q295" s="229"/>
      <c r="R295" s="229"/>
      <c r="S295" s="229"/>
      <c r="T295" s="229"/>
      <c r="U295" s="229"/>
      <c r="AF295" s="11"/>
      <c r="AG295" s="11"/>
      <c r="AH295" s="11"/>
      <c r="AI295" s="11"/>
      <c r="AJ295" s="11"/>
      <c r="AK295" s="11"/>
      <c r="AL295" s="11"/>
    </row>
    <row r="296" spans="1:38" x14ac:dyDescent="0.25">
      <c r="A296" s="38">
        <f>+Données!A296</f>
        <v>5929</v>
      </c>
      <c r="B296" s="250" t="str">
        <f>+Données!B296</f>
        <v>Suchy</v>
      </c>
      <c r="C296" s="238">
        <f>+Ecrêtage!C296</f>
        <v>19817.928233868191</v>
      </c>
      <c r="D296" s="236"/>
      <c r="E296" s="238">
        <f>Données!AF296+Données!AG296+Données!AH296</f>
        <v>156394</v>
      </c>
      <c r="F296" s="236">
        <f t="shared" si="33"/>
        <v>158543.42587094553</v>
      </c>
      <c r="G296" s="8">
        <f t="shared" si="35"/>
        <v>0</v>
      </c>
      <c r="H296" s="317">
        <f t="shared" si="36"/>
        <v>0</v>
      </c>
      <c r="J296" s="8">
        <f>Données!AN296</f>
        <v>38295</v>
      </c>
      <c r="K296" s="216">
        <f t="shared" si="34"/>
        <v>19817.928233868191</v>
      </c>
      <c r="L296" s="12">
        <f t="shared" si="37"/>
        <v>18477.071766131809</v>
      </c>
      <c r="M296" s="317">
        <f t="shared" si="38"/>
        <v>-13857.803824598857</v>
      </c>
      <c r="O296" s="42">
        <f t="shared" si="39"/>
        <v>-13857.803824598857</v>
      </c>
      <c r="P296" s="274"/>
      <c r="Q296" s="229"/>
      <c r="R296" s="229"/>
      <c r="S296" s="229"/>
      <c r="T296" s="229"/>
      <c r="U296" s="229"/>
      <c r="AF296" s="11"/>
      <c r="AG296" s="11"/>
      <c r="AH296" s="11"/>
      <c r="AI296" s="11"/>
      <c r="AJ296" s="11"/>
      <c r="AK296" s="11"/>
      <c r="AL296" s="11"/>
    </row>
    <row r="297" spans="1:38" x14ac:dyDescent="0.25">
      <c r="A297" s="38">
        <f>+Données!A297</f>
        <v>5930</v>
      </c>
      <c r="B297" s="250" t="str">
        <f>+Données!B297</f>
        <v>Suscévaz</v>
      </c>
      <c r="C297" s="238">
        <f>+Ecrêtage!C297</f>
        <v>5767.7688822867358</v>
      </c>
      <c r="D297" s="236"/>
      <c r="E297" s="238">
        <f>Données!AF297+Données!AG297+Données!AH297</f>
        <v>91234</v>
      </c>
      <c r="F297" s="236">
        <f t="shared" si="33"/>
        <v>46142.151058293886</v>
      </c>
      <c r="G297" s="8">
        <f t="shared" si="35"/>
        <v>45091.848941706114</v>
      </c>
      <c r="H297" s="317">
        <f t="shared" si="36"/>
        <v>-33818.886706279583</v>
      </c>
      <c r="J297" s="8">
        <f>Données!AN297</f>
        <v>6685</v>
      </c>
      <c r="K297" s="216">
        <f t="shared" si="34"/>
        <v>5767.7688822867358</v>
      </c>
      <c r="L297" s="12">
        <f t="shared" si="37"/>
        <v>917.23111771326421</v>
      </c>
      <c r="M297" s="317">
        <f t="shared" si="38"/>
        <v>-687.92333828494816</v>
      </c>
      <c r="O297" s="42">
        <f t="shared" si="39"/>
        <v>-34506.810044564532</v>
      </c>
      <c r="P297" s="274"/>
      <c r="Q297" s="229"/>
      <c r="R297" s="229"/>
      <c r="S297" s="229"/>
      <c r="T297" s="229"/>
      <c r="U297" s="229"/>
      <c r="AF297" s="11"/>
      <c r="AG297" s="11"/>
      <c r="AH297" s="11"/>
      <c r="AI297" s="11"/>
      <c r="AJ297" s="11"/>
      <c r="AK297" s="11"/>
      <c r="AL297" s="11"/>
    </row>
    <row r="298" spans="1:38" x14ac:dyDescent="0.25">
      <c r="A298" s="38">
        <f>+Données!A298</f>
        <v>5931</v>
      </c>
      <c r="B298" s="250" t="str">
        <f>+Données!B298</f>
        <v>Treycovagnes</v>
      </c>
      <c r="C298" s="238">
        <f>+Ecrêtage!C298</f>
        <v>15378.452365711239</v>
      </c>
      <c r="D298" s="236"/>
      <c r="E298" s="238">
        <f>Données!AF298+Données!AG298+Données!AH298</f>
        <v>165652</v>
      </c>
      <c r="F298" s="236">
        <f t="shared" si="33"/>
        <v>123027.61892568991</v>
      </c>
      <c r="G298" s="8">
        <f t="shared" si="35"/>
        <v>42624.381074310091</v>
      </c>
      <c r="H298" s="317">
        <f t="shared" si="36"/>
        <v>-31968.285805732568</v>
      </c>
      <c r="J298" s="8">
        <f>Données!AN298</f>
        <v>853</v>
      </c>
      <c r="K298" s="216">
        <f t="shared" si="34"/>
        <v>15378.452365711239</v>
      </c>
      <c r="L298" s="12">
        <f t="shared" si="37"/>
        <v>0</v>
      </c>
      <c r="M298" s="317">
        <f t="shared" si="38"/>
        <v>0</v>
      </c>
      <c r="O298" s="42">
        <f t="shared" si="39"/>
        <v>-31968.285805732568</v>
      </c>
      <c r="P298" s="274"/>
      <c r="Q298" s="229"/>
      <c r="R298" s="229"/>
      <c r="S298" s="229"/>
      <c r="T298" s="229"/>
      <c r="U298" s="229"/>
      <c r="AF298" s="11"/>
      <c r="AG298" s="11"/>
      <c r="AH298" s="11"/>
      <c r="AI298" s="11"/>
      <c r="AJ298" s="11"/>
      <c r="AK298" s="11"/>
      <c r="AL298" s="11"/>
    </row>
    <row r="299" spans="1:38" x14ac:dyDescent="0.25">
      <c r="A299" s="38">
        <f>+Données!A299</f>
        <v>5932</v>
      </c>
      <c r="B299" s="250" t="str">
        <f>+Données!B299</f>
        <v>Ursins</v>
      </c>
      <c r="C299" s="238">
        <f>+Ecrêtage!C299</f>
        <v>6819.2739438524613</v>
      </c>
      <c r="D299" s="236"/>
      <c r="E299" s="238">
        <f>Données!AF299+Données!AG299+Données!AH299</f>
        <v>53223</v>
      </c>
      <c r="F299" s="236">
        <f t="shared" si="33"/>
        <v>54554.191550819691</v>
      </c>
      <c r="G299" s="8">
        <f t="shared" si="35"/>
        <v>0</v>
      </c>
      <c r="H299" s="317">
        <f t="shared" si="36"/>
        <v>0</v>
      </c>
      <c r="J299" s="8">
        <f>Données!AN299</f>
        <v>35614</v>
      </c>
      <c r="K299" s="216">
        <f t="shared" si="34"/>
        <v>6819.2739438524613</v>
      </c>
      <c r="L299" s="12">
        <f t="shared" si="37"/>
        <v>28794.726056147538</v>
      </c>
      <c r="M299" s="317">
        <f t="shared" si="38"/>
        <v>-21596.044542110652</v>
      </c>
      <c r="O299" s="42">
        <f t="shared" si="39"/>
        <v>-21596.044542110652</v>
      </c>
      <c r="P299" s="274"/>
      <c r="Q299" s="229"/>
      <c r="R299" s="229"/>
      <c r="S299" s="229"/>
      <c r="T299" s="229"/>
      <c r="U299" s="229"/>
      <c r="AF299" s="11"/>
      <c r="AG299" s="11"/>
      <c r="AH299" s="11"/>
      <c r="AI299" s="11"/>
      <c r="AJ299" s="11"/>
      <c r="AK299" s="11"/>
      <c r="AL299" s="11"/>
    </row>
    <row r="300" spans="1:38" x14ac:dyDescent="0.25">
      <c r="A300" s="38">
        <f>+Données!A300</f>
        <v>5933</v>
      </c>
      <c r="B300" s="250" t="str">
        <f>+Données!B300</f>
        <v>Valeyres-sous-Montagny</v>
      </c>
      <c r="C300" s="238">
        <f>+Ecrêtage!C300</f>
        <v>22563.405559232429</v>
      </c>
      <c r="D300" s="236"/>
      <c r="E300" s="238">
        <f>Données!AF300+Données!AG300+Données!AH300</f>
        <v>429413</v>
      </c>
      <c r="F300" s="236">
        <f t="shared" si="33"/>
        <v>180507.24447385943</v>
      </c>
      <c r="G300" s="8">
        <f t="shared" si="35"/>
        <v>248905.75552614057</v>
      </c>
      <c r="H300" s="317">
        <f t="shared" si="36"/>
        <v>-186679.31664460542</v>
      </c>
      <c r="J300" s="8">
        <f>Données!AN300</f>
        <v>8373</v>
      </c>
      <c r="K300" s="216">
        <f t="shared" si="34"/>
        <v>22563.405559232429</v>
      </c>
      <c r="L300" s="12">
        <f t="shared" si="37"/>
        <v>0</v>
      </c>
      <c r="M300" s="317">
        <f t="shared" si="38"/>
        <v>0</v>
      </c>
      <c r="O300" s="42">
        <f t="shared" si="39"/>
        <v>-186679.31664460542</v>
      </c>
      <c r="P300" s="274"/>
      <c r="Q300" s="229"/>
      <c r="R300" s="229"/>
      <c r="S300" s="229"/>
      <c r="T300" s="229"/>
      <c r="U300" s="229"/>
      <c r="AF300" s="11"/>
      <c r="AG300" s="11"/>
      <c r="AH300" s="11"/>
      <c r="AI300" s="11"/>
      <c r="AJ300" s="11"/>
      <c r="AK300" s="11"/>
      <c r="AL300" s="11"/>
    </row>
    <row r="301" spans="1:38" x14ac:dyDescent="0.25">
      <c r="A301" s="38">
        <f>+Données!A301</f>
        <v>5934</v>
      </c>
      <c r="B301" s="250" t="str">
        <f>+Données!B301</f>
        <v>Valeyres-sous-Ursins</v>
      </c>
      <c r="C301" s="238">
        <f>+Ecrêtage!C301</f>
        <v>7577.6382278481005</v>
      </c>
      <c r="D301" s="236"/>
      <c r="E301" s="238">
        <f>Données!AF301+Données!AG301+Données!AH301</f>
        <v>32663</v>
      </c>
      <c r="F301" s="236">
        <f t="shared" si="33"/>
        <v>60621.105822784804</v>
      </c>
      <c r="G301" s="8">
        <f t="shared" si="35"/>
        <v>0</v>
      </c>
      <c r="H301" s="317">
        <f t="shared" si="36"/>
        <v>0</v>
      </c>
      <c r="J301" s="8">
        <f>Données!AN301</f>
        <v>15045</v>
      </c>
      <c r="K301" s="216">
        <f t="shared" si="34"/>
        <v>7577.6382278481005</v>
      </c>
      <c r="L301" s="12">
        <f t="shared" si="37"/>
        <v>7467.3617721518995</v>
      </c>
      <c r="M301" s="317">
        <f t="shared" si="38"/>
        <v>-5600.5213291139244</v>
      </c>
      <c r="O301" s="42">
        <f t="shared" si="39"/>
        <v>-5600.5213291139244</v>
      </c>
      <c r="P301" s="274"/>
      <c r="Q301" s="229"/>
      <c r="R301" s="229"/>
      <c r="S301" s="229"/>
      <c r="T301" s="229"/>
      <c r="U301" s="229"/>
      <c r="AF301" s="11"/>
      <c r="AG301" s="11"/>
      <c r="AH301" s="11"/>
      <c r="AI301" s="11"/>
      <c r="AJ301" s="11"/>
      <c r="AK301" s="11"/>
      <c r="AL301" s="11"/>
    </row>
    <row r="302" spans="1:38" x14ac:dyDescent="0.25">
      <c r="A302" s="38">
        <f>+Données!A302</f>
        <v>5935</v>
      </c>
      <c r="B302" s="250" t="str">
        <f>+Données!B302</f>
        <v>Villars-Epeney</v>
      </c>
      <c r="C302" s="238">
        <f>+Ecrêtage!C302</f>
        <v>3928.0620213791694</v>
      </c>
      <c r="D302" s="236"/>
      <c r="E302" s="238">
        <f>Données!AF302+Données!AG302+Données!AH302</f>
        <v>28740</v>
      </c>
      <c r="F302" s="236">
        <f t="shared" si="33"/>
        <v>31424.496171033355</v>
      </c>
      <c r="G302" s="8">
        <f t="shared" si="35"/>
        <v>0</v>
      </c>
      <c r="H302" s="317">
        <f t="shared" si="36"/>
        <v>0</v>
      </c>
      <c r="J302" s="8">
        <f>Données!AN302</f>
        <v>10773</v>
      </c>
      <c r="K302" s="216">
        <f t="shared" si="34"/>
        <v>3928.0620213791694</v>
      </c>
      <c r="L302" s="12">
        <f t="shared" si="37"/>
        <v>6844.9379786208301</v>
      </c>
      <c r="M302" s="317">
        <f t="shared" si="38"/>
        <v>-5133.7034839656226</v>
      </c>
      <c r="O302" s="42">
        <f t="shared" si="39"/>
        <v>-5133.7034839656226</v>
      </c>
      <c r="P302" s="274"/>
      <c r="Q302" s="229"/>
      <c r="R302" s="229"/>
      <c r="S302" s="229"/>
      <c r="T302" s="229"/>
      <c r="U302" s="229"/>
      <c r="AF302" s="11"/>
      <c r="AG302" s="11"/>
      <c r="AH302" s="11"/>
      <c r="AI302" s="11"/>
      <c r="AJ302" s="11"/>
      <c r="AK302" s="11"/>
      <c r="AL302" s="11"/>
    </row>
    <row r="303" spans="1:38" x14ac:dyDescent="0.25">
      <c r="A303" s="38">
        <f>+Données!A303</f>
        <v>5937</v>
      </c>
      <c r="B303" s="250" t="str">
        <f>+Données!B303</f>
        <v>Vugelles-La Mothe</v>
      </c>
      <c r="C303" s="238">
        <f>+Ecrêtage!C303</f>
        <v>3185.9394172567995</v>
      </c>
      <c r="D303" s="236"/>
      <c r="E303" s="238">
        <f>Données!AF303+Données!AG303+Données!AH303</f>
        <v>53569</v>
      </c>
      <c r="F303" s="236">
        <f t="shared" si="33"/>
        <v>25487.515338054396</v>
      </c>
      <c r="G303" s="8">
        <f t="shared" si="35"/>
        <v>28081.484661945604</v>
      </c>
      <c r="H303" s="317">
        <f t="shared" si="36"/>
        <v>-21061.113496459202</v>
      </c>
      <c r="J303" s="8">
        <f>Données!AN303</f>
        <v>6412</v>
      </c>
      <c r="K303" s="216">
        <f t="shared" si="34"/>
        <v>3185.9394172567995</v>
      </c>
      <c r="L303" s="12">
        <f t="shared" si="37"/>
        <v>3226.0605827432005</v>
      </c>
      <c r="M303" s="317">
        <f t="shared" si="38"/>
        <v>-2419.5454370574002</v>
      </c>
      <c r="O303" s="42">
        <f t="shared" si="39"/>
        <v>-23480.658933516603</v>
      </c>
      <c r="P303" s="274"/>
      <c r="Q303" s="229"/>
      <c r="R303" s="229"/>
      <c r="S303" s="229"/>
      <c r="T303" s="229"/>
      <c r="U303" s="229"/>
      <c r="AF303" s="11"/>
      <c r="AG303" s="11"/>
      <c r="AH303" s="11"/>
      <c r="AI303" s="11"/>
      <c r="AJ303" s="11"/>
      <c r="AK303" s="11"/>
      <c r="AL303" s="11"/>
    </row>
    <row r="304" spans="1:38" x14ac:dyDescent="0.25">
      <c r="A304" s="38">
        <f>+Données!A304</f>
        <v>5938</v>
      </c>
      <c r="B304" s="250" t="str">
        <f>+Données!B304</f>
        <v>Yverdon-les-Bains</v>
      </c>
      <c r="C304" s="238">
        <f>+Ecrêtage!C304</f>
        <v>794891.37980729085</v>
      </c>
      <c r="D304" s="236"/>
      <c r="E304" s="238">
        <f>Données!AF304+Données!AG304+Données!AH304</f>
        <v>21013028</v>
      </c>
      <c r="F304" s="236">
        <f t="shared" si="33"/>
        <v>6359131.0384583268</v>
      </c>
      <c r="G304" s="8">
        <f t="shared" si="35"/>
        <v>14653896.961541673</v>
      </c>
      <c r="H304" s="317">
        <f t="shared" si="36"/>
        <v>-10990422.721156254</v>
      </c>
      <c r="J304" s="8">
        <f>Données!AN304</f>
        <v>215334</v>
      </c>
      <c r="K304" s="216">
        <f t="shared" si="34"/>
        <v>794891.37980729085</v>
      </c>
      <c r="L304" s="12">
        <f t="shared" si="37"/>
        <v>0</v>
      </c>
      <c r="M304" s="317">
        <f t="shared" si="38"/>
        <v>0</v>
      </c>
      <c r="O304" s="42">
        <f t="shared" si="39"/>
        <v>-10990422.721156254</v>
      </c>
      <c r="P304" s="274"/>
      <c r="Q304" s="229"/>
      <c r="R304" s="229"/>
      <c r="S304" s="229"/>
      <c r="T304" s="229"/>
      <c r="U304" s="229"/>
      <c r="AF304" s="11"/>
      <c r="AG304" s="11"/>
      <c r="AH304" s="11"/>
      <c r="AI304" s="11"/>
      <c r="AJ304" s="11"/>
      <c r="AK304" s="11"/>
      <c r="AL304" s="11"/>
    </row>
    <row r="305" spans="1:38" x14ac:dyDescent="0.25">
      <c r="A305" s="38">
        <f>+Données!A305</f>
        <v>5939</v>
      </c>
      <c r="B305" s="250" t="str">
        <f>+Données!B305</f>
        <v>Yvonand</v>
      </c>
      <c r="C305" s="238">
        <f>+Ecrêtage!C305</f>
        <v>92828.645169819079</v>
      </c>
      <c r="D305" s="236"/>
      <c r="E305" s="144">
        <f>Données!AF305+Données!AG305+Données!AH305</f>
        <v>1467921</v>
      </c>
      <c r="F305" s="236">
        <f t="shared" si="33"/>
        <v>742629.16135855264</v>
      </c>
      <c r="G305" s="8">
        <f t="shared" si="35"/>
        <v>725291.83864144736</v>
      </c>
      <c r="H305" s="317">
        <f t="shared" si="36"/>
        <v>-543968.87898108549</v>
      </c>
      <c r="J305" s="228">
        <f>Données!AN305</f>
        <v>155147</v>
      </c>
      <c r="K305" s="218">
        <f t="shared" si="34"/>
        <v>92828.645169819079</v>
      </c>
      <c r="L305" s="51">
        <f t="shared" si="37"/>
        <v>62318.354830180921</v>
      </c>
      <c r="M305" s="337">
        <f t="shared" si="38"/>
        <v>-46738.766122635687</v>
      </c>
      <c r="O305" s="65">
        <f t="shared" si="39"/>
        <v>-590707.64510372118</v>
      </c>
      <c r="P305" s="274"/>
      <c r="Q305" s="229"/>
      <c r="R305" s="229"/>
      <c r="S305" s="229"/>
      <c r="T305" s="229"/>
      <c r="U305" s="229"/>
      <c r="AF305" s="11"/>
      <c r="AG305" s="11"/>
      <c r="AH305" s="11"/>
      <c r="AI305" s="11"/>
      <c r="AJ305" s="11"/>
      <c r="AK305" s="11"/>
      <c r="AL305" s="11"/>
    </row>
    <row r="306" spans="1:38" x14ac:dyDescent="0.25">
      <c r="A306" s="56"/>
      <c r="B306" s="175">
        <f>COUNTA(B6:B305)</f>
        <v>300</v>
      </c>
      <c r="C306" s="9">
        <f t="shared" ref="C306:M306" si="40">SUM(C6:C305)</f>
        <v>37643741.933631986</v>
      </c>
      <c r="E306" s="228">
        <f t="shared" si="40"/>
        <v>466912182.44999999</v>
      </c>
      <c r="F306" s="176">
        <f t="shared" si="40"/>
        <v>301149935.46905589</v>
      </c>
      <c r="G306" s="9">
        <f t="shared" si="40"/>
        <v>205590345.6881907</v>
      </c>
      <c r="H306" s="318">
        <f t="shared" si="40"/>
        <v>-154192759.26614305</v>
      </c>
      <c r="J306" s="228">
        <f t="shared" si="40"/>
        <v>22299775.82</v>
      </c>
      <c r="K306" s="16">
        <f t="shared" si="40"/>
        <v>37643741.933631986</v>
      </c>
      <c r="L306" s="9">
        <f t="shared" si="40"/>
        <v>9060690.0468571316</v>
      </c>
      <c r="M306" s="337">
        <f t="shared" si="40"/>
        <v>-6795517.5351428464</v>
      </c>
      <c r="O306" s="30">
        <f>SUM(O6:O305)</f>
        <v>-159540061.66420105</v>
      </c>
      <c r="P306" s="274"/>
      <c r="Q306" s="220"/>
      <c r="AF306" s="11"/>
      <c r="AG306" s="11"/>
      <c r="AH306" s="11"/>
      <c r="AI306" s="11"/>
      <c r="AJ306" s="11"/>
      <c r="AK306" s="11"/>
      <c r="AL306" s="11"/>
    </row>
  </sheetData>
  <sheetProtection sheet="1" objects="1" scenarios="1"/>
  <mergeCells count="9">
    <mergeCell ref="O4:O5"/>
    <mergeCell ref="I1:J1"/>
    <mergeCell ref="C4:C5"/>
    <mergeCell ref="B4:B5"/>
    <mergeCell ref="A4:A5"/>
    <mergeCell ref="K4:K5"/>
    <mergeCell ref="J4:J5"/>
    <mergeCell ref="F4:F5"/>
    <mergeCell ref="E4:E5"/>
  </mergeCells>
  <phoneticPr fontId="0" type="noConversion"/>
  <hyperlinks>
    <hyperlink ref="G1" location="Solidarité!A1" display="← Précédent" xr:uid="{5A8E4973-17D6-4687-9CE6-45B0575EDBAD}"/>
    <hyperlink ref="H1" location="'Table des matières'!A1" display="Table des             matières" xr:uid="{04BE0D59-7790-474E-8080-9D72D4E0F66D}"/>
    <hyperlink ref="I1" location="'6.4. Financement'!A1" display="Suivant →" xr:uid="{E345551C-124C-4CBD-9876-7C5AAF6D130D}"/>
    <hyperlink ref="I1:J1" location="Effort!A1" display="Suivant →" xr:uid="{309F21F1-9A18-4F3D-BDE2-8C55C3D34BC3}"/>
  </hyperlinks>
  <printOptions horizontalCentered="1"/>
  <pageMargins left="0" right="0" top="0" bottom="0" header="0.51181102362204722" footer="0.51181102362204722"/>
  <pageSetup paperSize="9" scale="64" orientation="landscape" horizontalDpi="1200" verticalDpi="1200"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theme="6" tint="0.39997558519241921"/>
  </sheetPr>
  <dimension ref="A1:X312"/>
  <sheetViews>
    <sheetView workbookViewId="0">
      <pane ySplit="5" topLeftCell="A6" activePane="bottomLeft" state="frozen"/>
      <selection pane="bottomLeft"/>
    </sheetView>
  </sheetViews>
  <sheetFormatPr baseColWidth="10" defaultColWidth="10.75" defaultRowHeight="15" x14ac:dyDescent="0.25"/>
  <cols>
    <col min="1" max="1" width="7.25" style="11" customWidth="1"/>
    <col min="2" max="2" width="21.375" style="11" customWidth="1"/>
    <col min="3" max="3" width="12" style="11" bestFit="1" customWidth="1"/>
    <col min="4" max="4" width="13.25" style="11" customWidth="1"/>
    <col min="5" max="6" width="13.125" style="11" customWidth="1"/>
    <col min="7" max="7" width="13.125" style="220" customWidth="1"/>
    <col min="8" max="9" width="13.125" style="11" customWidth="1"/>
    <col min="10" max="10" width="9.125" style="13" customWidth="1"/>
    <col min="11" max="11" width="10.625" style="13" customWidth="1"/>
    <col min="12" max="13" width="12.125" style="11" customWidth="1"/>
    <col min="14" max="16" width="8.125" style="11" customWidth="1"/>
    <col min="17" max="16384" width="10.75" style="11"/>
  </cols>
  <sheetData>
    <row r="1" spans="1:24" s="295" customFormat="1" ht="26.25" x14ac:dyDescent="0.4">
      <c r="A1" s="282" t="s">
        <v>405</v>
      </c>
      <c r="B1" s="287"/>
      <c r="C1" s="415" t="s">
        <v>409</v>
      </c>
      <c r="D1" s="306" t="s">
        <v>401</v>
      </c>
      <c r="E1" s="511" t="s">
        <v>410</v>
      </c>
      <c r="H1" s="296"/>
      <c r="I1" s="297"/>
      <c r="J1" s="294"/>
      <c r="K1" s="298"/>
      <c r="L1" s="289"/>
      <c r="M1" s="289"/>
      <c r="N1" s="289"/>
      <c r="O1" s="289"/>
      <c r="P1" s="289"/>
      <c r="W1" s="289"/>
    </row>
    <row r="2" spans="1:24" s="33" customFormat="1" ht="15.75" x14ac:dyDescent="0.25">
      <c r="A2" s="360" t="str">
        <f>Paramètres!B4</f>
        <v>Acomptes 2022</v>
      </c>
      <c r="B2" s="32"/>
      <c r="C2" s="222"/>
      <c r="D2" s="222"/>
      <c r="E2" s="222"/>
      <c r="F2" s="222"/>
      <c r="G2" s="222"/>
      <c r="H2" s="222"/>
      <c r="I2" s="222"/>
      <c r="J2" s="79"/>
      <c r="K2" s="80"/>
      <c r="M2" s="220"/>
      <c r="N2" s="220"/>
      <c r="O2" s="220"/>
      <c r="P2" s="220"/>
      <c r="Q2" s="220"/>
      <c r="X2" s="220"/>
    </row>
    <row r="3" spans="1:24" ht="20.100000000000001" customHeight="1" x14ac:dyDescent="0.25"/>
    <row r="4" spans="1:24" s="313" customFormat="1" ht="43.5" customHeight="1" x14ac:dyDescent="0.2">
      <c r="A4" s="638" t="s">
        <v>44</v>
      </c>
      <c r="B4" s="638" t="s">
        <v>84</v>
      </c>
      <c r="C4" s="638" t="s">
        <v>506</v>
      </c>
      <c r="D4" s="638" t="s">
        <v>548</v>
      </c>
      <c r="E4" s="638" t="s">
        <v>513</v>
      </c>
      <c r="F4" s="638" t="s">
        <v>514</v>
      </c>
      <c r="G4" s="647" t="s">
        <v>515</v>
      </c>
      <c r="H4" s="638" t="s">
        <v>438</v>
      </c>
      <c r="I4" s="649" t="s">
        <v>439</v>
      </c>
      <c r="J4" s="529" t="s">
        <v>437</v>
      </c>
      <c r="K4" s="647" t="s">
        <v>442</v>
      </c>
      <c r="L4" s="80"/>
    </row>
    <row r="5" spans="1:24" x14ac:dyDescent="0.25">
      <c r="A5" s="640"/>
      <c r="B5" s="640"/>
      <c r="C5" s="640"/>
      <c r="D5" s="639"/>
      <c r="E5" s="640"/>
      <c r="F5" s="640"/>
      <c r="G5" s="648"/>
      <c r="H5" s="640"/>
      <c r="I5" s="650"/>
      <c r="J5" s="381">
        <f>Paramètres!B43</f>
        <v>48</v>
      </c>
      <c r="K5" s="648"/>
      <c r="L5" s="13"/>
    </row>
    <row r="6" spans="1:24" x14ac:dyDescent="0.25">
      <c r="A6" s="38">
        <f>Données!A6</f>
        <v>5401</v>
      </c>
      <c r="B6" s="171" t="str">
        <f>Données!B6</f>
        <v>Aigle</v>
      </c>
      <c r="C6" s="353">
        <f>VPI!R6</f>
        <v>283957.57045177044</v>
      </c>
      <c r="D6" s="210">
        <f>(PCS!I12-PCS!F12)/C6</f>
        <v>14.60023559089802</v>
      </c>
      <c r="E6" s="521">
        <f>'Péréquation directe'!E12/C6</f>
        <v>-19.266650503106959</v>
      </c>
      <c r="F6" s="210">
        <f>'Péréquation directe'!F12/Effort!C6</f>
        <v>-12.362391935041178</v>
      </c>
      <c r="G6" s="210">
        <f>'Péréquation directe'!G12/Effort!C6</f>
        <v>-11.133865508218703</v>
      </c>
      <c r="H6" s="210">
        <f>'Péréquation directe'!J12/Effort!C6</f>
        <v>19.156307202306365</v>
      </c>
      <c r="I6" s="431">
        <f>SUM(D6:H6)</f>
        <v>-9.0063651531624558</v>
      </c>
      <c r="J6" s="226">
        <f>IF(I6&gt;J$5,I6-J$5,0)</f>
        <v>0</v>
      </c>
      <c r="K6" s="42">
        <f>-J6*C6</f>
        <v>0</v>
      </c>
      <c r="L6" s="13"/>
    </row>
    <row r="7" spans="1:24" x14ac:dyDescent="0.25">
      <c r="A7" s="38">
        <f>Données!A7</f>
        <v>5402</v>
      </c>
      <c r="B7" s="171" t="str">
        <f>Données!B7</f>
        <v>Bex</v>
      </c>
      <c r="C7" s="353">
        <f>VPI!R7</f>
        <v>178942.44507064961</v>
      </c>
      <c r="D7" s="209">
        <f>(PCS!I13-PCS!F13)/C7</f>
        <v>14.60023559089802</v>
      </c>
      <c r="E7" s="522">
        <f>'Péréquation directe'!E13/C7</f>
        <v>-19.522788636423947</v>
      </c>
      <c r="F7" s="209">
        <f>'Péréquation directe'!F13/Effort!C7</f>
        <v>-20.542571066026454</v>
      </c>
      <c r="G7" s="209">
        <f>'Péréquation directe'!G13/Effort!C7</f>
        <v>-11.489571381241502</v>
      </c>
      <c r="H7" s="209">
        <f>'Péréquation directe'!J13/Effort!C7</f>
        <v>19.156307202306365</v>
      </c>
      <c r="I7" s="381">
        <f t="shared" ref="I7:I70" si="0">SUM(D7:H7)</f>
        <v>-17.798388290487516</v>
      </c>
      <c r="J7" s="226">
        <f t="shared" ref="J7:J70" si="1">IF(I7&gt;J$5,I7-J$5,0)</f>
        <v>0</v>
      </c>
      <c r="K7" s="42">
        <f t="shared" ref="K7:K70" si="2">-J7*C7</f>
        <v>0</v>
      </c>
      <c r="L7" s="240"/>
    </row>
    <row r="8" spans="1:24" x14ac:dyDescent="0.25">
      <c r="A8" s="38">
        <f>Données!A8</f>
        <v>5403</v>
      </c>
      <c r="B8" s="171" t="str">
        <f>Données!B8</f>
        <v>Chessel</v>
      </c>
      <c r="C8" s="353">
        <f>VPI!R8</f>
        <v>10796.246764670586</v>
      </c>
      <c r="D8" s="209">
        <f>(PCS!I14-PCS!F14)/C8</f>
        <v>14.60023559089802</v>
      </c>
      <c r="E8" s="522">
        <f>'Péréquation directe'!E14/C8</f>
        <v>-5.0993017406449468</v>
      </c>
      <c r="F8" s="209">
        <f>'Péréquation directe'!F14/Effort!C8</f>
        <v>-19.66772448083232</v>
      </c>
      <c r="G8" s="209">
        <f>'Péréquation directe'!G14/Effort!C8</f>
        <v>-1.4934203237402102</v>
      </c>
      <c r="H8" s="209">
        <f>'Péréquation directe'!J14/Effort!C8</f>
        <v>19.156307202306365</v>
      </c>
      <c r="I8" s="381">
        <f t="shared" si="0"/>
        <v>7.4960962479869089</v>
      </c>
      <c r="J8" s="226">
        <f t="shared" si="1"/>
        <v>0</v>
      </c>
      <c r="K8" s="42">
        <f t="shared" si="2"/>
        <v>0</v>
      </c>
      <c r="L8" s="240"/>
    </row>
    <row r="9" spans="1:24" x14ac:dyDescent="0.25">
      <c r="A9" s="38">
        <f>Données!A9</f>
        <v>5404</v>
      </c>
      <c r="B9" s="171" t="str">
        <f>Données!B9</f>
        <v>Corbeyrier</v>
      </c>
      <c r="C9" s="353">
        <f>VPI!R9</f>
        <v>11266.447111519699</v>
      </c>
      <c r="D9" s="209">
        <f>(PCS!I15-PCS!F15)/C9</f>
        <v>14.60023559089802</v>
      </c>
      <c r="E9" s="522">
        <f>'Péréquation directe'!E15/C9</f>
        <v>-4.8974901614620077</v>
      </c>
      <c r="F9" s="209">
        <f>'Péréquation directe'!F15/Effort!C9</f>
        <v>-18.023357881165158</v>
      </c>
      <c r="G9" s="209">
        <f>'Péréquation directe'!G15/Effort!C9</f>
        <v>-11.763533852808811</v>
      </c>
      <c r="H9" s="209">
        <f>'Péréquation directe'!J15/Effort!C9</f>
        <v>19.156307202306365</v>
      </c>
      <c r="I9" s="381">
        <f t="shared" si="0"/>
        <v>-0.92783910223159083</v>
      </c>
      <c r="J9" s="226">
        <f t="shared" si="1"/>
        <v>0</v>
      </c>
      <c r="K9" s="42">
        <f t="shared" si="2"/>
        <v>0</v>
      </c>
      <c r="L9" s="240"/>
    </row>
    <row r="10" spans="1:24" x14ac:dyDescent="0.25">
      <c r="A10" s="38">
        <f>Données!A10</f>
        <v>5405</v>
      </c>
      <c r="B10" s="171" t="str">
        <f>Données!B10</f>
        <v>Gryon</v>
      </c>
      <c r="C10" s="353">
        <f>VPI!R10</f>
        <v>68176.099678718238</v>
      </c>
      <c r="D10" s="209">
        <f>(PCS!I16-PCS!F16)/C10</f>
        <v>15.581637098477596</v>
      </c>
      <c r="E10" s="522">
        <f>'Péréquation directe'!E16/C10</f>
        <v>-3.7436752212736772</v>
      </c>
      <c r="F10" s="209">
        <f>'Péréquation directe'!F16/Effort!C10</f>
        <v>0</v>
      </c>
      <c r="G10" s="209">
        <f>'Péréquation directe'!G16/Effort!C10</f>
        <v>-12.590635222208839</v>
      </c>
      <c r="H10" s="209">
        <f>'Péréquation directe'!J16/Effort!C10</f>
        <v>19.156307202306365</v>
      </c>
      <c r="I10" s="381">
        <f t="shared" si="0"/>
        <v>18.403633857301447</v>
      </c>
      <c r="J10" s="226">
        <f t="shared" si="1"/>
        <v>0</v>
      </c>
      <c r="K10" s="42">
        <f t="shared" si="2"/>
        <v>0</v>
      </c>
      <c r="L10" s="240"/>
    </row>
    <row r="11" spans="1:24" x14ac:dyDescent="0.25">
      <c r="A11" s="38">
        <f>Données!A11</f>
        <v>5406</v>
      </c>
      <c r="B11" s="171" t="str">
        <f>Données!B11</f>
        <v>Lavey-Morcles</v>
      </c>
      <c r="C11" s="353">
        <f>VPI!R11</f>
        <v>21824.791081856485</v>
      </c>
      <c r="D11" s="209">
        <f>(PCS!I17-PCS!F17)/C11</f>
        <v>14.60023559089802</v>
      </c>
      <c r="E11" s="522">
        <f>'Péréquation directe'!E17/C11</f>
        <v>-5.3631808603277822</v>
      </c>
      <c r="F11" s="209">
        <f>'Péréquation directe'!F17/Effort!C11</f>
        <v>-20.368543865490647</v>
      </c>
      <c r="G11" s="209">
        <f>'Péréquation directe'!G17/Effort!C11</f>
        <v>-8.0848155446562657</v>
      </c>
      <c r="H11" s="209">
        <f>'Péréquation directe'!J17/Effort!C11</f>
        <v>19.156307202306365</v>
      </c>
      <c r="I11" s="381">
        <f t="shared" si="0"/>
        <v>-5.9997477270307797E-2</v>
      </c>
      <c r="J11" s="226">
        <f t="shared" si="1"/>
        <v>0</v>
      </c>
      <c r="K11" s="42">
        <f t="shared" si="2"/>
        <v>0</v>
      </c>
      <c r="L11" s="240"/>
    </row>
    <row r="12" spans="1:24" x14ac:dyDescent="0.25">
      <c r="A12" s="38">
        <f>Données!A12</f>
        <v>5407</v>
      </c>
      <c r="B12" s="171" t="str">
        <f>Données!B12</f>
        <v>Leysin</v>
      </c>
      <c r="C12" s="353">
        <f>VPI!R12</f>
        <v>90748.112777121743</v>
      </c>
      <c r="D12" s="209">
        <f>(PCS!I18-PCS!F18)/C12</f>
        <v>14.600235590898018</v>
      </c>
      <c r="E12" s="522">
        <f>'Péréquation directe'!E18/C12</f>
        <v>-12.543121313395682</v>
      </c>
      <c r="F12" s="209">
        <f>'Péréquation directe'!F18/Effort!C12</f>
        <v>-20.774659294305398</v>
      </c>
      <c r="G12" s="209">
        <f>'Péréquation directe'!G18/Effort!C12</f>
        <v>-18.926905873765378</v>
      </c>
      <c r="H12" s="209">
        <f>'Péréquation directe'!J18/Effort!C12</f>
        <v>19.156307202306365</v>
      </c>
      <c r="I12" s="381">
        <f t="shared" si="0"/>
        <v>-18.48814368826207</v>
      </c>
      <c r="J12" s="226">
        <f t="shared" si="1"/>
        <v>0</v>
      </c>
      <c r="K12" s="42">
        <f t="shared" si="2"/>
        <v>0</v>
      </c>
      <c r="L12" s="240"/>
    </row>
    <row r="13" spans="1:24" x14ac:dyDescent="0.25">
      <c r="A13" s="38">
        <f>Données!A13</f>
        <v>5408</v>
      </c>
      <c r="B13" s="171" t="str">
        <f>Données!B13</f>
        <v>Noville</v>
      </c>
      <c r="C13" s="353">
        <f>VPI!R13</f>
        <v>43666.640444665623</v>
      </c>
      <c r="D13" s="209">
        <f>(PCS!I19-PCS!F19)/C13</f>
        <v>14.600235590898018</v>
      </c>
      <c r="E13" s="522">
        <f>'Péréquation directe'!E19/C13</f>
        <v>-4.1911877964409987</v>
      </c>
      <c r="F13" s="209">
        <f>'Péréquation directe'!F19/Effort!C13</f>
        <v>-5.8387479955901149</v>
      </c>
      <c r="G13" s="209">
        <f>'Péréquation directe'!G19/Effort!C13</f>
        <v>-2.4631200363307606</v>
      </c>
      <c r="H13" s="209">
        <f>'Péréquation directe'!J19/Effort!C13</f>
        <v>19.156307202306365</v>
      </c>
      <c r="I13" s="381">
        <f t="shared" si="0"/>
        <v>21.26348696484251</v>
      </c>
      <c r="J13" s="226">
        <f t="shared" si="1"/>
        <v>0</v>
      </c>
      <c r="K13" s="42">
        <f t="shared" si="2"/>
        <v>0</v>
      </c>
      <c r="L13" s="240"/>
    </row>
    <row r="14" spans="1:24" x14ac:dyDescent="0.25">
      <c r="A14" s="38">
        <f>Données!A14</f>
        <v>5409</v>
      </c>
      <c r="B14" s="171" t="str">
        <f>Données!B14</f>
        <v>Ollon</v>
      </c>
      <c r="C14" s="353">
        <f>VPI!R14</f>
        <v>388986.52146492567</v>
      </c>
      <c r="D14" s="209">
        <f>(PCS!I20-PCS!F20)/C14</f>
        <v>15.876798398559368</v>
      </c>
      <c r="E14" s="522">
        <f>'Péréquation directe'!E20/C14</f>
        <v>-8.6840858685879603</v>
      </c>
      <c r="F14" s="209">
        <f>'Péréquation directe'!F20/Effort!C14</f>
        <v>0</v>
      </c>
      <c r="G14" s="209">
        <f>'Péréquation directe'!G20/Effort!C14</f>
        <v>-7.1395635243422362</v>
      </c>
      <c r="H14" s="209">
        <f>'Péréquation directe'!J20/Effort!C14</f>
        <v>19.156307202306365</v>
      </c>
      <c r="I14" s="381">
        <f t="shared" si="0"/>
        <v>19.209456207935538</v>
      </c>
      <c r="J14" s="226">
        <f t="shared" si="1"/>
        <v>0</v>
      </c>
      <c r="K14" s="42">
        <f t="shared" si="2"/>
        <v>0</v>
      </c>
      <c r="L14" s="240"/>
    </row>
    <row r="15" spans="1:24" x14ac:dyDescent="0.25">
      <c r="A15" s="38">
        <f>Données!A15</f>
        <v>5410</v>
      </c>
      <c r="B15" s="171" t="str">
        <f>Données!B15</f>
        <v>Ormont-Dessous</v>
      </c>
      <c r="C15" s="353">
        <f>VPI!R15</f>
        <v>39516.146697267235</v>
      </c>
      <c r="D15" s="209">
        <f>(PCS!I21-PCS!F21)/C15</f>
        <v>14.60023559089802</v>
      </c>
      <c r="E15" s="522">
        <f>'Péréquation directe'!E21/C15</f>
        <v>-4.7192587616866915</v>
      </c>
      <c r="F15" s="209">
        <f>'Péréquation directe'!F21/Effort!C15</f>
        <v>-8.9730143495787278</v>
      </c>
      <c r="G15" s="209">
        <f>'Péréquation directe'!G21/Effort!C15</f>
        <v>-20.282658527757562</v>
      </c>
      <c r="H15" s="209">
        <f>'Péréquation directe'!J21/Effort!C15</f>
        <v>19.156307202306365</v>
      </c>
      <c r="I15" s="381">
        <f t="shared" si="0"/>
        <v>-0.21838884581859475</v>
      </c>
      <c r="J15" s="226">
        <f t="shared" si="1"/>
        <v>0</v>
      </c>
      <c r="K15" s="42">
        <f t="shared" si="2"/>
        <v>0</v>
      </c>
      <c r="L15" s="240"/>
    </row>
    <row r="16" spans="1:24" x14ac:dyDescent="0.25">
      <c r="A16" s="38">
        <f>Données!A16</f>
        <v>5411</v>
      </c>
      <c r="B16" s="171" t="str">
        <f>Données!B16</f>
        <v>Ormont-Dessus</v>
      </c>
      <c r="C16" s="353">
        <f>VPI!R16</f>
        <v>68020.566453850552</v>
      </c>
      <c r="D16" s="209">
        <f>(PCS!I22-PCS!F22)/C16</f>
        <v>14.674633922426285</v>
      </c>
      <c r="E16" s="522">
        <f>'Péréquation directe'!E22/C16</f>
        <v>-4.2013952929993632</v>
      </c>
      <c r="F16" s="209">
        <f>'Péréquation directe'!F22/Effort!C16</f>
        <v>0</v>
      </c>
      <c r="G16" s="209">
        <f>'Péréquation directe'!G22/Effort!C16</f>
        <v>-13.652487399771415</v>
      </c>
      <c r="H16" s="209">
        <f>'Péréquation directe'!J22/Effort!C16</f>
        <v>19.156307202306365</v>
      </c>
      <c r="I16" s="381">
        <f t="shared" si="0"/>
        <v>15.977058431961872</v>
      </c>
      <c r="J16" s="226">
        <f t="shared" si="1"/>
        <v>0</v>
      </c>
      <c r="K16" s="42">
        <f t="shared" si="2"/>
        <v>0</v>
      </c>
      <c r="L16" s="240"/>
    </row>
    <row r="17" spans="1:12" x14ac:dyDescent="0.25">
      <c r="A17" s="38">
        <f>Données!A17</f>
        <v>5412</v>
      </c>
      <c r="B17" s="171" t="str">
        <f>Données!B17</f>
        <v>Rennaz</v>
      </c>
      <c r="C17" s="353">
        <f>VPI!R17</f>
        <v>24252.718750309756</v>
      </c>
      <c r="D17" s="209">
        <f>(PCS!I23-PCS!F23)/C17</f>
        <v>14.60023559089802</v>
      </c>
      <c r="E17" s="522">
        <f>'Péréquation directe'!E23/C17</f>
        <v>-4.5450835816668604</v>
      </c>
      <c r="F17" s="209">
        <f>'Péréquation directe'!F23/Effort!C17</f>
        <v>-13.173553846143808</v>
      </c>
      <c r="G17" s="209">
        <f>'Péréquation directe'!G23/Effort!C17</f>
        <v>-3.6769237854733374</v>
      </c>
      <c r="H17" s="209">
        <f>'Péréquation directe'!J23/Effort!C17</f>
        <v>19.156307202306365</v>
      </c>
      <c r="I17" s="381">
        <f t="shared" si="0"/>
        <v>12.360981579920381</v>
      </c>
      <c r="J17" s="226">
        <f t="shared" si="1"/>
        <v>0</v>
      </c>
      <c r="K17" s="42">
        <f t="shared" si="2"/>
        <v>0</v>
      </c>
      <c r="L17" s="240"/>
    </row>
    <row r="18" spans="1:12" x14ac:dyDescent="0.25">
      <c r="A18" s="38">
        <f>Données!A18</f>
        <v>5413</v>
      </c>
      <c r="B18" s="171" t="str">
        <f>Données!B18</f>
        <v>Roche</v>
      </c>
      <c r="C18" s="353">
        <f>VPI!R18</f>
        <v>47951.627432220594</v>
      </c>
      <c r="D18" s="209">
        <f>(PCS!I24-PCS!F24)/C18</f>
        <v>14.600235590898022</v>
      </c>
      <c r="E18" s="522">
        <f>'Péréquation directe'!E24/C18</f>
        <v>-8.8703745031675858</v>
      </c>
      <c r="F18" s="209">
        <f>'Péréquation directe'!F24/Effort!C18</f>
        <v>-14.756848184020873</v>
      </c>
      <c r="G18" s="209">
        <f>'Péréquation directe'!G24/Effort!C18</f>
        <v>0</v>
      </c>
      <c r="H18" s="209">
        <f>'Péréquation directe'!J24/Effort!C18</f>
        <v>19.156307202306365</v>
      </c>
      <c r="I18" s="381">
        <f t="shared" si="0"/>
        <v>10.129320106015928</v>
      </c>
      <c r="J18" s="226">
        <f t="shared" si="1"/>
        <v>0</v>
      </c>
      <c r="K18" s="42">
        <f t="shared" si="2"/>
        <v>0</v>
      </c>
      <c r="L18" s="240"/>
    </row>
    <row r="19" spans="1:12" x14ac:dyDescent="0.25">
      <c r="A19" s="38">
        <f>Données!A19</f>
        <v>5414</v>
      </c>
      <c r="B19" s="171" t="str">
        <f>Données!B19</f>
        <v>Villeneuve</v>
      </c>
      <c r="C19" s="353">
        <f>VPI!R19</f>
        <v>159309.32612133506</v>
      </c>
      <c r="D19" s="209">
        <f>(PCS!I25-PCS!F25)/C19</f>
        <v>14.60023559089802</v>
      </c>
      <c r="E19" s="522">
        <f>'Péréquation directe'!E25/C19</f>
        <v>-14.490488889285237</v>
      </c>
      <c r="F19" s="209">
        <f>'Péréquation directe'!F25/Effort!C19</f>
        <v>-12.593337461595841</v>
      </c>
      <c r="G19" s="209">
        <f>'Péréquation directe'!G25/Effort!C19</f>
        <v>-15.329809045962227</v>
      </c>
      <c r="H19" s="209">
        <f>'Péréquation directe'!J25/Effort!C19</f>
        <v>19.156307202306365</v>
      </c>
      <c r="I19" s="381">
        <f t="shared" si="0"/>
        <v>-8.6570926036389189</v>
      </c>
      <c r="J19" s="226">
        <f t="shared" si="1"/>
        <v>0</v>
      </c>
      <c r="K19" s="42">
        <f t="shared" si="2"/>
        <v>0</v>
      </c>
      <c r="L19" s="240"/>
    </row>
    <row r="20" spans="1:12" x14ac:dyDescent="0.25">
      <c r="A20" s="38">
        <f>Données!A20</f>
        <v>5415</v>
      </c>
      <c r="B20" s="171" t="str">
        <f>Données!B20</f>
        <v>Yvorne</v>
      </c>
      <c r="C20" s="353">
        <f>VPI!R20</f>
        <v>38141.091526902295</v>
      </c>
      <c r="D20" s="209">
        <f>(PCS!I26-PCS!F26)/C20</f>
        <v>14.60023559089802</v>
      </c>
      <c r="E20" s="522">
        <f>'Péréquation directe'!E26/C20</f>
        <v>-3.8881105586478957</v>
      </c>
      <c r="F20" s="209">
        <f>'Péréquation directe'!F26/Effort!C20</f>
        <v>-6.0321305101682086</v>
      </c>
      <c r="G20" s="209">
        <f>'Péréquation directe'!G26/Effort!C20</f>
        <v>-4.6671942271985394</v>
      </c>
      <c r="H20" s="209">
        <f>'Péréquation directe'!J26/Effort!C20</f>
        <v>19.156307202306365</v>
      </c>
      <c r="I20" s="381">
        <f t="shared" si="0"/>
        <v>19.169107497189742</v>
      </c>
      <c r="J20" s="226">
        <f t="shared" si="1"/>
        <v>0</v>
      </c>
      <c r="K20" s="42">
        <f t="shared" si="2"/>
        <v>0</v>
      </c>
      <c r="L20" s="240"/>
    </row>
    <row r="21" spans="1:12" x14ac:dyDescent="0.25">
      <c r="A21" s="38">
        <f>Données!A21</f>
        <v>5422</v>
      </c>
      <c r="B21" s="171" t="str">
        <f>Données!B21</f>
        <v>Aubonne</v>
      </c>
      <c r="C21" s="353">
        <f>VPI!R21</f>
        <v>257139.62131053992</v>
      </c>
      <c r="D21" s="209">
        <f>(PCS!I27-PCS!F27)/C21</f>
        <v>20.370575717804869</v>
      </c>
      <c r="E21" s="522">
        <f>'Péréquation directe'!E27/C21</f>
        <v>-4.6561697033837799</v>
      </c>
      <c r="F21" s="209">
        <f>'Péréquation directe'!F27/Effort!C21</f>
        <v>0</v>
      </c>
      <c r="G21" s="209">
        <f>'Péréquation directe'!G27/Effort!C21</f>
        <v>0</v>
      </c>
      <c r="H21" s="209">
        <f>'Péréquation directe'!J27/Effort!C21</f>
        <v>19.156307202306365</v>
      </c>
      <c r="I21" s="381">
        <f t="shared" si="0"/>
        <v>34.870713216727452</v>
      </c>
      <c r="J21" s="226">
        <f t="shared" si="1"/>
        <v>0</v>
      </c>
      <c r="K21" s="42">
        <f t="shared" si="2"/>
        <v>0</v>
      </c>
      <c r="L21" s="240"/>
    </row>
    <row r="22" spans="1:12" x14ac:dyDescent="0.25">
      <c r="A22" s="38">
        <f>Données!A22</f>
        <v>5423</v>
      </c>
      <c r="B22" s="171" t="str">
        <f>Données!B22</f>
        <v>Ballens</v>
      </c>
      <c r="C22" s="353">
        <f>VPI!R22</f>
        <v>17113.568875479887</v>
      </c>
      <c r="D22" s="209">
        <f>(PCS!I28-PCS!F28)/C22</f>
        <v>14.60023559089802</v>
      </c>
      <c r="E22" s="522">
        <f>'Péréquation directe'!E28/C22</f>
        <v>-4.0718922016154382</v>
      </c>
      <c r="F22" s="209">
        <f>'Péréquation directe'!F28/Effort!C22</f>
        <v>-10.993117573189362</v>
      </c>
      <c r="G22" s="209">
        <f>'Péréquation directe'!G28/Effort!C22</f>
        <v>-8.1601424639484978</v>
      </c>
      <c r="H22" s="209">
        <f>'Péréquation directe'!J28/Effort!C22</f>
        <v>19.156307202306365</v>
      </c>
      <c r="I22" s="381">
        <f t="shared" si="0"/>
        <v>10.531390554451088</v>
      </c>
      <c r="J22" s="226">
        <f t="shared" si="1"/>
        <v>0</v>
      </c>
      <c r="K22" s="42">
        <f t="shared" si="2"/>
        <v>0</v>
      </c>
      <c r="L22" s="240"/>
    </row>
    <row r="23" spans="1:12" x14ac:dyDescent="0.25">
      <c r="A23" s="38">
        <f>Données!A23</f>
        <v>5424</v>
      </c>
      <c r="B23" s="171" t="str">
        <f>Données!B23</f>
        <v>Berolle</v>
      </c>
      <c r="C23" s="353">
        <f>VPI!R23</f>
        <v>9114.6527235419599</v>
      </c>
      <c r="D23" s="209">
        <f>(PCS!I29-PCS!F29)/C23</f>
        <v>14.60023559089802</v>
      </c>
      <c r="E23" s="522">
        <f>'Péréquation directe'!E29/C23</f>
        <v>-4.2579911534909547</v>
      </c>
      <c r="F23" s="209">
        <f>'Péréquation directe'!F29/Effort!C23</f>
        <v>-13.337399792390544</v>
      </c>
      <c r="G23" s="209">
        <f>'Péréquation directe'!G29/Effort!C23</f>
        <v>-5.1099679901626507</v>
      </c>
      <c r="H23" s="209">
        <f>'Péréquation directe'!J29/Effort!C23</f>
        <v>19.156307202306365</v>
      </c>
      <c r="I23" s="381">
        <f t="shared" si="0"/>
        <v>11.051183857160236</v>
      </c>
      <c r="J23" s="226">
        <f t="shared" si="1"/>
        <v>0</v>
      </c>
      <c r="K23" s="42">
        <f t="shared" si="2"/>
        <v>0</v>
      </c>
      <c r="L23" s="240"/>
    </row>
    <row r="24" spans="1:12" x14ac:dyDescent="0.25">
      <c r="A24" s="38">
        <f>Données!A24</f>
        <v>5425</v>
      </c>
      <c r="B24" s="171" t="str">
        <f>Données!B24</f>
        <v>Bière</v>
      </c>
      <c r="C24" s="353">
        <f>VPI!R24</f>
        <v>40150.134165172873</v>
      </c>
      <c r="D24" s="209">
        <f>(PCS!I30-PCS!F30)/C24</f>
        <v>14.60023559089802</v>
      </c>
      <c r="E24" s="522">
        <f>'Péréquation directe'!E30/C24</f>
        <v>-8.5100031096776885</v>
      </c>
      <c r="F24" s="209">
        <f>'Péréquation directe'!F30/Effort!C24</f>
        <v>-16.570483986079623</v>
      </c>
      <c r="G24" s="209">
        <f>'Péréquation directe'!G30/Effort!C24</f>
        <v>-14.849404784859852</v>
      </c>
      <c r="H24" s="209">
        <f>'Péréquation directe'!J30/Effort!C24</f>
        <v>19.156307202306365</v>
      </c>
      <c r="I24" s="381">
        <f t="shared" si="0"/>
        <v>-6.1733490874127774</v>
      </c>
      <c r="J24" s="226">
        <f t="shared" si="1"/>
        <v>0</v>
      </c>
      <c r="K24" s="42">
        <f t="shared" si="2"/>
        <v>0</v>
      </c>
      <c r="L24" s="240"/>
    </row>
    <row r="25" spans="1:12" x14ac:dyDescent="0.25">
      <c r="A25" s="38">
        <f>Données!A25</f>
        <v>5426</v>
      </c>
      <c r="B25" s="171" t="str">
        <f>Données!B25</f>
        <v>Bougy-Villars</v>
      </c>
      <c r="C25" s="353">
        <f>VPI!R25</f>
        <v>55602.19681468232</v>
      </c>
      <c r="D25" s="209">
        <f>(PCS!I31-PCS!F31)/C25</f>
        <v>29.732895049806466</v>
      </c>
      <c r="E25" s="522">
        <f>'Péréquation directe'!E31/C25</f>
        <v>-1.0637191354412134</v>
      </c>
      <c r="F25" s="209">
        <f>'Péréquation directe'!F31/Effort!C25</f>
        <v>0</v>
      </c>
      <c r="G25" s="209">
        <f>'Péréquation directe'!G31/Effort!C25</f>
        <v>0</v>
      </c>
      <c r="H25" s="209">
        <f>'Péréquation directe'!J31/Effort!C25</f>
        <v>19.156307202306362</v>
      </c>
      <c r="I25" s="381">
        <f t="shared" si="0"/>
        <v>47.825483116671613</v>
      </c>
      <c r="J25" s="226">
        <f t="shared" si="1"/>
        <v>0</v>
      </c>
      <c r="K25" s="42">
        <f t="shared" si="2"/>
        <v>0</v>
      </c>
      <c r="L25" s="240"/>
    </row>
    <row r="26" spans="1:12" x14ac:dyDescent="0.25">
      <c r="A26" s="38">
        <f>Données!A26</f>
        <v>5427</v>
      </c>
      <c r="B26" s="171" t="str">
        <f>Données!B26</f>
        <v>Féchy</v>
      </c>
      <c r="C26" s="353">
        <f>VPI!R26</f>
        <v>77005.502299275147</v>
      </c>
      <c r="D26" s="209">
        <f>(PCS!I32-PCS!F32)/C26</f>
        <v>24.527269447651353</v>
      </c>
      <c r="E26" s="522">
        <f>'Péréquation directe'!E32/C26</f>
        <v>-1.3992604594461195</v>
      </c>
      <c r="F26" s="209">
        <f>'Péréquation directe'!F32/Effort!C26</f>
        <v>0</v>
      </c>
      <c r="G26" s="209">
        <f>'Péréquation directe'!G32/Effort!C26</f>
        <v>0</v>
      </c>
      <c r="H26" s="209">
        <f>'Péréquation directe'!J32/Effort!C26</f>
        <v>19.156307202306365</v>
      </c>
      <c r="I26" s="381">
        <f t="shared" si="0"/>
        <v>42.284316190511603</v>
      </c>
      <c r="J26" s="226">
        <f t="shared" si="1"/>
        <v>0</v>
      </c>
      <c r="K26" s="42">
        <f t="shared" si="2"/>
        <v>0</v>
      </c>
      <c r="L26" s="240"/>
    </row>
    <row r="27" spans="1:12" x14ac:dyDescent="0.25">
      <c r="A27" s="38">
        <f>Données!A27</f>
        <v>5428</v>
      </c>
      <c r="B27" s="171" t="str">
        <f>Données!B27</f>
        <v>Gimel</v>
      </c>
      <c r="C27" s="353">
        <f>VPI!R27</f>
        <v>70160.017528660552</v>
      </c>
      <c r="D27" s="209">
        <f>(PCS!I33-PCS!F33)/C27</f>
        <v>14.600235590898018</v>
      </c>
      <c r="E27" s="522">
        <f>'Péréquation directe'!E33/C27</f>
        <v>-8.2349220252950133</v>
      </c>
      <c r="F27" s="209">
        <f>'Péréquation directe'!F33/Effort!C27</f>
        <v>-11.49308902185369</v>
      </c>
      <c r="G27" s="209">
        <f>'Péréquation directe'!G33/Effort!C27</f>
        <v>-3.5817498417654519</v>
      </c>
      <c r="H27" s="209">
        <f>'Péréquation directe'!J33/Effort!C27</f>
        <v>19.156307202306365</v>
      </c>
      <c r="I27" s="381">
        <f t="shared" si="0"/>
        <v>10.446781904290228</v>
      </c>
      <c r="J27" s="226">
        <f t="shared" si="1"/>
        <v>0</v>
      </c>
      <c r="K27" s="42">
        <f t="shared" si="2"/>
        <v>0</v>
      </c>
      <c r="L27" s="240"/>
    </row>
    <row r="28" spans="1:12" x14ac:dyDescent="0.25">
      <c r="A28" s="38">
        <f>Données!A28</f>
        <v>5429</v>
      </c>
      <c r="B28" s="171" t="str">
        <f>Données!B28</f>
        <v>Longirod</v>
      </c>
      <c r="C28" s="353">
        <f>VPI!R28</f>
        <v>16136.097907481106</v>
      </c>
      <c r="D28" s="209">
        <f>(PCS!I34-PCS!F34)/C28</f>
        <v>14.60023559089802</v>
      </c>
      <c r="E28" s="522">
        <f>'Péréquation directe'!E34/C28</f>
        <v>-3.7960241974147566</v>
      </c>
      <c r="F28" s="209">
        <f>'Péréquation directe'!F34/Effort!C28</f>
        <v>-9.9247701271269868</v>
      </c>
      <c r="G28" s="209">
        <f>'Péréquation directe'!G34/Effort!C28</f>
        <v>-7.6079786964843858</v>
      </c>
      <c r="H28" s="209">
        <f>'Péréquation directe'!J34/Effort!C28</f>
        <v>19.156307202306365</v>
      </c>
      <c r="I28" s="381">
        <f t="shared" si="0"/>
        <v>12.427769772178257</v>
      </c>
      <c r="J28" s="226">
        <f t="shared" si="1"/>
        <v>0</v>
      </c>
      <c r="K28" s="42">
        <f t="shared" si="2"/>
        <v>0</v>
      </c>
      <c r="L28" s="240"/>
    </row>
    <row r="29" spans="1:12" x14ac:dyDescent="0.25">
      <c r="A29" s="38">
        <f>Données!A29</f>
        <v>5430</v>
      </c>
      <c r="B29" s="171" t="str">
        <f>Données!B29</f>
        <v>Marchissy</v>
      </c>
      <c r="C29" s="353">
        <f>VPI!R29</f>
        <v>14848.61677419355</v>
      </c>
      <c r="D29" s="209">
        <f>(PCS!I35-PCS!F35)/C29</f>
        <v>14.60023559089802</v>
      </c>
      <c r="E29" s="522">
        <f>'Péréquation directe'!E35/C29</f>
        <v>-4.0166095930990204</v>
      </c>
      <c r="F29" s="209">
        <f>'Péréquation directe'!F35/Effort!C29</f>
        <v>-11.896145320149502</v>
      </c>
      <c r="G29" s="209">
        <f>'Péréquation directe'!G35/Effort!C29</f>
        <v>-24.783442280884113</v>
      </c>
      <c r="H29" s="209">
        <f>'Péréquation directe'!J35/Effort!C29</f>
        <v>19.156307202306365</v>
      </c>
      <c r="I29" s="381">
        <f t="shared" si="0"/>
        <v>-6.9396544009282479</v>
      </c>
      <c r="J29" s="226">
        <f t="shared" si="1"/>
        <v>0</v>
      </c>
      <c r="K29" s="42">
        <f t="shared" si="2"/>
        <v>0</v>
      </c>
      <c r="L29" s="240"/>
    </row>
    <row r="30" spans="1:12" x14ac:dyDescent="0.25">
      <c r="A30" s="38">
        <f>Données!A30</f>
        <v>5431</v>
      </c>
      <c r="B30" s="171" t="str">
        <f>Données!B30</f>
        <v>Mollens</v>
      </c>
      <c r="C30" s="353">
        <f>VPI!R30</f>
        <v>9333.1487396041775</v>
      </c>
      <c r="D30" s="209">
        <f>(PCS!I36-PCS!F36)/C30</f>
        <v>14.60023559089802</v>
      </c>
      <c r="E30" s="522">
        <f>'Péréquation directe'!E36/C30</f>
        <v>-4.3841590003445159</v>
      </c>
      <c r="F30" s="209">
        <f>'Péréquation directe'!F36/Effort!C30</f>
        <v>-13.840720693906418</v>
      </c>
      <c r="G30" s="209">
        <f>'Péréquation directe'!G36/Effort!C30</f>
        <v>-7.9462460180203989</v>
      </c>
      <c r="H30" s="209">
        <f>'Péréquation directe'!J36/Effort!C30</f>
        <v>19.156307202306365</v>
      </c>
      <c r="I30" s="381">
        <f t="shared" si="0"/>
        <v>7.5854170809330519</v>
      </c>
      <c r="J30" s="226">
        <f t="shared" si="1"/>
        <v>0</v>
      </c>
      <c r="K30" s="42">
        <f t="shared" si="2"/>
        <v>0</v>
      </c>
      <c r="L30" s="240"/>
    </row>
    <row r="31" spans="1:12" x14ac:dyDescent="0.25">
      <c r="A31" s="38">
        <f>Données!A31</f>
        <v>5434</v>
      </c>
      <c r="B31" s="171" t="str">
        <f>Données!B31</f>
        <v>Saint-George</v>
      </c>
      <c r="C31" s="353">
        <f>VPI!R31</f>
        <v>40791.515913403804</v>
      </c>
      <c r="D31" s="209">
        <f>(PCS!I37-PCS!F37)/C31</f>
        <v>14.600235590898022</v>
      </c>
      <c r="E31" s="522">
        <f>'Péréquation directe'!E37/C31</f>
        <v>-3.6695256287174463</v>
      </c>
      <c r="F31" s="209">
        <f>'Péréquation directe'!F37/Effort!C31</f>
        <v>-4.1623664599835752</v>
      </c>
      <c r="G31" s="209">
        <f>'Péréquation directe'!G37/Effort!C31</f>
        <v>-1.3473662803222108</v>
      </c>
      <c r="H31" s="209">
        <f>'Péréquation directe'!J37/Effort!C31</f>
        <v>19.156307202306365</v>
      </c>
      <c r="I31" s="381">
        <f t="shared" si="0"/>
        <v>24.577284424181155</v>
      </c>
      <c r="J31" s="226">
        <f t="shared" si="1"/>
        <v>0</v>
      </c>
      <c r="K31" s="42">
        <f t="shared" si="2"/>
        <v>0</v>
      </c>
      <c r="L31" s="240"/>
    </row>
    <row r="32" spans="1:12" x14ac:dyDescent="0.25">
      <c r="A32" s="38">
        <f>Données!A32</f>
        <v>5435</v>
      </c>
      <c r="B32" s="171" t="str">
        <f>Données!B32</f>
        <v>Saint-Livres</v>
      </c>
      <c r="C32" s="353">
        <f>VPI!R32</f>
        <v>26337.98545829628</v>
      </c>
      <c r="D32" s="209">
        <f>(PCS!I38-PCS!F38)/C32</f>
        <v>14.600235590898022</v>
      </c>
      <c r="E32" s="522">
        <f>'Péréquation directe'!E38/C32</f>
        <v>-3.2154272921775564</v>
      </c>
      <c r="F32" s="209">
        <f>'Péréquation directe'!F38/Effort!C32</f>
        <v>-3.7540787934179689</v>
      </c>
      <c r="G32" s="209">
        <f>'Péréquation directe'!G38/Effort!C32</f>
        <v>-1.5393294720440212</v>
      </c>
      <c r="H32" s="209">
        <f>'Péréquation directe'!J38/Effort!C32</f>
        <v>19.156307202306365</v>
      </c>
      <c r="I32" s="381">
        <f t="shared" si="0"/>
        <v>25.247707235564839</v>
      </c>
      <c r="J32" s="226">
        <f t="shared" si="1"/>
        <v>0</v>
      </c>
      <c r="K32" s="42">
        <f t="shared" si="2"/>
        <v>0</v>
      </c>
      <c r="L32" s="240"/>
    </row>
    <row r="33" spans="1:12" x14ac:dyDescent="0.25">
      <c r="A33" s="38">
        <f>Données!A33</f>
        <v>5436</v>
      </c>
      <c r="B33" s="171" t="str">
        <f>Données!B33</f>
        <v>Saint-Oyens</v>
      </c>
      <c r="C33" s="353">
        <f>VPI!R33</f>
        <v>16753.686386728143</v>
      </c>
      <c r="D33" s="209">
        <f>(PCS!I39-PCS!F39)/C33</f>
        <v>14.600235590898018</v>
      </c>
      <c r="E33" s="522">
        <f>'Péréquation directe'!E39/C33</f>
        <v>-3.4118590968197089</v>
      </c>
      <c r="F33" s="209">
        <f>'Péréquation directe'!F39/Effort!C33</f>
        <v>-7.0910474267491681</v>
      </c>
      <c r="G33" s="209">
        <f>'Péréquation directe'!G39/Effort!C33</f>
        <v>0</v>
      </c>
      <c r="H33" s="209">
        <f>'Péréquation directe'!J39/Effort!C33</f>
        <v>19.156307202306365</v>
      </c>
      <c r="I33" s="381">
        <f t="shared" si="0"/>
        <v>23.253636269635507</v>
      </c>
      <c r="J33" s="226">
        <f t="shared" si="1"/>
        <v>0</v>
      </c>
      <c r="K33" s="42">
        <f t="shared" si="2"/>
        <v>0</v>
      </c>
      <c r="L33" s="240"/>
    </row>
    <row r="34" spans="1:12" x14ac:dyDescent="0.25">
      <c r="A34" s="38">
        <f>Données!A34</f>
        <v>5437</v>
      </c>
      <c r="B34" s="171" t="str">
        <f>Données!B34</f>
        <v>Saubraz</v>
      </c>
      <c r="C34" s="353">
        <f>VPI!R34</f>
        <v>13378.426818540998</v>
      </c>
      <c r="D34" s="209">
        <f>(PCS!I40-PCS!F40)/C34</f>
        <v>14.60023559089802</v>
      </c>
      <c r="E34" s="522">
        <f>'Péréquation directe'!E40/C34</f>
        <v>-3.9204494961538696</v>
      </c>
      <c r="F34" s="209">
        <f>'Péréquation directe'!F40/Effort!C34</f>
        <v>-11.76029476266247</v>
      </c>
      <c r="G34" s="209">
        <f>'Péréquation directe'!G40/Effort!C34</f>
        <v>-1.120231794965892</v>
      </c>
      <c r="H34" s="209">
        <f>'Péréquation directe'!J40/Effort!C34</f>
        <v>19.156307202306365</v>
      </c>
      <c r="I34" s="381">
        <f t="shared" si="0"/>
        <v>16.955566739422153</v>
      </c>
      <c r="J34" s="226">
        <f t="shared" si="1"/>
        <v>0</v>
      </c>
      <c r="K34" s="42">
        <f t="shared" si="2"/>
        <v>0</v>
      </c>
      <c r="L34" s="240"/>
    </row>
    <row r="35" spans="1:12" x14ac:dyDescent="0.25">
      <c r="A35" s="38">
        <f>Données!A35</f>
        <v>5451</v>
      </c>
      <c r="B35" s="171" t="str">
        <f>Données!B35</f>
        <v>Avenches</v>
      </c>
      <c r="C35" s="353">
        <f>VPI!R35</f>
        <v>128992.08671525712</v>
      </c>
      <c r="D35" s="209">
        <f>(PCS!I41-PCS!F41)/C35</f>
        <v>14.60023559089802</v>
      </c>
      <c r="E35" s="522">
        <f>'Péréquation directe'!E41/C35</f>
        <v>-12.042571120650633</v>
      </c>
      <c r="F35" s="209">
        <f>'Péréquation directe'!F41/Effort!C35</f>
        <v>-10.678404012225288</v>
      </c>
      <c r="G35" s="209">
        <f>'Péréquation directe'!G41/Effort!C35</f>
        <v>-10.652114518788824</v>
      </c>
      <c r="H35" s="209">
        <f>'Péréquation directe'!J41/Effort!C35</f>
        <v>19.156307202306365</v>
      </c>
      <c r="I35" s="381">
        <f t="shared" si="0"/>
        <v>0.38345314153963983</v>
      </c>
      <c r="J35" s="226">
        <f t="shared" si="1"/>
        <v>0</v>
      </c>
      <c r="K35" s="42">
        <f t="shared" si="2"/>
        <v>0</v>
      </c>
      <c r="L35" s="240"/>
    </row>
    <row r="36" spans="1:12" x14ac:dyDescent="0.25">
      <c r="A36" s="38">
        <f>Données!A36</f>
        <v>5456</v>
      </c>
      <c r="B36" s="171" t="str">
        <f>Données!B36</f>
        <v>Cudrefin</v>
      </c>
      <c r="C36" s="353">
        <f>VPI!R36</f>
        <v>64212.312252410848</v>
      </c>
      <c r="D36" s="209">
        <f>(PCS!I42-PCS!F42)/C36</f>
        <v>14.600235590898018</v>
      </c>
      <c r="E36" s="522">
        <f>'Péréquation directe'!E42/C36</f>
        <v>-6.148303445797219</v>
      </c>
      <c r="F36" s="209">
        <f>'Péréquation directe'!F42/Effort!C36</f>
        <v>-3.8933712442071795</v>
      </c>
      <c r="G36" s="209">
        <f>'Péréquation directe'!G42/Effort!C36</f>
        <v>-3.6409781595547055</v>
      </c>
      <c r="H36" s="209">
        <f>'Péréquation directe'!J42/Effort!C36</f>
        <v>19.156307202306365</v>
      </c>
      <c r="I36" s="381">
        <f t="shared" si="0"/>
        <v>20.07388994364528</v>
      </c>
      <c r="J36" s="226">
        <f t="shared" si="1"/>
        <v>0</v>
      </c>
      <c r="K36" s="42">
        <f t="shared" si="2"/>
        <v>0</v>
      </c>
      <c r="L36" s="240"/>
    </row>
    <row r="37" spans="1:12" x14ac:dyDescent="0.25">
      <c r="A37" s="38">
        <f>Données!A37</f>
        <v>5458</v>
      </c>
      <c r="B37" s="171" t="str">
        <f>Données!B37</f>
        <v>Faoug</v>
      </c>
      <c r="C37" s="353">
        <f>VPI!R37</f>
        <v>32193.574318729454</v>
      </c>
      <c r="D37" s="209">
        <f>(PCS!I43-PCS!F43)/C37</f>
        <v>14.60023559089802</v>
      </c>
      <c r="E37" s="522">
        <f>'Péréquation directe'!E43/C37</f>
        <v>-3.393182782720801</v>
      </c>
      <c r="F37" s="209">
        <f>'Péréquation directe'!F43/Effort!C37</f>
        <v>-4.5868598342098954</v>
      </c>
      <c r="G37" s="209">
        <f>'Péréquation directe'!G43/Effort!C37</f>
        <v>-3.2824035952461998</v>
      </c>
      <c r="H37" s="209">
        <f>'Péréquation directe'!J43/Effort!C37</f>
        <v>19.156307202306365</v>
      </c>
      <c r="I37" s="381">
        <f t="shared" si="0"/>
        <v>22.494096581027488</v>
      </c>
      <c r="J37" s="226">
        <f t="shared" si="1"/>
        <v>0</v>
      </c>
      <c r="K37" s="42">
        <f t="shared" si="2"/>
        <v>0</v>
      </c>
      <c r="L37" s="240"/>
    </row>
    <row r="38" spans="1:12" x14ac:dyDescent="0.25">
      <c r="A38" s="38">
        <f>Données!A38</f>
        <v>5464</v>
      </c>
      <c r="B38" s="171" t="str">
        <f>Données!B38</f>
        <v>Vully-les-Lacs</v>
      </c>
      <c r="C38" s="353">
        <f>VPI!R38</f>
        <v>111582.51347109246</v>
      </c>
      <c r="D38" s="209">
        <f>(PCS!I44-PCS!F44)/C38</f>
        <v>14.600235590898022</v>
      </c>
      <c r="E38" s="522">
        <f>'Péréquation directe'!E44/C38</f>
        <v>-8.9342983752659926</v>
      </c>
      <c r="F38" s="209">
        <f>'Péréquation directe'!F44/Effort!C38</f>
        <v>-7.0016106849144455</v>
      </c>
      <c r="G38" s="209">
        <f>'Péréquation directe'!G44/Effort!C38</f>
        <v>-3.1507281762793862</v>
      </c>
      <c r="H38" s="209">
        <f>'Péréquation directe'!J44/Effort!C38</f>
        <v>19.156307202306365</v>
      </c>
      <c r="I38" s="381">
        <f t="shared" si="0"/>
        <v>14.669905556744563</v>
      </c>
      <c r="J38" s="226">
        <f t="shared" si="1"/>
        <v>0</v>
      </c>
      <c r="K38" s="42">
        <f t="shared" si="2"/>
        <v>0</v>
      </c>
      <c r="L38" s="240"/>
    </row>
    <row r="39" spans="1:12" x14ac:dyDescent="0.25">
      <c r="A39" s="38">
        <f>Données!A39</f>
        <v>5471</v>
      </c>
      <c r="B39" s="171" t="str">
        <f>Données!B39</f>
        <v>Bettens</v>
      </c>
      <c r="C39" s="353">
        <f>VPI!R39</f>
        <v>20380.173113086941</v>
      </c>
      <c r="D39" s="209">
        <f>(PCS!I45-PCS!F45)/C39</f>
        <v>14.600235590898022</v>
      </c>
      <c r="E39" s="522">
        <f>'Péréquation directe'!E45/C39</f>
        <v>-3.8694549122919581</v>
      </c>
      <c r="F39" s="209">
        <f>'Péréquation directe'!F45/Effort!C39</f>
        <v>-8.6321757861604311</v>
      </c>
      <c r="G39" s="209">
        <f>'Péréquation directe'!G45/Effort!C39</f>
        <v>-1.0845693605656694</v>
      </c>
      <c r="H39" s="209">
        <f>'Péréquation directe'!J45/Effort!C39</f>
        <v>19.156307202306365</v>
      </c>
      <c r="I39" s="381">
        <f t="shared" si="0"/>
        <v>20.170342734186328</v>
      </c>
      <c r="J39" s="226">
        <f t="shared" si="1"/>
        <v>0</v>
      </c>
      <c r="K39" s="42">
        <f t="shared" si="2"/>
        <v>0</v>
      </c>
      <c r="L39" s="240"/>
    </row>
    <row r="40" spans="1:12" x14ac:dyDescent="0.25">
      <c r="A40" s="38">
        <f>Données!A40</f>
        <v>5472</v>
      </c>
      <c r="B40" s="171" t="str">
        <f>Données!B40</f>
        <v>Bournens</v>
      </c>
      <c r="C40" s="353">
        <f>VPI!R40</f>
        <v>20138.784507874909</v>
      </c>
      <c r="D40" s="209">
        <f>(PCS!I46-PCS!F46)/C40</f>
        <v>14.60023559089802</v>
      </c>
      <c r="E40" s="522">
        <f>'Péréquation directe'!E46/C40</f>
        <v>-3.0169170453044556</v>
      </c>
      <c r="F40" s="209">
        <f>'Péréquation directe'!F46/Effort!C40</f>
        <v>-2.556398903260078</v>
      </c>
      <c r="G40" s="209">
        <f>'Péréquation directe'!G46/Effort!C40</f>
        <v>-0.77731412305308401</v>
      </c>
      <c r="H40" s="209">
        <f>'Péréquation directe'!J46/Effort!C40</f>
        <v>19.156307202306365</v>
      </c>
      <c r="I40" s="381">
        <f t="shared" si="0"/>
        <v>27.405912721586766</v>
      </c>
      <c r="J40" s="226">
        <f t="shared" si="1"/>
        <v>0</v>
      </c>
      <c r="K40" s="42">
        <f t="shared" si="2"/>
        <v>0</v>
      </c>
      <c r="L40" s="240"/>
    </row>
    <row r="41" spans="1:12" x14ac:dyDescent="0.25">
      <c r="A41" s="38">
        <f>Données!A41</f>
        <v>5473</v>
      </c>
      <c r="B41" s="171" t="str">
        <f>Données!B41</f>
        <v>Boussens</v>
      </c>
      <c r="C41" s="353">
        <f>VPI!R41</f>
        <v>37766.597979852122</v>
      </c>
      <c r="D41" s="209">
        <f>(PCS!I47-PCS!F47)/C41</f>
        <v>14.600235590898016</v>
      </c>
      <c r="E41" s="522">
        <f>'Péréquation directe'!E47/C41</f>
        <v>-3.2798816002700617</v>
      </c>
      <c r="F41" s="209">
        <f>'Péréquation directe'!F47/Effort!C41</f>
        <v>-4.0295990983958276</v>
      </c>
      <c r="G41" s="209">
        <f>'Péréquation directe'!G47/Effort!C41</f>
        <v>0</v>
      </c>
      <c r="H41" s="209">
        <f>'Péréquation directe'!J47/Effort!C41</f>
        <v>19.156307202306365</v>
      </c>
      <c r="I41" s="381">
        <f t="shared" si="0"/>
        <v>26.447062094538492</v>
      </c>
      <c r="J41" s="226">
        <f t="shared" si="1"/>
        <v>0</v>
      </c>
      <c r="K41" s="42">
        <f t="shared" si="2"/>
        <v>0</v>
      </c>
      <c r="L41" s="240"/>
    </row>
    <row r="42" spans="1:12" x14ac:dyDescent="0.25">
      <c r="A42" s="38">
        <f>Données!A42</f>
        <v>5474</v>
      </c>
      <c r="B42" s="171" t="str">
        <f>Données!B42</f>
        <v>La Chaux (Cossonay)</v>
      </c>
      <c r="C42" s="353">
        <f>VPI!R42</f>
        <v>13181.653644203574</v>
      </c>
      <c r="D42" s="209">
        <f>(PCS!I48-PCS!F48)/C42</f>
        <v>14.60023559089802</v>
      </c>
      <c r="E42" s="522">
        <f>'Péréquation directe'!E48/C42</f>
        <v>-3.6779634139722099</v>
      </c>
      <c r="F42" s="209">
        <f>'Péréquation directe'!F48/Effort!C42</f>
        <v>-8.755580997255306</v>
      </c>
      <c r="G42" s="209">
        <f>'Péréquation directe'!G48/Effort!C42</f>
        <v>-16.882144239363676</v>
      </c>
      <c r="H42" s="209">
        <f>'Péréquation directe'!J48/Effort!C42</f>
        <v>19.156307202306365</v>
      </c>
      <c r="I42" s="381">
        <f t="shared" si="0"/>
        <v>4.440854142613194</v>
      </c>
      <c r="J42" s="226">
        <f t="shared" si="1"/>
        <v>0</v>
      </c>
      <c r="K42" s="42">
        <f t="shared" si="2"/>
        <v>0</v>
      </c>
      <c r="L42" s="240"/>
    </row>
    <row r="43" spans="1:12" x14ac:dyDescent="0.25">
      <c r="A43" s="38">
        <f>Données!A43</f>
        <v>5475</v>
      </c>
      <c r="B43" s="171" t="str">
        <f>Données!B43</f>
        <v>Chavannes-le-Veyron</v>
      </c>
      <c r="C43" s="353">
        <f>VPI!R43</f>
        <v>3874.542905998469</v>
      </c>
      <c r="D43" s="209">
        <f>(PCS!I49-PCS!F49)/C43</f>
        <v>14.60023559089802</v>
      </c>
      <c r="E43" s="522">
        <f>'Péréquation directe'!E49/C43</f>
        <v>-4.8643370204498808</v>
      </c>
      <c r="F43" s="209">
        <f>'Péréquation directe'!F49/Effort!C43</f>
        <v>-19.221853867164651</v>
      </c>
      <c r="G43" s="209">
        <f>'Péréquation directe'!G49/Effort!C43</f>
        <v>-8.0680705164251147</v>
      </c>
      <c r="H43" s="209">
        <f>'Péréquation directe'!J49/Effort!C43</f>
        <v>19.156307202306365</v>
      </c>
      <c r="I43" s="381">
        <f t="shared" si="0"/>
        <v>1.6022813891647374</v>
      </c>
      <c r="J43" s="226">
        <f t="shared" si="1"/>
        <v>0</v>
      </c>
      <c r="K43" s="42">
        <f t="shared" si="2"/>
        <v>0</v>
      </c>
      <c r="L43" s="240"/>
    </row>
    <row r="44" spans="1:12" x14ac:dyDescent="0.25">
      <c r="A44" s="38">
        <f>Données!A44</f>
        <v>5476</v>
      </c>
      <c r="B44" s="171" t="str">
        <f>Données!B44</f>
        <v>Chevilly</v>
      </c>
      <c r="C44" s="353">
        <f>VPI!R44</f>
        <v>11841.851486486486</v>
      </c>
      <c r="D44" s="209">
        <f>(PCS!I50-PCS!F50)/C44</f>
        <v>14.600235590898022</v>
      </c>
      <c r="E44" s="522">
        <f>'Péréquation directe'!E50/C44</f>
        <v>-3.3192517710570373</v>
      </c>
      <c r="F44" s="209">
        <f>'Péréquation directe'!F50/Effort!C44</f>
        <v>-5.1638257076326139</v>
      </c>
      <c r="G44" s="209">
        <f>'Péréquation directe'!G50/Effort!C44</f>
        <v>-0.36836396657338816</v>
      </c>
      <c r="H44" s="209">
        <f>'Péréquation directe'!J50/Effort!C44</f>
        <v>19.156307202306365</v>
      </c>
      <c r="I44" s="381">
        <f t="shared" si="0"/>
        <v>24.905101347941347</v>
      </c>
      <c r="J44" s="226">
        <f t="shared" si="1"/>
        <v>0</v>
      </c>
      <c r="K44" s="42">
        <f t="shared" si="2"/>
        <v>0</v>
      </c>
      <c r="L44" s="240"/>
    </row>
    <row r="45" spans="1:12" x14ac:dyDescent="0.25">
      <c r="A45" s="38">
        <f>Données!A45</f>
        <v>5477</v>
      </c>
      <c r="B45" s="171" t="str">
        <f>Données!B45</f>
        <v>Cossonay</v>
      </c>
      <c r="C45" s="353">
        <f>VPI!R45</f>
        <v>119044.37813513582</v>
      </c>
      <c r="D45" s="209">
        <f>(PCS!I51-PCS!F51)/C45</f>
        <v>14.600235590898022</v>
      </c>
      <c r="E45" s="522">
        <f>'Péréquation directe'!E51/C45</f>
        <v>-11.965644058542827</v>
      </c>
      <c r="F45" s="209">
        <f>'Péréquation directe'!F51/Effort!C45</f>
        <v>-12.304749923043559</v>
      </c>
      <c r="G45" s="209">
        <f>'Péréquation directe'!G51/Effort!C45</f>
        <v>-7.1816787536046691</v>
      </c>
      <c r="H45" s="209">
        <f>'Péréquation directe'!J51/Effort!C45</f>
        <v>19.156307202306365</v>
      </c>
      <c r="I45" s="381">
        <f t="shared" si="0"/>
        <v>2.304470058013333</v>
      </c>
      <c r="J45" s="226">
        <f t="shared" si="1"/>
        <v>0</v>
      </c>
      <c r="K45" s="42">
        <f t="shared" si="2"/>
        <v>0</v>
      </c>
      <c r="L45" s="240"/>
    </row>
    <row r="46" spans="1:12" x14ac:dyDescent="0.25">
      <c r="A46" s="38">
        <f>Données!A46</f>
        <v>5479</v>
      </c>
      <c r="B46" s="171" t="str">
        <f>Données!B46</f>
        <v>Cuarnens</v>
      </c>
      <c r="C46" s="353">
        <f>VPI!R46</f>
        <v>18064.580944641726</v>
      </c>
      <c r="D46" s="209">
        <f>(PCS!I52-PCS!F52)/C46</f>
        <v>14.60023559089802</v>
      </c>
      <c r="E46" s="522">
        <f>'Péréquation directe'!E52/C46</f>
        <v>-3.6172894967078268</v>
      </c>
      <c r="F46" s="209">
        <f>'Péréquation directe'!F52/Effort!C46</f>
        <v>-8.2203113564709582</v>
      </c>
      <c r="G46" s="209">
        <f>'Péréquation directe'!G52/Effort!C46</f>
        <v>-4.9946953599513915</v>
      </c>
      <c r="H46" s="209">
        <f>'Péréquation directe'!J52/Effort!C46</f>
        <v>19.156307202306365</v>
      </c>
      <c r="I46" s="381">
        <f t="shared" si="0"/>
        <v>16.924246580074211</v>
      </c>
      <c r="J46" s="226">
        <f t="shared" si="1"/>
        <v>0</v>
      </c>
      <c r="K46" s="42">
        <f t="shared" si="2"/>
        <v>0</v>
      </c>
      <c r="L46" s="240"/>
    </row>
    <row r="47" spans="1:12" x14ac:dyDescent="0.25">
      <c r="A47" s="38">
        <f>Données!A47</f>
        <v>5480</v>
      </c>
      <c r="B47" s="171" t="str">
        <f>Données!B47</f>
        <v>Daillens</v>
      </c>
      <c r="C47" s="353">
        <f>VPI!R47</f>
        <v>40967.735913324992</v>
      </c>
      <c r="D47" s="209">
        <f>(PCS!I53-PCS!F53)/C47</f>
        <v>14.600235590898022</v>
      </c>
      <c r="E47" s="522">
        <f>'Péréquation directe'!E53/C47</f>
        <v>-3.433403125149038</v>
      </c>
      <c r="F47" s="209">
        <f>'Péréquation directe'!F53/Effort!C47</f>
        <v>-3.1526284146043144</v>
      </c>
      <c r="G47" s="209">
        <f>'Péréquation directe'!G53/Effort!C47</f>
        <v>-10.600722125305332</v>
      </c>
      <c r="H47" s="209">
        <f>'Péréquation directe'!J53/Effort!C47</f>
        <v>19.156307202306365</v>
      </c>
      <c r="I47" s="381">
        <f t="shared" si="0"/>
        <v>16.569789128145704</v>
      </c>
      <c r="J47" s="226">
        <f t="shared" si="1"/>
        <v>0</v>
      </c>
      <c r="K47" s="42">
        <f t="shared" si="2"/>
        <v>0</v>
      </c>
      <c r="L47" s="240"/>
    </row>
    <row r="48" spans="1:12" x14ac:dyDescent="0.25">
      <c r="A48" s="38">
        <f>Données!A48</f>
        <v>5481</v>
      </c>
      <c r="B48" s="171" t="str">
        <f>Données!B48</f>
        <v>Dizy</v>
      </c>
      <c r="C48" s="353">
        <f>VPI!R48</f>
        <v>8106.5312898245948</v>
      </c>
      <c r="D48" s="209">
        <f>(PCS!I54-PCS!F54)/C48</f>
        <v>14.60023559089802</v>
      </c>
      <c r="E48" s="522">
        <f>'Péréquation directe'!E54/C48</f>
        <v>-3.4262062150043109</v>
      </c>
      <c r="F48" s="209">
        <f>'Péréquation directe'!F54/Effort!C48</f>
        <v>-6.1995117977424909</v>
      </c>
      <c r="G48" s="209">
        <f>'Péréquation directe'!G54/Effort!C48</f>
        <v>-3.5718189723633258</v>
      </c>
      <c r="H48" s="209">
        <f>'Péréquation directe'!J54/Effort!C48</f>
        <v>19.156307202306365</v>
      </c>
      <c r="I48" s="381">
        <f t="shared" si="0"/>
        <v>20.559005808094259</v>
      </c>
      <c r="J48" s="226">
        <f t="shared" si="1"/>
        <v>0</v>
      </c>
      <c r="K48" s="42">
        <f t="shared" si="2"/>
        <v>0</v>
      </c>
      <c r="L48" s="240"/>
    </row>
    <row r="49" spans="1:12" x14ac:dyDescent="0.25">
      <c r="A49" s="38">
        <f>Données!A49</f>
        <v>5482</v>
      </c>
      <c r="B49" s="171" t="str">
        <f>Données!B49</f>
        <v>Eclépens</v>
      </c>
      <c r="C49" s="353">
        <f>VPI!R49</f>
        <v>70435.439965635131</v>
      </c>
      <c r="D49" s="209">
        <f>(PCS!I55-PCS!F55)/C49</f>
        <v>16.628194913659851</v>
      </c>
      <c r="E49" s="522">
        <f>'Péréquation directe'!E55/C49</f>
        <v>-2.8447929844776714</v>
      </c>
      <c r="F49" s="209">
        <f>'Péréquation directe'!F55/Effort!C49</f>
        <v>0</v>
      </c>
      <c r="G49" s="209">
        <f>'Péréquation directe'!G55/Effort!C49</f>
        <v>0</v>
      </c>
      <c r="H49" s="209">
        <f>'Péréquation directe'!J55/Effort!C49</f>
        <v>19.156307202306365</v>
      </c>
      <c r="I49" s="381">
        <f t="shared" si="0"/>
        <v>32.939709131488542</v>
      </c>
      <c r="J49" s="226">
        <f t="shared" si="1"/>
        <v>0</v>
      </c>
      <c r="K49" s="42">
        <f t="shared" si="2"/>
        <v>0</v>
      </c>
      <c r="L49" s="240"/>
    </row>
    <row r="50" spans="1:12" x14ac:dyDescent="0.25">
      <c r="A50" s="38">
        <f>Données!A50</f>
        <v>5483</v>
      </c>
      <c r="B50" s="171" t="str">
        <f>Données!B50</f>
        <v>Ferreyres</v>
      </c>
      <c r="C50" s="353">
        <f>VPI!R50</f>
        <v>10817.678140952161</v>
      </c>
      <c r="D50" s="209">
        <f>(PCS!I56-PCS!F56)/C50</f>
        <v>14.600235590898018</v>
      </c>
      <c r="E50" s="522">
        <f>'Péréquation directe'!E56/C50</f>
        <v>-3.6564292199581532</v>
      </c>
      <c r="F50" s="209">
        <f>'Péréquation directe'!F56/Effort!C50</f>
        <v>-8.3445662512827194</v>
      </c>
      <c r="G50" s="209">
        <f>'Péréquation directe'!G56/Effort!C50</f>
        <v>0</v>
      </c>
      <c r="H50" s="209">
        <f>'Péréquation directe'!J56/Effort!C50</f>
        <v>19.156307202306365</v>
      </c>
      <c r="I50" s="381">
        <f t="shared" si="0"/>
        <v>21.755547321963512</v>
      </c>
      <c r="J50" s="226">
        <f t="shared" si="1"/>
        <v>0</v>
      </c>
      <c r="K50" s="42">
        <f t="shared" si="2"/>
        <v>0</v>
      </c>
      <c r="L50" s="240"/>
    </row>
    <row r="51" spans="1:12" x14ac:dyDescent="0.25">
      <c r="A51" s="38">
        <f>Données!A51</f>
        <v>5484</v>
      </c>
      <c r="B51" s="171" t="str">
        <f>Données!B51</f>
        <v>Gollion</v>
      </c>
      <c r="C51" s="353">
        <f>VPI!R51</f>
        <v>34968.588815884439</v>
      </c>
      <c r="D51" s="209">
        <f>(PCS!I57-PCS!F57)/C51</f>
        <v>14.600235590898022</v>
      </c>
      <c r="E51" s="522">
        <f>'Péréquation directe'!E57/C51</f>
        <v>-3.5316834939437576</v>
      </c>
      <c r="F51" s="209">
        <f>'Péréquation directe'!F57/Effort!C51</f>
        <v>-6.8947255461796715</v>
      </c>
      <c r="G51" s="209">
        <f>'Péréquation directe'!G57/Effort!C51</f>
        <v>-6.2294271192845239</v>
      </c>
      <c r="H51" s="209">
        <f>'Péréquation directe'!J57/Effort!C51</f>
        <v>19.156307202306365</v>
      </c>
      <c r="I51" s="381">
        <f t="shared" si="0"/>
        <v>17.100706633796435</v>
      </c>
      <c r="J51" s="226">
        <f t="shared" si="1"/>
        <v>0</v>
      </c>
      <c r="K51" s="42">
        <f t="shared" si="2"/>
        <v>0</v>
      </c>
      <c r="L51" s="240"/>
    </row>
    <row r="52" spans="1:12" x14ac:dyDescent="0.25">
      <c r="A52" s="38">
        <f>Données!A52</f>
        <v>5485</v>
      </c>
      <c r="B52" s="171" t="str">
        <f>Données!B52</f>
        <v>Grancy</v>
      </c>
      <c r="C52" s="353">
        <f>VPI!R52</f>
        <v>14538.346948228997</v>
      </c>
      <c r="D52" s="209">
        <f>(PCS!I58-PCS!F58)/C52</f>
        <v>14.600235590898022</v>
      </c>
      <c r="E52" s="522">
        <f>'Péréquation directe'!E58/C52</f>
        <v>-3.4626735401927551</v>
      </c>
      <c r="F52" s="209">
        <f>'Péréquation directe'!F58/Effort!C52</f>
        <v>-5.6663457203345935</v>
      </c>
      <c r="G52" s="209">
        <f>'Péréquation directe'!G58/Effort!C52</f>
        <v>-2.8726036218678677</v>
      </c>
      <c r="H52" s="209">
        <f>'Péréquation directe'!J58/Effort!C52</f>
        <v>19.156307202306365</v>
      </c>
      <c r="I52" s="381">
        <f t="shared" si="0"/>
        <v>21.754919910809171</v>
      </c>
      <c r="J52" s="226">
        <f t="shared" si="1"/>
        <v>0</v>
      </c>
      <c r="K52" s="42">
        <f t="shared" si="2"/>
        <v>0</v>
      </c>
      <c r="L52" s="240"/>
    </row>
    <row r="53" spans="1:12" x14ac:dyDescent="0.25">
      <c r="A53" s="38">
        <f>Données!A53</f>
        <v>5486</v>
      </c>
      <c r="B53" s="171" t="str">
        <f>Données!B53</f>
        <v>L'Isle</v>
      </c>
      <c r="C53" s="353">
        <f>VPI!R53</f>
        <v>37453.794062170404</v>
      </c>
      <c r="D53" s="209">
        <f>(PCS!I59-PCS!F59)/C53</f>
        <v>14.60023559089802</v>
      </c>
      <c r="E53" s="522">
        <f>'Péréquation directe'!E59/C53</f>
        <v>-3.9131113111763027</v>
      </c>
      <c r="F53" s="209">
        <f>'Péréquation directe'!F59/Effort!C53</f>
        <v>-7.0328583101693178</v>
      </c>
      <c r="G53" s="209">
        <f>'Péréquation directe'!G59/Effort!C53</f>
        <v>-7.2336500710884142</v>
      </c>
      <c r="H53" s="209">
        <f>'Péréquation directe'!J59/Effort!C53</f>
        <v>19.156307202306365</v>
      </c>
      <c r="I53" s="381">
        <f t="shared" si="0"/>
        <v>15.576923100770351</v>
      </c>
      <c r="J53" s="226">
        <f t="shared" si="1"/>
        <v>0</v>
      </c>
      <c r="K53" s="42">
        <f t="shared" si="2"/>
        <v>0</v>
      </c>
      <c r="L53" s="240"/>
    </row>
    <row r="54" spans="1:12" x14ac:dyDescent="0.25">
      <c r="A54" s="38">
        <f>Données!A54</f>
        <v>5487</v>
      </c>
      <c r="B54" s="171" t="str">
        <f>Données!B54</f>
        <v>Lussery-Villars</v>
      </c>
      <c r="C54" s="353">
        <f>VPI!R54</f>
        <v>12890.529066666668</v>
      </c>
      <c r="D54" s="209">
        <f>(PCS!I60-PCS!F60)/C54</f>
        <v>14.600235590898022</v>
      </c>
      <c r="E54" s="522">
        <f>'Péréquation directe'!E60/C54</f>
        <v>-4.4151197427131352</v>
      </c>
      <c r="F54" s="209">
        <f>'Péréquation directe'!F60/Effort!C54</f>
        <v>-14.476454926636279</v>
      </c>
      <c r="G54" s="209">
        <f>'Péréquation directe'!G60/Effort!C54</f>
        <v>-2.6103913521294513</v>
      </c>
      <c r="H54" s="209">
        <f>'Péréquation directe'!J60/Effort!C54</f>
        <v>19.156307202306365</v>
      </c>
      <c r="I54" s="381">
        <f t="shared" si="0"/>
        <v>12.254576771725521</v>
      </c>
      <c r="J54" s="226">
        <f t="shared" si="1"/>
        <v>0</v>
      </c>
      <c r="K54" s="42">
        <f t="shared" si="2"/>
        <v>0</v>
      </c>
      <c r="L54" s="240"/>
    </row>
    <row r="55" spans="1:12" x14ac:dyDescent="0.25">
      <c r="A55" s="38">
        <f>Données!A55</f>
        <v>5488</v>
      </c>
      <c r="B55" s="171" t="str">
        <f>Données!B55</f>
        <v>Mauraz</v>
      </c>
      <c r="C55" s="353">
        <f>VPI!R55</f>
        <v>1631.9031355919719</v>
      </c>
      <c r="D55" s="209">
        <f>(PCS!I61-PCS!F61)/C55</f>
        <v>14.60023559089802</v>
      </c>
      <c r="E55" s="522">
        <f>'Péréquation directe'!E61/C55</f>
        <v>-4.4069097868284999</v>
      </c>
      <c r="F55" s="209">
        <f>'Péréquation directe'!F61/Effort!C55</f>
        <v>-15.186398072237326</v>
      </c>
      <c r="G55" s="209">
        <f>'Péréquation directe'!G61/Effort!C55</f>
        <v>0</v>
      </c>
      <c r="H55" s="209">
        <f>'Péréquation directe'!J61/Effort!C55</f>
        <v>19.156307202306365</v>
      </c>
      <c r="I55" s="381">
        <f t="shared" si="0"/>
        <v>14.163234934138559</v>
      </c>
      <c r="J55" s="226">
        <f t="shared" si="1"/>
        <v>0</v>
      </c>
      <c r="K55" s="42">
        <f t="shared" si="2"/>
        <v>0</v>
      </c>
      <c r="L55" s="240"/>
    </row>
    <row r="56" spans="1:12" x14ac:dyDescent="0.25">
      <c r="A56" s="38">
        <f>Données!A56</f>
        <v>5489</v>
      </c>
      <c r="B56" s="171" t="str">
        <f>Données!B56</f>
        <v>Mex</v>
      </c>
      <c r="C56" s="353">
        <f>VPI!R56</f>
        <v>57470.761557418853</v>
      </c>
      <c r="D56" s="209">
        <f>(PCS!I62-PCS!F62)/C56</f>
        <v>20.628915054707747</v>
      </c>
      <c r="E56" s="522">
        <f>'Péréquation directe'!E62/C56</f>
        <v>-1.7065934519437682</v>
      </c>
      <c r="F56" s="209">
        <f>'Péréquation directe'!F62/Effort!C56</f>
        <v>0</v>
      </c>
      <c r="G56" s="209">
        <f>'Péréquation directe'!G62/Effort!C56</f>
        <v>-5.3547730159469197E-2</v>
      </c>
      <c r="H56" s="209">
        <f>'Péréquation directe'!J62/Effort!C56</f>
        <v>19.156307202306365</v>
      </c>
      <c r="I56" s="381">
        <f t="shared" si="0"/>
        <v>38.025081074910872</v>
      </c>
      <c r="J56" s="226">
        <f t="shared" si="1"/>
        <v>0</v>
      </c>
      <c r="K56" s="42">
        <f t="shared" si="2"/>
        <v>0</v>
      </c>
      <c r="L56" s="240"/>
    </row>
    <row r="57" spans="1:12" x14ac:dyDescent="0.25">
      <c r="A57" s="38">
        <f>Données!A57</f>
        <v>5490</v>
      </c>
      <c r="B57" s="171" t="str">
        <f>Données!B57</f>
        <v>Moiry</v>
      </c>
      <c r="C57" s="353">
        <f>VPI!R57</f>
        <v>8655.6964066779783</v>
      </c>
      <c r="D57" s="209">
        <f>(PCS!I63-PCS!F63)/C57</f>
        <v>14.600235590898018</v>
      </c>
      <c r="E57" s="522">
        <f>'Péréquation directe'!E63/C57</f>
        <v>-4.4551149814666955</v>
      </c>
      <c r="F57" s="209">
        <f>'Péréquation directe'!F63/Effort!C57</f>
        <v>-15.815074957141801</v>
      </c>
      <c r="G57" s="209">
        <f>'Péréquation directe'!G63/Effort!C57</f>
        <v>-2.6706194942440207</v>
      </c>
      <c r="H57" s="209">
        <f>'Péréquation directe'!J63/Effort!C57</f>
        <v>19.156307202306365</v>
      </c>
      <c r="I57" s="381">
        <f t="shared" si="0"/>
        <v>10.815733360351867</v>
      </c>
      <c r="J57" s="226">
        <f t="shared" si="1"/>
        <v>0</v>
      </c>
      <c r="K57" s="42">
        <f t="shared" si="2"/>
        <v>0</v>
      </c>
      <c r="L57" s="240"/>
    </row>
    <row r="58" spans="1:12" x14ac:dyDescent="0.25">
      <c r="A58" s="38">
        <f>Données!A58</f>
        <v>5491</v>
      </c>
      <c r="B58" s="171" t="str">
        <f>Données!B58</f>
        <v>Mont-la-Ville</v>
      </c>
      <c r="C58" s="353">
        <f>VPI!R58</f>
        <v>14318.599966826661</v>
      </c>
      <c r="D58" s="209">
        <f>(PCS!I64-PCS!F64)/C58</f>
        <v>14.60023559089802</v>
      </c>
      <c r="E58" s="522">
        <f>'Péréquation directe'!E64/C58</f>
        <v>-4.2432250635036288</v>
      </c>
      <c r="F58" s="209">
        <f>'Péréquation directe'!F64/Effort!C58</f>
        <v>-13.387733139815115</v>
      </c>
      <c r="G58" s="209">
        <f>'Péréquation directe'!G64/Effort!C58</f>
        <v>-5.4825646628102609</v>
      </c>
      <c r="H58" s="209">
        <f>'Péréquation directe'!J64/Effort!C58</f>
        <v>19.156307202306365</v>
      </c>
      <c r="I58" s="381">
        <f t="shared" si="0"/>
        <v>10.643019927075379</v>
      </c>
      <c r="J58" s="226">
        <f t="shared" si="1"/>
        <v>0</v>
      </c>
      <c r="K58" s="42">
        <f t="shared" si="2"/>
        <v>0</v>
      </c>
      <c r="L58" s="240"/>
    </row>
    <row r="59" spans="1:12" x14ac:dyDescent="0.25">
      <c r="A59" s="38">
        <f>Données!A59</f>
        <v>5492</v>
      </c>
      <c r="B59" s="171" t="str">
        <f>Données!B59</f>
        <v>Montricher</v>
      </c>
      <c r="C59" s="353">
        <f>VPI!R59</f>
        <v>157142.15514628743</v>
      </c>
      <c r="D59" s="209">
        <f>(PCS!I65-PCS!F65)/C59</f>
        <v>35.416490377462438</v>
      </c>
      <c r="E59" s="522">
        <f>'Péréquation directe'!E65/C59</f>
        <v>-0.76065000492863011</v>
      </c>
      <c r="F59" s="209">
        <f>'Péréquation directe'!F65/Effort!C59</f>
        <v>0</v>
      </c>
      <c r="G59" s="209">
        <f>'Péréquation directe'!G65/Effort!C59</f>
        <v>-1.3205710679422813</v>
      </c>
      <c r="H59" s="209">
        <f>'Péréquation directe'!J65/Effort!C59</f>
        <v>19.156307202306365</v>
      </c>
      <c r="I59" s="381">
        <f t="shared" si="0"/>
        <v>52.491576506897893</v>
      </c>
      <c r="J59" s="427">
        <f t="shared" si="1"/>
        <v>4.4915765068978928</v>
      </c>
      <c r="K59" s="42">
        <f t="shared" si="2"/>
        <v>-705816.01229836838</v>
      </c>
      <c r="L59" s="240"/>
    </row>
    <row r="60" spans="1:12" x14ac:dyDescent="0.25">
      <c r="A60" s="38">
        <f>Données!A60</f>
        <v>5493</v>
      </c>
      <c r="B60" s="171" t="str">
        <f>Données!B60</f>
        <v>Orny</v>
      </c>
      <c r="C60" s="353">
        <f>VPI!R60</f>
        <v>12876.853954456508</v>
      </c>
      <c r="D60" s="209">
        <f>(PCS!I66-PCS!F66)/C60</f>
        <v>14.600235590898022</v>
      </c>
      <c r="E60" s="522">
        <f>'Péréquation directe'!E66/C60</f>
        <v>-4.4486962009676256</v>
      </c>
      <c r="F60" s="209">
        <f>'Péréquation directe'!F66/Effort!C60</f>
        <v>-13.980909507337801</v>
      </c>
      <c r="G60" s="209">
        <f>'Péréquation directe'!G66/Effort!C60</f>
        <v>0</v>
      </c>
      <c r="H60" s="209">
        <f>'Péréquation directe'!J66/Effort!C60</f>
        <v>19.156307202306365</v>
      </c>
      <c r="I60" s="381">
        <f t="shared" si="0"/>
        <v>15.32693708489896</v>
      </c>
      <c r="J60" s="226">
        <f t="shared" si="1"/>
        <v>0</v>
      </c>
      <c r="K60" s="42">
        <f t="shared" si="2"/>
        <v>0</v>
      </c>
      <c r="L60" s="240"/>
    </row>
    <row r="61" spans="1:12" x14ac:dyDescent="0.25">
      <c r="A61" s="38">
        <f>Données!A61</f>
        <v>5495</v>
      </c>
      <c r="B61" s="171" t="str">
        <f>Données!B61</f>
        <v>Penthalaz</v>
      </c>
      <c r="C61" s="353">
        <f>VPI!R61</f>
        <v>93343.047382121076</v>
      </c>
      <c r="D61" s="209">
        <f>(PCS!I67-PCS!F67)/C61</f>
        <v>14.600235590898018</v>
      </c>
      <c r="E61" s="522">
        <f>'Péréquation directe'!E67/C61</f>
        <v>-9.8671212137250262</v>
      </c>
      <c r="F61" s="209">
        <f>'Péréquation directe'!F67/Effort!C61</f>
        <v>-12.829703293102577</v>
      </c>
      <c r="G61" s="209">
        <f>'Péréquation directe'!G67/Effort!C61</f>
        <v>-6.5492742400476587</v>
      </c>
      <c r="H61" s="209">
        <f>'Péréquation directe'!J67/Effort!C61</f>
        <v>19.156307202306365</v>
      </c>
      <c r="I61" s="381">
        <f t="shared" si="0"/>
        <v>4.5104440463291215</v>
      </c>
      <c r="J61" s="226">
        <f t="shared" si="1"/>
        <v>0</v>
      </c>
      <c r="K61" s="42">
        <f t="shared" si="2"/>
        <v>0</v>
      </c>
      <c r="L61" s="240"/>
    </row>
    <row r="62" spans="1:12" x14ac:dyDescent="0.25">
      <c r="A62" s="38">
        <f>Données!A62</f>
        <v>5496</v>
      </c>
      <c r="B62" s="171" t="str">
        <f>Données!B62</f>
        <v>Penthaz</v>
      </c>
      <c r="C62" s="353">
        <f>VPI!R62</f>
        <v>60111.570435586618</v>
      </c>
      <c r="D62" s="209">
        <f>(PCS!I68-PCS!F68)/C62</f>
        <v>14.60023559089802</v>
      </c>
      <c r="E62" s="522">
        <f>'Péréquation directe'!E68/C62</f>
        <v>-7.0009069806190283</v>
      </c>
      <c r="F62" s="209">
        <f>'Péréquation directe'!F68/Effort!C62</f>
        <v>-8.1996035335394382</v>
      </c>
      <c r="G62" s="209">
        <f>'Péréquation directe'!G68/Effort!C62</f>
        <v>-3.4448871637512304</v>
      </c>
      <c r="H62" s="209">
        <f>'Péréquation directe'!J68/Effort!C62</f>
        <v>19.156307202306365</v>
      </c>
      <c r="I62" s="381">
        <f t="shared" si="0"/>
        <v>15.111145115294688</v>
      </c>
      <c r="J62" s="226">
        <f t="shared" si="1"/>
        <v>0</v>
      </c>
      <c r="K62" s="42">
        <f t="shared" si="2"/>
        <v>0</v>
      </c>
      <c r="L62" s="240"/>
    </row>
    <row r="63" spans="1:12" x14ac:dyDescent="0.25">
      <c r="A63" s="38">
        <f>Données!A63</f>
        <v>5497</v>
      </c>
      <c r="B63" s="171" t="str">
        <f>Données!B63</f>
        <v>Pompaples</v>
      </c>
      <c r="C63" s="353">
        <f>VPI!R63</f>
        <v>20415.356363636369</v>
      </c>
      <c r="D63" s="209">
        <f>(PCS!I69-PCS!F69)/C63</f>
        <v>14.600235590898016</v>
      </c>
      <c r="E63" s="522">
        <f>'Péréquation directe'!E69/C63</f>
        <v>-5.1443083066142004</v>
      </c>
      <c r="F63" s="209">
        <f>'Péréquation directe'!F69/Effort!C63</f>
        <v>-15.9368183944053</v>
      </c>
      <c r="G63" s="209">
        <f>'Péréquation directe'!G69/Effort!C63</f>
        <v>-4.9345629840496157</v>
      </c>
      <c r="H63" s="209">
        <f>'Péréquation directe'!J69/Effort!C63</f>
        <v>19.156307202306365</v>
      </c>
      <c r="I63" s="381">
        <f t="shared" si="0"/>
        <v>7.7408531081352656</v>
      </c>
      <c r="J63" s="226">
        <f t="shared" si="1"/>
        <v>0</v>
      </c>
      <c r="K63" s="42">
        <f t="shared" si="2"/>
        <v>0</v>
      </c>
      <c r="L63" s="240"/>
    </row>
    <row r="64" spans="1:12" x14ac:dyDescent="0.25">
      <c r="A64" s="38">
        <f>Données!A64</f>
        <v>5498</v>
      </c>
      <c r="B64" s="171" t="str">
        <f>Données!B64</f>
        <v>La Sarraz</v>
      </c>
      <c r="C64" s="353">
        <f>VPI!R64</f>
        <v>77489.743908484481</v>
      </c>
      <c r="D64" s="209">
        <f>(PCS!I70-PCS!F70)/C64</f>
        <v>14.60023559089802</v>
      </c>
      <c r="E64" s="522">
        <f>'Péréquation directe'!E70/C64</f>
        <v>-8.7597728563104695</v>
      </c>
      <c r="F64" s="209">
        <f>'Péréquation directe'!F70/Effort!C64</f>
        <v>-9.5385158379541046</v>
      </c>
      <c r="G64" s="209">
        <f>'Péréquation directe'!G70/Effort!C64</f>
        <v>-5.5000089696054388</v>
      </c>
      <c r="H64" s="209">
        <f>'Péréquation directe'!J70/Effort!C64</f>
        <v>19.156307202306365</v>
      </c>
      <c r="I64" s="381">
        <f t="shared" si="0"/>
        <v>9.9582451293343723</v>
      </c>
      <c r="J64" s="226">
        <f t="shared" si="1"/>
        <v>0</v>
      </c>
      <c r="K64" s="42">
        <f t="shared" si="2"/>
        <v>0</v>
      </c>
      <c r="L64" s="240"/>
    </row>
    <row r="65" spans="1:12" x14ac:dyDescent="0.25">
      <c r="A65" s="38">
        <f>Données!A65</f>
        <v>5499</v>
      </c>
      <c r="B65" s="171" t="str">
        <f>Données!B65</f>
        <v>Senarclens</v>
      </c>
      <c r="C65" s="353">
        <f>VPI!R65</f>
        <v>19645.120071728084</v>
      </c>
      <c r="D65" s="209">
        <f>(PCS!I71-PCS!F71)/C65</f>
        <v>14.600235590898018</v>
      </c>
      <c r="E65" s="522">
        <f>'Péréquation directe'!E71/C65</f>
        <v>-3.1305996507868303</v>
      </c>
      <c r="F65" s="209">
        <f>'Péréquation directe'!F71/Effort!C65</f>
        <v>-3.1076154463839125</v>
      </c>
      <c r="G65" s="209">
        <f>'Péréquation directe'!G71/Effort!C65</f>
        <v>-11.080119580581627</v>
      </c>
      <c r="H65" s="209">
        <f>'Péréquation directe'!J71/Effort!C65</f>
        <v>19.156307202306365</v>
      </c>
      <c r="I65" s="381">
        <f t="shared" si="0"/>
        <v>16.438208115452014</v>
      </c>
      <c r="J65" s="226">
        <f t="shared" si="1"/>
        <v>0</v>
      </c>
      <c r="K65" s="42">
        <f t="shared" si="2"/>
        <v>0</v>
      </c>
      <c r="L65" s="240"/>
    </row>
    <row r="66" spans="1:12" x14ac:dyDescent="0.25">
      <c r="A66" s="38">
        <f>Données!A66</f>
        <v>5501</v>
      </c>
      <c r="B66" s="171" t="str">
        <f>Données!B66</f>
        <v>Sullens</v>
      </c>
      <c r="C66" s="353">
        <f>VPI!R66</f>
        <v>41909.752277748921</v>
      </c>
      <c r="D66" s="209">
        <f>(PCS!I72-PCS!F72)/C66</f>
        <v>14.60023559089802</v>
      </c>
      <c r="E66" s="522">
        <f>'Péréquation directe'!E72/C66</f>
        <v>-3.2982411804504772</v>
      </c>
      <c r="F66" s="209">
        <f>'Péréquation directe'!F72/Effort!C66</f>
        <v>-2.7536166747301727</v>
      </c>
      <c r="G66" s="209">
        <f>'Péréquation directe'!G72/Effort!C66</f>
        <v>-0.38155611179035331</v>
      </c>
      <c r="H66" s="209">
        <f>'Péréquation directe'!J72/Effort!C66</f>
        <v>19.156307202306365</v>
      </c>
      <c r="I66" s="381">
        <f t="shared" si="0"/>
        <v>27.323128826233383</v>
      </c>
      <c r="J66" s="226">
        <f t="shared" si="1"/>
        <v>0</v>
      </c>
      <c r="K66" s="42">
        <f t="shared" si="2"/>
        <v>0</v>
      </c>
      <c r="L66" s="240"/>
    </row>
    <row r="67" spans="1:12" x14ac:dyDescent="0.25">
      <c r="A67" s="38">
        <f>Données!A67</f>
        <v>5503</v>
      </c>
      <c r="B67" s="171" t="str">
        <f>Données!B67</f>
        <v>Vufflens-la-Ville</v>
      </c>
      <c r="C67" s="353">
        <f>VPI!R67</f>
        <v>67522.299953701979</v>
      </c>
      <c r="D67" s="209">
        <f>(PCS!I73-PCS!F73)/C67</f>
        <v>15.639484352094669</v>
      </c>
      <c r="E67" s="522">
        <f>'Péréquation directe'!E73/C67</f>
        <v>-3.630813307000003</v>
      </c>
      <c r="F67" s="209">
        <f>'Péréquation directe'!F73/Effort!C67</f>
        <v>0</v>
      </c>
      <c r="G67" s="209">
        <f>'Péréquation directe'!G73/Effort!C67</f>
        <v>0</v>
      </c>
      <c r="H67" s="209">
        <f>'Péréquation directe'!J73/Effort!C67</f>
        <v>19.156307202306365</v>
      </c>
      <c r="I67" s="381">
        <f t="shared" si="0"/>
        <v>31.164978247401031</v>
      </c>
      <c r="J67" s="226">
        <f t="shared" si="1"/>
        <v>0</v>
      </c>
      <c r="K67" s="42">
        <f t="shared" si="2"/>
        <v>0</v>
      </c>
      <c r="L67" s="240"/>
    </row>
    <row r="68" spans="1:12" x14ac:dyDescent="0.25">
      <c r="A68" s="38">
        <f>Données!A68</f>
        <v>5511</v>
      </c>
      <c r="B68" s="171" t="str">
        <f>Données!B68</f>
        <v>Assens</v>
      </c>
      <c r="C68" s="353">
        <f>VPI!R68</f>
        <v>66087.783372412887</v>
      </c>
      <c r="D68" s="209">
        <f>(PCS!I74-PCS!F74)/C68</f>
        <v>14.600235590898022</v>
      </c>
      <c r="E68" s="522">
        <f>'Péréquation directe'!E74/C68</f>
        <v>-5.3749405611468433</v>
      </c>
      <c r="F68" s="209">
        <f>'Péréquation directe'!F74/Effort!C68</f>
        <v>-3.1496096266291205</v>
      </c>
      <c r="G68" s="209">
        <f>'Péréquation directe'!G74/Effort!C68</f>
        <v>-2.3672574836399867</v>
      </c>
      <c r="H68" s="209">
        <f>'Péréquation directe'!J74/Effort!C68</f>
        <v>19.156307202306365</v>
      </c>
      <c r="I68" s="381">
        <f t="shared" si="0"/>
        <v>22.864735121788438</v>
      </c>
      <c r="J68" s="226">
        <f t="shared" si="1"/>
        <v>0</v>
      </c>
      <c r="K68" s="42">
        <f t="shared" si="2"/>
        <v>0</v>
      </c>
      <c r="L68" s="240"/>
    </row>
    <row r="69" spans="1:12" x14ac:dyDescent="0.25">
      <c r="A69" s="38">
        <f>Données!A69</f>
        <v>5512</v>
      </c>
      <c r="B69" s="171" t="str">
        <f>Données!B69</f>
        <v>Bercher</v>
      </c>
      <c r="C69" s="353">
        <f>VPI!R69</f>
        <v>40303.726605085889</v>
      </c>
      <c r="D69" s="209">
        <f>(PCS!I75-PCS!F75)/C69</f>
        <v>14.60023559089802</v>
      </c>
      <c r="E69" s="522">
        <f>'Péréquation directe'!E75/C69</f>
        <v>-5.8588652841340236</v>
      </c>
      <c r="F69" s="209">
        <f>'Péréquation directe'!F75/Effort!C69</f>
        <v>-12.858705668553192</v>
      </c>
      <c r="G69" s="209">
        <f>'Péréquation directe'!G75/Effort!C69</f>
        <v>-5.8454109647007462</v>
      </c>
      <c r="H69" s="209">
        <f>'Péréquation directe'!J75/Effort!C69</f>
        <v>19.156307202306365</v>
      </c>
      <c r="I69" s="381">
        <f t="shared" si="0"/>
        <v>9.1935608758164236</v>
      </c>
      <c r="J69" s="226">
        <f t="shared" si="1"/>
        <v>0</v>
      </c>
      <c r="K69" s="42">
        <f t="shared" si="2"/>
        <v>0</v>
      </c>
      <c r="L69" s="240"/>
    </row>
    <row r="70" spans="1:12" x14ac:dyDescent="0.25">
      <c r="A70" s="38">
        <f>Données!A70</f>
        <v>5514</v>
      </c>
      <c r="B70" s="171" t="str">
        <f>Données!B70</f>
        <v>Bottens</v>
      </c>
      <c r="C70" s="353">
        <f>VPI!R70</f>
        <v>44188.527468794709</v>
      </c>
      <c r="D70" s="209">
        <f>(PCS!I76-PCS!F76)/C70</f>
        <v>14.60023559089802</v>
      </c>
      <c r="E70" s="522">
        <f>'Péréquation directe'!E76/C70</f>
        <v>-5.3987856120885249</v>
      </c>
      <c r="F70" s="209">
        <f>'Péréquation directe'!F76/Effort!C70</f>
        <v>-8.18479681828331</v>
      </c>
      <c r="G70" s="209">
        <f>'Péréquation directe'!G76/Effort!C70</f>
        <v>0</v>
      </c>
      <c r="H70" s="209">
        <f>'Péréquation directe'!J76/Effort!C70</f>
        <v>19.156307202306365</v>
      </c>
      <c r="I70" s="381">
        <f t="shared" si="0"/>
        <v>20.172960362832551</v>
      </c>
      <c r="J70" s="226">
        <f t="shared" si="1"/>
        <v>0</v>
      </c>
      <c r="K70" s="42">
        <f t="shared" si="2"/>
        <v>0</v>
      </c>
      <c r="L70" s="240"/>
    </row>
    <row r="71" spans="1:12" x14ac:dyDescent="0.25">
      <c r="A71" s="38">
        <f>Données!A71</f>
        <v>5515</v>
      </c>
      <c r="B71" s="171" t="str">
        <f>Données!B71</f>
        <v>Bretigny-sur-Morrens</v>
      </c>
      <c r="C71" s="353">
        <f>VPI!R71</f>
        <v>29581.308918344312</v>
      </c>
      <c r="D71" s="209">
        <f>(PCS!I77-PCS!F77)/C71</f>
        <v>14.600235590898016</v>
      </c>
      <c r="E71" s="522">
        <f>'Péréquation directe'!E77/C71</f>
        <v>-3.6006119669466439</v>
      </c>
      <c r="F71" s="209">
        <f>'Péréquation directe'!F77/Effort!C71</f>
        <v>-8.9337393337436453</v>
      </c>
      <c r="G71" s="209">
        <f>'Péréquation directe'!G77/Effort!C71</f>
        <v>-1.7937220640371845</v>
      </c>
      <c r="H71" s="209">
        <f>'Péréquation directe'!J77/Effort!C71</f>
        <v>19.156307202306365</v>
      </c>
      <c r="I71" s="381">
        <f t="shared" ref="I71:I134" si="3">SUM(D71:H71)</f>
        <v>19.428469428476909</v>
      </c>
      <c r="J71" s="226">
        <f t="shared" ref="J71:J134" si="4">IF(I71&gt;J$5,I71-J$5,0)</f>
        <v>0</v>
      </c>
      <c r="K71" s="42">
        <f t="shared" ref="K71:K134" si="5">-J71*C71</f>
        <v>0</v>
      </c>
      <c r="L71" s="240"/>
    </row>
    <row r="72" spans="1:12" x14ac:dyDescent="0.25">
      <c r="A72" s="38">
        <f>Données!A72</f>
        <v>5516</v>
      </c>
      <c r="B72" s="171" t="str">
        <f>Données!B72</f>
        <v>Cugy</v>
      </c>
      <c r="C72" s="353">
        <f>VPI!R72</f>
        <v>107018.16986148078</v>
      </c>
      <c r="D72" s="209">
        <f>(PCS!I78-PCS!F78)/C72</f>
        <v>14.60023559089802</v>
      </c>
      <c r="E72" s="522">
        <f>'Péréquation directe'!E78/C72</f>
        <v>-6.868331034395549</v>
      </c>
      <c r="F72" s="209">
        <f>'Péréquation directe'!F78/Effort!C72</f>
        <v>-4.637751886885968</v>
      </c>
      <c r="G72" s="209">
        <f>'Péréquation directe'!G78/Effort!C72</f>
        <v>-1.5240190618305398</v>
      </c>
      <c r="H72" s="209">
        <f>'Péréquation directe'!J78/Effort!C72</f>
        <v>19.156307202306365</v>
      </c>
      <c r="I72" s="381">
        <f t="shared" si="3"/>
        <v>20.726440810092328</v>
      </c>
      <c r="J72" s="226">
        <f t="shared" si="4"/>
        <v>0</v>
      </c>
      <c r="K72" s="42">
        <f t="shared" si="5"/>
        <v>0</v>
      </c>
      <c r="L72" s="240"/>
    </row>
    <row r="73" spans="1:12" x14ac:dyDescent="0.25">
      <c r="A73" s="38">
        <f>Données!A73</f>
        <v>5518</v>
      </c>
      <c r="B73" s="171" t="str">
        <f>Données!B73</f>
        <v>Echallens</v>
      </c>
      <c r="C73" s="353">
        <f>VPI!R73</f>
        <v>178600.86493850421</v>
      </c>
      <c r="D73" s="209">
        <f>(PCS!I79-PCS!F79)/C73</f>
        <v>14.600235590898018</v>
      </c>
      <c r="E73" s="522">
        <f>'Péréquation directe'!E79/C73</f>
        <v>-12.572066166203715</v>
      </c>
      <c r="F73" s="209">
        <f>'Péréquation directe'!F79/Effort!C73</f>
        <v>-10.11462590567888</v>
      </c>
      <c r="G73" s="209">
        <f>'Péréquation directe'!G79/Effort!C73</f>
        <v>-6.6745060880832172</v>
      </c>
      <c r="H73" s="209">
        <f>'Péréquation directe'!J79/Effort!C73</f>
        <v>19.156307202306365</v>
      </c>
      <c r="I73" s="381">
        <f t="shared" si="3"/>
        <v>4.3953446332385724</v>
      </c>
      <c r="J73" s="226">
        <f t="shared" si="4"/>
        <v>0</v>
      </c>
      <c r="K73" s="42">
        <f t="shared" si="5"/>
        <v>0</v>
      </c>
      <c r="L73" s="240"/>
    </row>
    <row r="74" spans="1:12" x14ac:dyDescent="0.25">
      <c r="A74" s="38">
        <f>Données!A74</f>
        <v>5520</v>
      </c>
      <c r="B74" s="171" t="str">
        <f>Données!B74</f>
        <v>Essertines-sur-Yverdon</v>
      </c>
      <c r="C74" s="353">
        <f>VPI!R74</f>
        <v>29717.541203363555</v>
      </c>
      <c r="D74" s="209">
        <f>(PCS!I80-PCS!F80)/C74</f>
        <v>14.600235590898022</v>
      </c>
      <c r="E74" s="522">
        <f>'Péréquation directe'!E80/C74</f>
        <v>-4.5929962508655704</v>
      </c>
      <c r="F74" s="209">
        <f>'Péréquation directe'!F80/Effort!C74</f>
        <v>-12.981242449183048</v>
      </c>
      <c r="G74" s="209">
        <f>'Péréquation directe'!G80/Effort!C74</f>
        <v>-4.8119339988030632</v>
      </c>
      <c r="H74" s="209">
        <f>'Péréquation directe'!J80/Effort!C74</f>
        <v>19.156307202306365</v>
      </c>
      <c r="I74" s="381">
        <f t="shared" si="3"/>
        <v>11.370370094352706</v>
      </c>
      <c r="J74" s="226">
        <f t="shared" si="4"/>
        <v>0</v>
      </c>
      <c r="K74" s="42">
        <f t="shared" si="5"/>
        <v>0</v>
      </c>
      <c r="L74" s="240"/>
    </row>
    <row r="75" spans="1:12" x14ac:dyDescent="0.25">
      <c r="A75" s="38">
        <f>Données!A75</f>
        <v>5521</v>
      </c>
      <c r="B75" s="171" t="str">
        <f>Données!B75</f>
        <v>Etagnières</v>
      </c>
      <c r="C75" s="353">
        <f>VPI!R75</f>
        <v>46728.684482765391</v>
      </c>
      <c r="D75" s="209">
        <f>(PCS!I81-PCS!F81)/C75</f>
        <v>14.600235590898018</v>
      </c>
      <c r="E75" s="522">
        <f>'Péréquation directe'!E81/C75</f>
        <v>-3.7530922240905049</v>
      </c>
      <c r="F75" s="209">
        <f>'Péréquation directe'!F81/Effort!C75</f>
        <v>-2.8601221980420077</v>
      </c>
      <c r="G75" s="209">
        <f>'Péréquation directe'!G81/Effort!C75</f>
        <v>-1.4664096338659105</v>
      </c>
      <c r="H75" s="209">
        <f>'Péréquation directe'!J81/Effort!C75</f>
        <v>19.156307202306365</v>
      </c>
      <c r="I75" s="381">
        <f t="shared" si="3"/>
        <v>25.676918737205959</v>
      </c>
      <c r="J75" s="226">
        <f t="shared" si="4"/>
        <v>0</v>
      </c>
      <c r="K75" s="42">
        <f t="shared" si="5"/>
        <v>0</v>
      </c>
      <c r="L75" s="240"/>
    </row>
    <row r="76" spans="1:12" x14ac:dyDescent="0.25">
      <c r="A76" s="38">
        <f>Données!A76</f>
        <v>5522</v>
      </c>
      <c r="B76" s="171" t="str">
        <f>Données!B76</f>
        <v>Fey</v>
      </c>
      <c r="C76" s="353">
        <f>VPI!R76</f>
        <v>23725.546686457117</v>
      </c>
      <c r="D76" s="209">
        <f>(PCS!I82-PCS!F82)/C76</f>
        <v>14.60023559089802</v>
      </c>
      <c r="E76" s="522">
        <f>'Péréquation directe'!E82/C76</f>
        <v>-3.9144083843704136</v>
      </c>
      <c r="F76" s="209">
        <f>'Péréquation directe'!F82/Effort!C76</f>
        <v>-10.285634070341821</v>
      </c>
      <c r="G76" s="209">
        <f>'Péréquation directe'!G82/Effort!C76</f>
        <v>-4.6067456868676953</v>
      </c>
      <c r="H76" s="209">
        <f>'Péréquation directe'!J82/Effort!C76</f>
        <v>19.156307202306365</v>
      </c>
      <c r="I76" s="381">
        <f t="shared" si="3"/>
        <v>14.949754651624454</v>
      </c>
      <c r="J76" s="226">
        <f t="shared" si="4"/>
        <v>0</v>
      </c>
      <c r="K76" s="42">
        <f t="shared" si="5"/>
        <v>0</v>
      </c>
      <c r="L76" s="240"/>
    </row>
    <row r="77" spans="1:12" x14ac:dyDescent="0.25">
      <c r="A77" s="38">
        <f>Données!A77</f>
        <v>5523</v>
      </c>
      <c r="B77" s="171" t="str">
        <f>Données!B77</f>
        <v>Froideville</v>
      </c>
      <c r="C77" s="353">
        <f>VPI!R77</f>
        <v>85857.812378374249</v>
      </c>
      <c r="D77" s="209">
        <f>(PCS!I83-PCS!F83)/C77</f>
        <v>14.600235590898016</v>
      </c>
      <c r="E77" s="522">
        <f>'Péréquation directe'!E83/C77</f>
        <v>-8.2942030907853521</v>
      </c>
      <c r="F77" s="209">
        <f>'Péréquation directe'!F83/Effort!C77</f>
        <v>-9.2957130829997343</v>
      </c>
      <c r="G77" s="209">
        <f>'Péréquation directe'!G83/Effort!C77</f>
        <v>-1.4214853878631457</v>
      </c>
      <c r="H77" s="209">
        <f>'Péréquation directe'!J83/Effort!C77</f>
        <v>19.156307202306365</v>
      </c>
      <c r="I77" s="381">
        <f t="shared" si="3"/>
        <v>14.745141231556151</v>
      </c>
      <c r="J77" s="226">
        <f t="shared" si="4"/>
        <v>0</v>
      </c>
      <c r="K77" s="42">
        <f t="shared" si="5"/>
        <v>0</v>
      </c>
      <c r="L77" s="240"/>
    </row>
    <row r="78" spans="1:12" x14ac:dyDescent="0.25">
      <c r="A78" s="38">
        <f>Données!A78</f>
        <v>5527</v>
      </c>
      <c r="B78" s="171" t="str">
        <f>Données!B78</f>
        <v>Morrens</v>
      </c>
      <c r="C78" s="353">
        <f>VPI!R78</f>
        <v>40562.178421686454</v>
      </c>
      <c r="D78" s="209">
        <f>(PCS!I84-PCS!F84)/C78</f>
        <v>14.60023559089802</v>
      </c>
      <c r="E78" s="522">
        <f>'Péréquation directe'!E84/C78</f>
        <v>-4.3664562594722529</v>
      </c>
      <c r="F78" s="209">
        <f>'Péréquation directe'!F84/Effort!C78</f>
        <v>-6.8369259042506529</v>
      </c>
      <c r="G78" s="209">
        <f>'Péréquation directe'!G84/Effort!C78</f>
        <v>-2.0628990533985796</v>
      </c>
      <c r="H78" s="209">
        <f>'Péréquation directe'!J84/Effort!C78</f>
        <v>19.156307202306365</v>
      </c>
      <c r="I78" s="381">
        <f t="shared" si="3"/>
        <v>20.490261576082901</v>
      </c>
      <c r="J78" s="226">
        <f t="shared" si="4"/>
        <v>0</v>
      </c>
      <c r="K78" s="42">
        <f t="shared" si="5"/>
        <v>0</v>
      </c>
      <c r="L78" s="240"/>
    </row>
    <row r="79" spans="1:12" x14ac:dyDescent="0.25">
      <c r="A79" s="38">
        <f>Données!A79</f>
        <v>5529</v>
      </c>
      <c r="B79" s="171" t="str">
        <f>Données!B79</f>
        <v>Oulens-sous-Echallens</v>
      </c>
      <c r="C79" s="353">
        <f>VPI!R79</f>
        <v>20197.480835918959</v>
      </c>
      <c r="D79" s="209">
        <f>(PCS!I85-PCS!F85)/C79</f>
        <v>14.600235590898022</v>
      </c>
      <c r="E79" s="522">
        <f>'Péréquation directe'!E85/C79</f>
        <v>-3.7939518418272944</v>
      </c>
      <c r="F79" s="209">
        <f>'Péréquation directe'!F85/Effort!C79</f>
        <v>-8.0816852971523563</v>
      </c>
      <c r="G79" s="209">
        <f>'Péréquation directe'!G85/Effort!C79</f>
        <v>-3.2596820127885389</v>
      </c>
      <c r="H79" s="209">
        <f>'Péréquation directe'!J85/Effort!C79</f>
        <v>19.156307202306365</v>
      </c>
      <c r="I79" s="381">
        <f t="shared" si="3"/>
        <v>18.621223641436199</v>
      </c>
      <c r="J79" s="226">
        <f t="shared" si="4"/>
        <v>0</v>
      </c>
      <c r="K79" s="42">
        <f t="shared" si="5"/>
        <v>0</v>
      </c>
      <c r="L79" s="240"/>
    </row>
    <row r="80" spans="1:12" x14ac:dyDescent="0.25">
      <c r="A80" s="38">
        <f>Données!A80</f>
        <v>5530</v>
      </c>
      <c r="B80" s="171" t="str">
        <f>Données!B80</f>
        <v>Pailly</v>
      </c>
      <c r="C80" s="353">
        <f>VPI!R80</f>
        <v>18293.784444479894</v>
      </c>
      <c r="D80" s="209">
        <f>(PCS!I86-PCS!F86)/C80</f>
        <v>14.600235590898018</v>
      </c>
      <c r="E80" s="522">
        <f>'Péréquation directe'!E86/C80</f>
        <v>-3.843085485026744</v>
      </c>
      <c r="F80" s="209">
        <f>'Péréquation directe'!F86/Effort!C80</f>
        <v>-9.9487676202688853</v>
      </c>
      <c r="G80" s="209">
        <f>'Péréquation directe'!G86/Effort!C80</f>
        <v>-20.427058498140347</v>
      </c>
      <c r="H80" s="209">
        <f>'Péréquation directe'!J86/Effort!C80</f>
        <v>19.156307202306365</v>
      </c>
      <c r="I80" s="381">
        <f t="shared" si="3"/>
        <v>-0.46236881023159526</v>
      </c>
      <c r="J80" s="226">
        <f t="shared" si="4"/>
        <v>0</v>
      </c>
      <c r="K80" s="42">
        <f t="shared" si="5"/>
        <v>0</v>
      </c>
      <c r="L80" s="240"/>
    </row>
    <row r="81" spans="1:12" x14ac:dyDescent="0.25">
      <c r="A81" s="38">
        <f>Données!A81</f>
        <v>5531</v>
      </c>
      <c r="B81" s="171" t="str">
        <f>Données!B81</f>
        <v>Penthéréaz</v>
      </c>
      <c r="C81" s="353">
        <f>VPI!R81</f>
        <v>13840.342734120952</v>
      </c>
      <c r="D81" s="209">
        <f>(PCS!I87-PCS!F87)/C81</f>
        <v>14.600235590898018</v>
      </c>
      <c r="E81" s="522">
        <f>'Péréquation directe'!E87/C81</f>
        <v>-3.7537705404409869</v>
      </c>
      <c r="F81" s="209">
        <f>'Péréquation directe'!F87/Effort!C81</f>
        <v>-8.7042972415070832</v>
      </c>
      <c r="G81" s="209">
        <f>'Péréquation directe'!G87/Effort!C81</f>
        <v>-4.7972212697448473</v>
      </c>
      <c r="H81" s="209">
        <f>'Péréquation directe'!J87/Effort!C81</f>
        <v>19.156307202306365</v>
      </c>
      <c r="I81" s="381">
        <f t="shared" si="3"/>
        <v>16.501253741511466</v>
      </c>
      <c r="J81" s="226">
        <f t="shared" si="4"/>
        <v>0</v>
      </c>
      <c r="K81" s="42">
        <f t="shared" si="5"/>
        <v>0</v>
      </c>
      <c r="L81" s="240"/>
    </row>
    <row r="82" spans="1:12" x14ac:dyDescent="0.25">
      <c r="A82" s="38">
        <f>Données!A82</f>
        <v>5533</v>
      </c>
      <c r="B82" s="171" t="str">
        <f>Données!B82</f>
        <v>Poliez-Pittet</v>
      </c>
      <c r="C82" s="353">
        <f>VPI!R82</f>
        <v>27171.721019789369</v>
      </c>
      <c r="D82" s="209">
        <f>(PCS!I88-PCS!F88)/C82</f>
        <v>14.600235590898022</v>
      </c>
      <c r="E82" s="522">
        <f>'Péréquation directe'!E88/C82</f>
        <v>-3.7830138142884531</v>
      </c>
      <c r="F82" s="209">
        <f>'Péréquation directe'!F88/Effort!C82</f>
        <v>-8.7025141902919962</v>
      </c>
      <c r="G82" s="209">
        <f>'Péréquation directe'!G88/Effort!C82</f>
        <v>-1.2211578063455026</v>
      </c>
      <c r="H82" s="209">
        <f>'Péréquation directe'!J88/Effort!C82</f>
        <v>19.156307202306365</v>
      </c>
      <c r="I82" s="381">
        <f t="shared" si="3"/>
        <v>20.049856982278435</v>
      </c>
      <c r="J82" s="226">
        <f t="shared" si="4"/>
        <v>0</v>
      </c>
      <c r="K82" s="42">
        <f t="shared" si="5"/>
        <v>0</v>
      </c>
      <c r="L82" s="240"/>
    </row>
    <row r="83" spans="1:12" x14ac:dyDescent="0.25">
      <c r="A83" s="38">
        <f>Données!A83</f>
        <v>5534</v>
      </c>
      <c r="B83" s="171" t="str">
        <f>Données!B83</f>
        <v>Rueyres</v>
      </c>
      <c r="C83" s="353">
        <f>VPI!R83</f>
        <v>9741.2664246848526</v>
      </c>
      <c r="D83" s="209">
        <f>(PCS!I89-PCS!F89)/C83</f>
        <v>14.60023559089802</v>
      </c>
      <c r="E83" s="522">
        <f>'Péréquation directe'!E89/C83</f>
        <v>-3.3858425515000961</v>
      </c>
      <c r="F83" s="209">
        <f>'Péréquation directe'!F89/Effort!C83</f>
        <v>-5.5532241151474855</v>
      </c>
      <c r="G83" s="209">
        <f>'Péréquation directe'!G89/Effort!C83</f>
        <v>-0.18937991232962742</v>
      </c>
      <c r="H83" s="209">
        <f>'Péréquation directe'!J89/Effort!C83</f>
        <v>19.156307202306365</v>
      </c>
      <c r="I83" s="381">
        <f t="shared" si="3"/>
        <v>24.628096214227178</v>
      </c>
      <c r="J83" s="226">
        <f t="shared" si="4"/>
        <v>0</v>
      </c>
      <c r="K83" s="42">
        <f t="shared" si="5"/>
        <v>0</v>
      </c>
      <c r="L83" s="240"/>
    </row>
    <row r="84" spans="1:12" x14ac:dyDescent="0.25">
      <c r="A84" s="38">
        <f>Données!A84</f>
        <v>5535</v>
      </c>
      <c r="B84" s="171" t="str">
        <f>Données!B84</f>
        <v>Saint-Barthélemy</v>
      </c>
      <c r="C84" s="353">
        <f>VPI!R84</f>
        <v>22506.660400000004</v>
      </c>
      <c r="D84" s="209">
        <f>(PCS!I90-PCS!F90)/C84</f>
        <v>14.60023559089802</v>
      </c>
      <c r="E84" s="522">
        <f>'Péréquation directe'!E90/C84</f>
        <v>-4.3192222159105293</v>
      </c>
      <c r="F84" s="209">
        <f>'Péréquation directe'!F90/Effort!C84</f>
        <v>-13.673818140601284</v>
      </c>
      <c r="G84" s="209">
        <f>'Péréquation directe'!G90/Effort!C84</f>
        <v>0</v>
      </c>
      <c r="H84" s="209">
        <f>'Péréquation directe'!J90/Effort!C84</f>
        <v>19.156307202306365</v>
      </c>
      <c r="I84" s="381">
        <f t="shared" si="3"/>
        <v>15.763502436692573</v>
      </c>
      <c r="J84" s="226">
        <f t="shared" si="4"/>
        <v>0</v>
      </c>
      <c r="K84" s="42">
        <f t="shared" si="5"/>
        <v>0</v>
      </c>
      <c r="L84" s="240"/>
    </row>
    <row r="85" spans="1:12" x14ac:dyDescent="0.25">
      <c r="A85" s="38">
        <f>Données!A85</f>
        <v>5537</v>
      </c>
      <c r="B85" s="171" t="str">
        <f>Données!B85</f>
        <v>Villars-le-Terroir</v>
      </c>
      <c r="C85" s="353">
        <f>VPI!R85</f>
        <v>37957.948044056422</v>
      </c>
      <c r="D85" s="209">
        <f>(PCS!I91-PCS!F91)/C85</f>
        <v>14.60023559089802</v>
      </c>
      <c r="E85" s="522">
        <f>'Péréquation directe'!E91/C85</f>
        <v>-5.8367858618114346</v>
      </c>
      <c r="F85" s="209">
        <f>'Péréquation directe'!F91/Effort!C85</f>
        <v>-11.886276365606671</v>
      </c>
      <c r="G85" s="209">
        <f>'Péréquation directe'!G91/Effort!C85</f>
        <v>-1.1059821170242357</v>
      </c>
      <c r="H85" s="209">
        <f>'Péréquation directe'!J91/Effort!C85</f>
        <v>19.156307202306365</v>
      </c>
      <c r="I85" s="381">
        <f t="shared" si="3"/>
        <v>14.927498448762044</v>
      </c>
      <c r="J85" s="226">
        <f t="shared" si="4"/>
        <v>0</v>
      </c>
      <c r="K85" s="42">
        <f t="shared" si="5"/>
        <v>0</v>
      </c>
      <c r="L85" s="240"/>
    </row>
    <row r="86" spans="1:12" x14ac:dyDescent="0.25">
      <c r="A86" s="38">
        <f>Données!A86</f>
        <v>5539</v>
      </c>
      <c r="B86" s="171" t="str">
        <f>Données!B86</f>
        <v>Vuarrens</v>
      </c>
      <c r="C86" s="353">
        <f>VPI!R86</f>
        <v>35955.043474705482</v>
      </c>
      <c r="D86" s="209">
        <f>(PCS!I92-PCS!F92)/C86</f>
        <v>14.600235590898022</v>
      </c>
      <c r="E86" s="522">
        <f>'Péréquation directe'!E92/C86</f>
        <v>-4.0279453367946569</v>
      </c>
      <c r="F86" s="209">
        <f>'Péréquation directe'!F92/Effort!C86</f>
        <v>-7.7971282681070031</v>
      </c>
      <c r="G86" s="209">
        <f>'Péréquation directe'!G92/Effort!C86</f>
        <v>-1.0153921081935207</v>
      </c>
      <c r="H86" s="209">
        <f>'Péréquation directe'!J92/Effort!C86</f>
        <v>19.156307202306365</v>
      </c>
      <c r="I86" s="381">
        <f t="shared" si="3"/>
        <v>20.916077080109208</v>
      </c>
      <c r="J86" s="226">
        <f t="shared" si="4"/>
        <v>0</v>
      </c>
      <c r="K86" s="42">
        <f t="shared" si="5"/>
        <v>0</v>
      </c>
      <c r="L86" s="240"/>
    </row>
    <row r="87" spans="1:12" x14ac:dyDescent="0.25">
      <c r="A87" s="38">
        <f>Données!A87</f>
        <v>5540</v>
      </c>
      <c r="B87" s="171" t="str">
        <f>Données!B87</f>
        <v>Montilliez</v>
      </c>
      <c r="C87" s="353">
        <f>VPI!R87</f>
        <v>66216.365354079026</v>
      </c>
      <c r="D87" s="209">
        <f>(PCS!I93-PCS!F93)/C87</f>
        <v>14.60023559089802</v>
      </c>
      <c r="E87" s="522">
        <f>'Péréquation directe'!E93/C87</f>
        <v>-6.365947104187998</v>
      </c>
      <c r="F87" s="209">
        <f>'Péréquation directe'!F93/Effort!C87</f>
        <v>-6.1930163468038328</v>
      </c>
      <c r="G87" s="209">
        <f>'Péréquation directe'!G93/Effort!C87</f>
        <v>-3.8356723825271208</v>
      </c>
      <c r="H87" s="209">
        <f>'Péréquation directe'!J93/Effort!C87</f>
        <v>19.156307202306365</v>
      </c>
      <c r="I87" s="381">
        <f t="shared" si="3"/>
        <v>17.361906959685435</v>
      </c>
      <c r="J87" s="226">
        <f t="shared" si="4"/>
        <v>0</v>
      </c>
      <c r="K87" s="42">
        <f t="shared" si="5"/>
        <v>0</v>
      </c>
      <c r="L87" s="240"/>
    </row>
    <row r="88" spans="1:12" x14ac:dyDescent="0.25">
      <c r="A88" s="38">
        <f>Données!A88</f>
        <v>5541</v>
      </c>
      <c r="B88" s="171" t="str">
        <f>Données!B88</f>
        <v>Goumoëns</v>
      </c>
      <c r="C88" s="353">
        <f>VPI!R88</f>
        <v>36974.846186713199</v>
      </c>
      <c r="D88" s="209">
        <f>(PCS!I94-PCS!F94)/C88</f>
        <v>14.600235590898022</v>
      </c>
      <c r="E88" s="522">
        <f>'Péréquation directe'!E94/C88</f>
        <v>-4.7900937024275763</v>
      </c>
      <c r="F88" s="209">
        <f>'Péréquation directe'!F94/Effort!C88</f>
        <v>-10.017300660395554</v>
      </c>
      <c r="G88" s="209">
        <f>'Péréquation directe'!G94/Effort!C88</f>
        <v>-0.37763614131553797</v>
      </c>
      <c r="H88" s="209">
        <f>'Péréquation directe'!J94/Effort!C88</f>
        <v>19.156307202306365</v>
      </c>
      <c r="I88" s="381">
        <f t="shared" si="3"/>
        <v>18.571512289065719</v>
      </c>
      <c r="J88" s="226">
        <f t="shared" si="4"/>
        <v>0</v>
      </c>
      <c r="K88" s="42">
        <f t="shared" si="5"/>
        <v>0</v>
      </c>
      <c r="L88" s="240"/>
    </row>
    <row r="89" spans="1:12" x14ac:dyDescent="0.25">
      <c r="A89" s="38">
        <f>Données!A89</f>
        <v>5551</v>
      </c>
      <c r="B89" s="171" t="str">
        <f>Données!B89</f>
        <v>Bonvillars</v>
      </c>
      <c r="C89" s="353">
        <f>VPI!R89</f>
        <v>19152.288613413803</v>
      </c>
      <c r="D89" s="209">
        <f>(PCS!I95-PCS!F95)/C89</f>
        <v>14.60023559089802</v>
      </c>
      <c r="E89" s="522">
        <f>'Péréquation directe'!E95/C89</f>
        <v>-3.1658382720523797</v>
      </c>
      <c r="F89" s="209">
        <f>'Péréquation directe'!F95/Effort!C89</f>
        <v>-2.1620287450858515</v>
      </c>
      <c r="G89" s="209">
        <f>'Péréquation directe'!G95/Effort!C89</f>
        <v>-2.8918111551779067</v>
      </c>
      <c r="H89" s="209">
        <f>'Péréquation directe'!J95/Effort!C89</f>
        <v>19.156307202306365</v>
      </c>
      <c r="I89" s="381">
        <f t="shared" si="3"/>
        <v>25.536864620888245</v>
      </c>
      <c r="J89" s="226">
        <f t="shared" si="4"/>
        <v>0</v>
      </c>
      <c r="K89" s="42">
        <f t="shared" si="5"/>
        <v>0</v>
      </c>
      <c r="L89" s="240"/>
    </row>
    <row r="90" spans="1:12" x14ac:dyDescent="0.25">
      <c r="A90" s="38">
        <f>Données!A90</f>
        <v>5552</v>
      </c>
      <c r="B90" s="171" t="str">
        <f>Données!B90</f>
        <v>Bullet</v>
      </c>
      <c r="C90" s="353">
        <f>VPI!R90</f>
        <v>17562.45286713287</v>
      </c>
      <c r="D90" s="209">
        <f>(PCS!I96-PCS!F96)/C90</f>
        <v>14.600235590898018</v>
      </c>
      <c r="E90" s="522">
        <f>'Péréquation directe'!E96/C90</f>
        <v>-4.6385339691180993</v>
      </c>
      <c r="F90" s="209">
        <f>'Péréquation directe'!F96/Effort!C90</f>
        <v>-14.856309890553021</v>
      </c>
      <c r="G90" s="209">
        <f>'Péréquation directe'!G96/Effort!C90</f>
        <v>-10.503953778124464</v>
      </c>
      <c r="H90" s="209">
        <f>'Péréquation directe'!J96/Effort!C90</f>
        <v>19.156307202306365</v>
      </c>
      <c r="I90" s="381">
        <f t="shared" si="3"/>
        <v>3.7577451554088004</v>
      </c>
      <c r="J90" s="226">
        <f t="shared" si="4"/>
        <v>0</v>
      </c>
      <c r="K90" s="42">
        <f t="shared" si="5"/>
        <v>0</v>
      </c>
      <c r="L90" s="240"/>
    </row>
    <row r="91" spans="1:12" x14ac:dyDescent="0.25">
      <c r="A91" s="38">
        <f>Données!A91</f>
        <v>5553</v>
      </c>
      <c r="B91" s="171" t="str">
        <f>Données!B91</f>
        <v>Champagne</v>
      </c>
      <c r="C91" s="353">
        <f>VPI!R91</f>
        <v>38621.939977657414</v>
      </c>
      <c r="D91" s="209">
        <f>(PCS!I97-PCS!F97)/C91</f>
        <v>14.600235590898022</v>
      </c>
      <c r="E91" s="522">
        <f>'Péréquation directe'!E97/C91</f>
        <v>-3.7587996066681781</v>
      </c>
      <c r="F91" s="209">
        <f>'Péréquation directe'!F97/Effort!C91</f>
        <v>-4.53132792522318</v>
      </c>
      <c r="G91" s="209">
        <f>'Péréquation directe'!G97/Effort!C91</f>
        <v>-3.7597246595602782</v>
      </c>
      <c r="H91" s="209">
        <f>'Péréquation directe'!J97/Effort!C91</f>
        <v>19.156307202306365</v>
      </c>
      <c r="I91" s="381">
        <f t="shared" si="3"/>
        <v>21.706690601752751</v>
      </c>
      <c r="J91" s="226">
        <f t="shared" si="4"/>
        <v>0</v>
      </c>
      <c r="K91" s="42">
        <f t="shared" si="5"/>
        <v>0</v>
      </c>
      <c r="L91" s="240"/>
    </row>
    <row r="92" spans="1:12" x14ac:dyDescent="0.25">
      <c r="A92" s="38">
        <f>Données!A92</f>
        <v>5554</v>
      </c>
      <c r="B92" s="171" t="str">
        <f>Données!B92</f>
        <v>Concise</v>
      </c>
      <c r="C92" s="353">
        <f>VPI!R92</f>
        <v>32321.208248272062</v>
      </c>
      <c r="D92" s="209">
        <f>(PCS!I98-PCS!F98)/C92</f>
        <v>14.600235590898022</v>
      </c>
      <c r="E92" s="522">
        <f>'Péréquation directe'!E98/C92</f>
        <v>-3.8470451329100657</v>
      </c>
      <c r="F92" s="209">
        <f>'Péréquation directe'!F98/Effort!C92</f>
        <v>-9.6640256663205228</v>
      </c>
      <c r="G92" s="209">
        <f>'Péréquation directe'!G98/Effort!C92</f>
        <v>-6.0922488668006585</v>
      </c>
      <c r="H92" s="209">
        <f>'Péréquation directe'!J98/Effort!C92</f>
        <v>19.156307202306365</v>
      </c>
      <c r="I92" s="381">
        <f t="shared" si="3"/>
        <v>14.153223127173138</v>
      </c>
      <c r="J92" s="226">
        <f t="shared" si="4"/>
        <v>0</v>
      </c>
      <c r="K92" s="42">
        <f t="shared" si="5"/>
        <v>0</v>
      </c>
      <c r="L92" s="240"/>
    </row>
    <row r="93" spans="1:12" x14ac:dyDescent="0.25">
      <c r="A93" s="38">
        <f>Données!A93</f>
        <v>5555</v>
      </c>
      <c r="B93" s="171" t="str">
        <f>Données!B93</f>
        <v>Corcelles-près-Concise</v>
      </c>
      <c r="C93" s="353">
        <f>VPI!R93</f>
        <v>13590.982580275477</v>
      </c>
      <c r="D93" s="209">
        <f>(PCS!I99-PCS!F99)/C93</f>
        <v>14.600235590898018</v>
      </c>
      <c r="E93" s="522">
        <f>'Péréquation directe'!E99/C93</f>
        <v>-3.822642735216915</v>
      </c>
      <c r="F93" s="209">
        <f>'Péréquation directe'!F99/Effort!C93</f>
        <v>-8.0556797128073789</v>
      </c>
      <c r="G93" s="209">
        <f>'Péréquation directe'!G99/Effort!C93</f>
        <v>-12.42306187840896</v>
      </c>
      <c r="H93" s="209">
        <f>'Péréquation directe'!J99/Effort!C93</f>
        <v>19.156307202306365</v>
      </c>
      <c r="I93" s="381">
        <f t="shared" si="3"/>
        <v>9.4551584667711293</v>
      </c>
      <c r="J93" s="226">
        <f t="shared" si="4"/>
        <v>0</v>
      </c>
      <c r="K93" s="42">
        <f t="shared" si="5"/>
        <v>0</v>
      </c>
      <c r="L93" s="240"/>
    </row>
    <row r="94" spans="1:12" x14ac:dyDescent="0.25">
      <c r="A94" s="38">
        <f>Données!A94</f>
        <v>5556</v>
      </c>
      <c r="B94" s="171" t="str">
        <f>Données!B94</f>
        <v>Fiez</v>
      </c>
      <c r="C94" s="353">
        <f>VPI!R94</f>
        <v>13811.370927055856</v>
      </c>
      <c r="D94" s="209">
        <f>(PCS!I100-PCS!F100)/C94</f>
        <v>14.60023559089802</v>
      </c>
      <c r="E94" s="522">
        <f>'Péréquation directe'!E100/C94</f>
        <v>-4.0489302590844689</v>
      </c>
      <c r="F94" s="209">
        <f>'Péréquation directe'!F100/Effort!C94</f>
        <v>-9.6587328496689384</v>
      </c>
      <c r="G94" s="209">
        <f>'Péréquation directe'!G100/Effort!C94</f>
        <v>-1.3622830305364719</v>
      </c>
      <c r="H94" s="209">
        <f>'Péréquation directe'!J100/Effort!C94</f>
        <v>19.156307202306365</v>
      </c>
      <c r="I94" s="381">
        <f t="shared" si="3"/>
        <v>18.686596653914506</v>
      </c>
      <c r="J94" s="226">
        <f t="shared" si="4"/>
        <v>0</v>
      </c>
      <c r="K94" s="42">
        <f t="shared" si="5"/>
        <v>0</v>
      </c>
      <c r="L94" s="240"/>
    </row>
    <row r="95" spans="1:12" x14ac:dyDescent="0.25">
      <c r="A95" s="38">
        <f>Données!A95</f>
        <v>5557</v>
      </c>
      <c r="B95" s="171" t="str">
        <f>Données!B95</f>
        <v>Fontaines-sur-Grandson</v>
      </c>
      <c r="C95" s="353">
        <f>VPI!R95</f>
        <v>5898.4472463768097</v>
      </c>
      <c r="D95" s="209">
        <f>(PCS!I101-PCS!F101)/C95</f>
        <v>14.60023559089802</v>
      </c>
      <c r="E95" s="522">
        <f>'Péréquation directe'!E101/C95</f>
        <v>-4.6036994032777931</v>
      </c>
      <c r="F95" s="209">
        <f>'Péréquation directe'!F101/Effort!C95</f>
        <v>-13.588796697791786</v>
      </c>
      <c r="G95" s="209">
        <f>'Péréquation directe'!G101/Effort!C95</f>
        <v>-1.1338121386208126</v>
      </c>
      <c r="H95" s="209">
        <f>'Péréquation directe'!J101/Effort!C95</f>
        <v>19.156307202306365</v>
      </c>
      <c r="I95" s="381">
        <f t="shared" si="3"/>
        <v>14.430234553513994</v>
      </c>
      <c r="J95" s="226">
        <f t="shared" si="4"/>
        <v>0</v>
      </c>
      <c r="K95" s="42">
        <f t="shared" si="5"/>
        <v>0</v>
      </c>
      <c r="L95" s="240"/>
    </row>
    <row r="96" spans="1:12" x14ac:dyDescent="0.25">
      <c r="A96" s="38">
        <f>Données!A96</f>
        <v>5559</v>
      </c>
      <c r="B96" s="171" t="str">
        <f>Données!B96</f>
        <v>Giez</v>
      </c>
      <c r="C96" s="353">
        <f>VPI!R96</f>
        <v>17108.440303030304</v>
      </c>
      <c r="D96" s="209">
        <f>(PCS!I102-PCS!F102)/C96</f>
        <v>14.600235590898022</v>
      </c>
      <c r="E96" s="522">
        <f>'Péréquation directe'!E102/C96</f>
        <v>-3.0004781322435248</v>
      </c>
      <c r="F96" s="209">
        <f>'Péréquation directe'!F102/Effort!C96</f>
        <v>-2.0415360133320282</v>
      </c>
      <c r="G96" s="209">
        <f>'Péréquation directe'!G102/Effort!C96</f>
        <v>-0.66105430895503559</v>
      </c>
      <c r="H96" s="209">
        <f>'Péréquation directe'!J102/Effort!C96</f>
        <v>19.156307202306365</v>
      </c>
      <c r="I96" s="381">
        <f t="shared" si="3"/>
        <v>28.053474338673801</v>
      </c>
      <c r="J96" s="226">
        <f t="shared" si="4"/>
        <v>0</v>
      </c>
      <c r="K96" s="42">
        <f t="shared" si="5"/>
        <v>0</v>
      </c>
      <c r="L96" s="240"/>
    </row>
    <row r="97" spans="1:12" x14ac:dyDescent="0.25">
      <c r="A97" s="38">
        <f>Données!A97</f>
        <v>5560</v>
      </c>
      <c r="B97" s="171" t="str">
        <f>Données!B97</f>
        <v>Grandevent</v>
      </c>
      <c r="C97" s="353">
        <f>VPI!R97</f>
        <v>6167.5355002978977</v>
      </c>
      <c r="D97" s="209">
        <f>(PCS!I103-PCS!F103)/C97</f>
        <v>14.60023559089802</v>
      </c>
      <c r="E97" s="522">
        <f>'Péréquation directe'!E103/C97</f>
        <v>-4.5435710606831226</v>
      </c>
      <c r="F97" s="209">
        <f>'Péréquation directe'!F103/Effort!C97</f>
        <v>-12.784072089722139</v>
      </c>
      <c r="G97" s="209">
        <f>'Péréquation directe'!G103/Effort!C97</f>
        <v>-1.5217805187397553</v>
      </c>
      <c r="H97" s="209">
        <f>'Péréquation directe'!J103/Effort!C97</f>
        <v>19.156307202306365</v>
      </c>
      <c r="I97" s="381">
        <f t="shared" si="3"/>
        <v>14.907119124059369</v>
      </c>
      <c r="J97" s="226">
        <f t="shared" si="4"/>
        <v>0</v>
      </c>
      <c r="K97" s="42">
        <f t="shared" si="5"/>
        <v>0</v>
      </c>
      <c r="L97" s="240"/>
    </row>
    <row r="98" spans="1:12" x14ac:dyDescent="0.25">
      <c r="A98" s="38">
        <f>Données!A98</f>
        <v>5561</v>
      </c>
      <c r="B98" s="171" t="str">
        <f>Données!B98</f>
        <v>Grandson</v>
      </c>
      <c r="C98" s="353">
        <f>VPI!R98</f>
        <v>114698.81047200582</v>
      </c>
      <c r="D98" s="209">
        <f>(PCS!I104-PCS!F104)/C98</f>
        <v>14.600235590898022</v>
      </c>
      <c r="E98" s="522">
        <f>'Péréquation directe'!E104/C98</f>
        <v>-8.6742622813440846</v>
      </c>
      <c r="F98" s="209">
        <f>'Péréquation directe'!F104/Effort!C98</f>
        <v>-6.6765840174672491</v>
      </c>
      <c r="G98" s="209">
        <f>'Péréquation directe'!G104/Effort!C98</f>
        <v>-8.8677500924581132</v>
      </c>
      <c r="H98" s="209">
        <f>'Péréquation directe'!J104/Effort!C98</f>
        <v>19.156307202306365</v>
      </c>
      <c r="I98" s="381">
        <f t="shared" si="3"/>
        <v>9.5379464019349403</v>
      </c>
      <c r="J98" s="226">
        <f t="shared" si="4"/>
        <v>0</v>
      </c>
      <c r="K98" s="42">
        <f t="shared" si="5"/>
        <v>0</v>
      </c>
      <c r="L98" s="240"/>
    </row>
    <row r="99" spans="1:12" x14ac:dyDescent="0.25">
      <c r="A99" s="38">
        <f>Données!A99</f>
        <v>5562</v>
      </c>
      <c r="B99" s="171" t="str">
        <f>Données!B99</f>
        <v>Mauborget</v>
      </c>
      <c r="C99" s="353">
        <f>VPI!R99</f>
        <v>6036.4454253269014</v>
      </c>
      <c r="D99" s="209">
        <f>(PCS!I105-PCS!F105)/C99</f>
        <v>14.893561961973784</v>
      </c>
      <c r="E99" s="522">
        <f>'Péréquation directe'!E105/C99</f>
        <v>-2.629233968983594</v>
      </c>
      <c r="F99" s="209">
        <f>'Péréquation directe'!F105/Effort!C99</f>
        <v>0</v>
      </c>
      <c r="G99" s="209">
        <f>'Péréquation directe'!G105/Effort!C99</f>
        <v>-0.92575066703941677</v>
      </c>
      <c r="H99" s="209">
        <f>'Péréquation directe'!J105/Effort!C99</f>
        <v>19.156307202306365</v>
      </c>
      <c r="I99" s="381">
        <f t="shared" si="3"/>
        <v>30.494884528257138</v>
      </c>
      <c r="J99" s="226">
        <f t="shared" si="4"/>
        <v>0</v>
      </c>
      <c r="K99" s="42">
        <f t="shared" si="5"/>
        <v>0</v>
      </c>
      <c r="L99" s="240"/>
    </row>
    <row r="100" spans="1:12" x14ac:dyDescent="0.25">
      <c r="A100" s="38">
        <f>Données!A100</f>
        <v>5563</v>
      </c>
      <c r="B100" s="171" t="str">
        <f>Données!B100</f>
        <v>Mutrux</v>
      </c>
      <c r="C100" s="353">
        <f>VPI!R100</f>
        <v>4073.4583735660226</v>
      </c>
      <c r="D100" s="209">
        <f>(PCS!I106-PCS!F106)/C100</f>
        <v>14.60023559089802</v>
      </c>
      <c r="E100" s="522">
        <f>'Péréquation directe'!E106/C100</f>
        <v>-4.5354828524853907</v>
      </c>
      <c r="F100" s="209">
        <f>'Péréquation directe'!F106/Effort!C100</f>
        <v>-17.617194249237201</v>
      </c>
      <c r="G100" s="209">
        <f>'Péréquation directe'!G106/Effort!C100</f>
        <v>-11.719134357236269</v>
      </c>
      <c r="H100" s="209">
        <f>'Péréquation directe'!J106/Effort!C100</f>
        <v>19.156307202306365</v>
      </c>
      <c r="I100" s="381">
        <f t="shared" si="3"/>
        <v>-0.11526866575447769</v>
      </c>
      <c r="J100" s="226">
        <f t="shared" si="4"/>
        <v>0</v>
      </c>
      <c r="K100" s="42">
        <f t="shared" si="5"/>
        <v>0</v>
      </c>
      <c r="L100" s="240"/>
    </row>
    <row r="101" spans="1:12" x14ac:dyDescent="0.25">
      <c r="A101" s="38">
        <f>Données!A101</f>
        <v>5564</v>
      </c>
      <c r="B101" s="171" t="str">
        <f>Données!B101</f>
        <v>Novalles</v>
      </c>
      <c r="C101" s="353">
        <f>VPI!R101</f>
        <v>2091.5278618421053</v>
      </c>
      <c r="D101" s="209">
        <f>(PCS!I107-PCS!F107)/C101</f>
        <v>14.600235590898018</v>
      </c>
      <c r="E101" s="522">
        <f>'Péréquation directe'!E107/C101</f>
        <v>-5.8691077649213845</v>
      </c>
      <c r="F101" s="209">
        <f>'Péréquation directe'!F107/Effort!C101</f>
        <v>-27.361243509085785</v>
      </c>
      <c r="G101" s="209">
        <f>'Péréquation directe'!G107/Effort!C101</f>
        <v>-1.4771196640167057</v>
      </c>
      <c r="H101" s="209">
        <f>'Péréquation directe'!J107/Effort!C101</f>
        <v>19.156307202306365</v>
      </c>
      <c r="I101" s="381">
        <f t="shared" si="3"/>
        <v>-0.95092814481949262</v>
      </c>
      <c r="J101" s="226">
        <f t="shared" si="4"/>
        <v>0</v>
      </c>
      <c r="K101" s="42">
        <f t="shared" si="5"/>
        <v>0</v>
      </c>
      <c r="L101" s="240"/>
    </row>
    <row r="102" spans="1:12" x14ac:dyDescent="0.25">
      <c r="A102" s="38">
        <f>Données!A102</f>
        <v>5565</v>
      </c>
      <c r="B102" s="171" t="str">
        <f>Données!B102</f>
        <v>Onnens</v>
      </c>
      <c r="C102" s="353">
        <f>VPI!R102</f>
        <v>19614.777543776931</v>
      </c>
      <c r="D102" s="209">
        <f>(PCS!I108-PCS!F108)/C102</f>
        <v>14.60023559089802</v>
      </c>
      <c r="E102" s="522">
        <f>'Péréquation directe'!E108/C102</f>
        <v>-3.1923355526470236</v>
      </c>
      <c r="F102" s="209">
        <f>'Péréquation directe'!F108/Effort!C102</f>
        <v>-3.0409090253601767</v>
      </c>
      <c r="G102" s="209">
        <f>'Péréquation directe'!G108/Effort!C102</f>
        <v>-2.2929566566309414</v>
      </c>
      <c r="H102" s="209">
        <f>'Péréquation directe'!J108/Effort!C102</f>
        <v>19.156307202306365</v>
      </c>
      <c r="I102" s="381">
        <f t="shared" si="3"/>
        <v>25.230341558566245</v>
      </c>
      <c r="J102" s="226">
        <f t="shared" si="4"/>
        <v>0</v>
      </c>
      <c r="K102" s="42">
        <f t="shared" si="5"/>
        <v>0</v>
      </c>
      <c r="L102" s="240"/>
    </row>
    <row r="103" spans="1:12" x14ac:dyDescent="0.25">
      <c r="A103" s="38">
        <f>Données!A103</f>
        <v>5566</v>
      </c>
      <c r="B103" s="171" t="str">
        <f>Données!B103</f>
        <v>Provence</v>
      </c>
      <c r="C103" s="353">
        <f>VPI!R103</f>
        <v>7592.3490248426833</v>
      </c>
      <c r="D103" s="209">
        <f>(PCS!I109-PCS!F109)/C103</f>
        <v>14.60023559089802</v>
      </c>
      <c r="E103" s="522">
        <f>'Péréquation directe'!E109/C103</f>
        <v>-6.4019229942901656</v>
      </c>
      <c r="F103" s="209">
        <f>'Péréquation directe'!F109/Effort!C103</f>
        <v>-36.281419692664414</v>
      </c>
      <c r="G103" s="209">
        <f>'Péréquation directe'!G109/Effort!C103</f>
        <v>-42.859942689351598</v>
      </c>
      <c r="H103" s="209">
        <f>'Péréquation directe'!J109/Effort!C103</f>
        <v>19.156307202306365</v>
      </c>
      <c r="I103" s="381">
        <f t="shared" si="3"/>
        <v>-51.786742583101798</v>
      </c>
      <c r="J103" s="226">
        <f t="shared" si="4"/>
        <v>0</v>
      </c>
      <c r="K103" s="42">
        <f t="shared" si="5"/>
        <v>0</v>
      </c>
      <c r="L103" s="240"/>
    </row>
    <row r="104" spans="1:12" x14ac:dyDescent="0.25">
      <c r="A104" s="38">
        <f>Données!A104</f>
        <v>5568</v>
      </c>
      <c r="B104" s="171" t="str">
        <f>Données!B104</f>
        <v>Sainte-Croix</v>
      </c>
      <c r="C104" s="353">
        <f>VPI!R104</f>
        <v>106408.06903013417</v>
      </c>
      <c r="D104" s="209">
        <f>(PCS!I110-PCS!F110)/C104</f>
        <v>14.600235590898018</v>
      </c>
      <c r="E104" s="522">
        <f>'Péréquation directe'!E110/C104</f>
        <v>-16.626049992040514</v>
      </c>
      <c r="F104" s="209">
        <f>'Péréquation directe'!F110/Effort!C104</f>
        <v>-22.194615959097092</v>
      </c>
      <c r="G104" s="209">
        <f>'Péréquation directe'!G110/Effort!C104</f>
        <v>-13.922584044139066</v>
      </c>
      <c r="H104" s="209">
        <f>'Péréquation directe'!J110/Effort!C104</f>
        <v>19.156307202306365</v>
      </c>
      <c r="I104" s="381">
        <f t="shared" si="3"/>
        <v>-18.986707202072289</v>
      </c>
      <c r="J104" s="226">
        <f t="shared" si="4"/>
        <v>0</v>
      </c>
      <c r="K104" s="42">
        <f t="shared" si="5"/>
        <v>0</v>
      </c>
      <c r="L104" s="240"/>
    </row>
    <row r="105" spans="1:12" x14ac:dyDescent="0.25">
      <c r="A105" s="38">
        <f>Données!A105</f>
        <v>5571</v>
      </c>
      <c r="B105" s="171" t="str">
        <f>Données!B105</f>
        <v>Tévenon</v>
      </c>
      <c r="C105" s="353">
        <f>VPI!R105</f>
        <v>21375.598965432913</v>
      </c>
      <c r="D105" s="209">
        <f>(PCS!I111-PCS!F111)/C105</f>
        <v>14.600235590898018</v>
      </c>
      <c r="E105" s="522">
        <f>'Péréquation directe'!E111/C105</f>
        <v>-5.1858478352344664</v>
      </c>
      <c r="F105" s="209">
        <f>'Péréquation directe'!F111/Effort!C105</f>
        <v>-19.019609456669738</v>
      </c>
      <c r="G105" s="209">
        <f>'Péréquation directe'!G111/Effort!C105</f>
        <v>-7.4312868257027915</v>
      </c>
      <c r="H105" s="209">
        <f>'Péréquation directe'!J111/Effort!C105</f>
        <v>19.156307202306365</v>
      </c>
      <c r="I105" s="381">
        <f t="shared" si="3"/>
        <v>2.1197986755973872</v>
      </c>
      <c r="J105" s="226">
        <f t="shared" si="4"/>
        <v>0</v>
      </c>
      <c r="K105" s="42">
        <f t="shared" si="5"/>
        <v>0</v>
      </c>
      <c r="L105" s="240"/>
    </row>
    <row r="106" spans="1:12" x14ac:dyDescent="0.25">
      <c r="A106" s="38">
        <f>Données!A106</f>
        <v>5581</v>
      </c>
      <c r="B106" s="171" t="str">
        <f>Données!B106</f>
        <v>Belmont-sur-Lausanne</v>
      </c>
      <c r="C106" s="353">
        <f>VPI!R106</f>
        <v>212399.01953543225</v>
      </c>
      <c r="D106" s="209">
        <f>(PCS!I112-PCS!F112)/C106</f>
        <v>17.388412071116178</v>
      </c>
      <c r="E106" s="522">
        <f>'Péréquation directe'!E112/C106</f>
        <v>-5.6182835026957347</v>
      </c>
      <c r="F106" s="209">
        <f>'Péréquation directe'!F112/Effort!C106</f>
        <v>0</v>
      </c>
      <c r="G106" s="209">
        <f>'Péréquation directe'!G112/Effort!C106</f>
        <v>-3.4199410824786329</v>
      </c>
      <c r="H106" s="209">
        <f>'Péréquation directe'!J112/Effort!C106</f>
        <v>19.156307202306365</v>
      </c>
      <c r="I106" s="381">
        <f t="shared" si="3"/>
        <v>27.506494688248175</v>
      </c>
      <c r="J106" s="226">
        <f t="shared" si="4"/>
        <v>0</v>
      </c>
      <c r="K106" s="42">
        <f t="shared" si="5"/>
        <v>0</v>
      </c>
      <c r="L106" s="240"/>
    </row>
    <row r="107" spans="1:12" x14ac:dyDescent="0.25">
      <c r="A107" s="38">
        <f>Données!A107</f>
        <v>5582</v>
      </c>
      <c r="B107" s="171" t="str">
        <f>Données!B107</f>
        <v>Cheseaux-sur-Lausanne</v>
      </c>
      <c r="C107" s="353">
        <f>VPI!R107</f>
        <v>163661.81439852438</v>
      </c>
      <c r="D107" s="209">
        <f>(PCS!I113-PCS!F113)/C107</f>
        <v>14.60023559089802</v>
      </c>
      <c r="E107" s="522">
        <f>'Péréquation directe'!E113/C107</f>
        <v>-9.1429950256195429</v>
      </c>
      <c r="F107" s="209">
        <f>'Péréquation directe'!F113/Effort!C107</f>
        <v>-4.9402680490089681</v>
      </c>
      <c r="G107" s="209">
        <f>'Péréquation directe'!G113/Effort!C107</f>
        <v>-2.5156913671156631</v>
      </c>
      <c r="H107" s="209">
        <f>'Péréquation directe'!J113/Effort!C107</f>
        <v>19.156307202306365</v>
      </c>
      <c r="I107" s="381">
        <f t="shared" si="3"/>
        <v>17.157588351460213</v>
      </c>
      <c r="J107" s="226">
        <f t="shared" si="4"/>
        <v>0</v>
      </c>
      <c r="K107" s="42">
        <f t="shared" si="5"/>
        <v>0</v>
      </c>
      <c r="L107" s="240"/>
    </row>
    <row r="108" spans="1:12" x14ac:dyDescent="0.25">
      <c r="A108" s="38">
        <f>Données!A108</f>
        <v>5583</v>
      </c>
      <c r="B108" s="171" t="str">
        <f>Données!B108</f>
        <v>Crissier</v>
      </c>
      <c r="C108" s="353">
        <f>VPI!R108</f>
        <v>366439.37058398779</v>
      </c>
      <c r="D108" s="209">
        <f>(PCS!I114-PCS!F114)/C108</f>
        <v>14.600235590898018</v>
      </c>
      <c r="E108" s="522">
        <f>'Péréquation directe'!E114/C108</f>
        <v>-10.949818687914149</v>
      </c>
      <c r="F108" s="209">
        <f>'Péréquation directe'!F114/Effort!C108</f>
        <v>-1.5501270274047008</v>
      </c>
      <c r="G108" s="209">
        <f>'Péréquation directe'!G114/Effort!C108</f>
        <v>-7.4750449771015006</v>
      </c>
      <c r="H108" s="209">
        <f>'Péréquation directe'!J114/Effort!C108</f>
        <v>19.156307202306365</v>
      </c>
      <c r="I108" s="381">
        <f t="shared" si="3"/>
        <v>13.781552100784033</v>
      </c>
      <c r="J108" s="226">
        <f t="shared" si="4"/>
        <v>0</v>
      </c>
      <c r="K108" s="42">
        <f t="shared" si="5"/>
        <v>0</v>
      </c>
      <c r="L108" s="240"/>
    </row>
    <row r="109" spans="1:12" x14ac:dyDescent="0.25">
      <c r="A109" s="38">
        <f>Données!A109</f>
        <v>5584</v>
      </c>
      <c r="B109" s="171" t="str">
        <f>Données!B109</f>
        <v>Epalinges</v>
      </c>
      <c r="C109" s="353">
        <f>VPI!R109</f>
        <v>481828.05446555291</v>
      </c>
      <c r="D109" s="209">
        <f>(PCS!I115-PCS!F115)/C109</f>
        <v>15.441542389293252</v>
      </c>
      <c r="E109" s="522">
        <f>'Péréquation directe'!E115/C109</f>
        <v>-10.019302407100971</v>
      </c>
      <c r="F109" s="209">
        <f>'Péréquation directe'!F115/Effort!C109</f>
        <v>0</v>
      </c>
      <c r="G109" s="209">
        <f>'Péréquation directe'!G115/Effort!C109</f>
        <v>-7.013370520641347</v>
      </c>
      <c r="H109" s="209">
        <f>'Péréquation directe'!J115/Effort!C109</f>
        <v>19.156307202306365</v>
      </c>
      <c r="I109" s="381">
        <f t="shared" si="3"/>
        <v>17.565176663857301</v>
      </c>
      <c r="J109" s="226">
        <f t="shared" si="4"/>
        <v>0</v>
      </c>
      <c r="K109" s="42">
        <f t="shared" si="5"/>
        <v>0</v>
      </c>
      <c r="L109" s="240"/>
    </row>
    <row r="110" spans="1:12" x14ac:dyDescent="0.25">
      <c r="A110" s="38">
        <f>Données!A110</f>
        <v>5585</v>
      </c>
      <c r="B110" s="171" t="str">
        <f>Données!B110</f>
        <v>Jouxtens-Mézery</v>
      </c>
      <c r="C110" s="353">
        <f>VPI!R110</f>
        <v>202456.81185453033</v>
      </c>
      <c r="D110" s="209">
        <f>(PCS!I116-PCS!F116)/C110</f>
        <v>31.584303230058186</v>
      </c>
      <c r="E110" s="522">
        <f>'Péréquation directe'!E116/C110</f>
        <v>-1.3172499105411322</v>
      </c>
      <c r="F110" s="209">
        <f>'Péréquation directe'!F116/Effort!C110</f>
        <v>0</v>
      </c>
      <c r="G110" s="209">
        <f>'Péréquation directe'!G116/Effort!C110</f>
        <v>0</v>
      </c>
      <c r="H110" s="209">
        <f>'Péréquation directe'!J116/Effort!C110</f>
        <v>19.156307202306365</v>
      </c>
      <c r="I110" s="381">
        <f t="shared" si="3"/>
        <v>49.423360521823419</v>
      </c>
      <c r="J110" s="226">
        <f t="shared" si="4"/>
        <v>1.4233605218234189</v>
      </c>
      <c r="K110" s="42">
        <f t="shared" si="5"/>
        <v>-288169.03336797003</v>
      </c>
      <c r="L110" s="240"/>
    </row>
    <row r="111" spans="1:12" x14ac:dyDescent="0.25">
      <c r="A111" s="38">
        <f>Données!A111</f>
        <v>5586</v>
      </c>
      <c r="B111" s="171" t="str">
        <f>Données!B111</f>
        <v>Lausanne</v>
      </c>
      <c r="C111" s="353">
        <f>VPI!R111</f>
        <v>6147866.1896833694</v>
      </c>
      <c r="D111" s="209">
        <f>(PCS!I117-PCS!F117)/C111</f>
        <v>14.60023559089802</v>
      </c>
      <c r="E111" s="522">
        <f>'Péréquation directe'!E117/C111</f>
        <v>-22.827083707891937</v>
      </c>
      <c r="F111" s="209">
        <f>'Péréquation directe'!F117/Effort!C111</f>
        <v>-1.3458343725125561</v>
      </c>
      <c r="G111" s="209">
        <f>'Péréquation directe'!G117/Effort!C111</f>
        <v>-7.4205366470816694</v>
      </c>
      <c r="H111" s="209">
        <f>'Péréquation directe'!J117/Effort!C111</f>
        <v>19.156307202306365</v>
      </c>
      <c r="I111" s="381">
        <f t="shared" si="3"/>
        <v>2.1630880657182239</v>
      </c>
      <c r="J111" s="226">
        <f t="shared" si="4"/>
        <v>0</v>
      </c>
      <c r="K111" s="42">
        <f t="shared" si="5"/>
        <v>0</v>
      </c>
      <c r="L111" s="240"/>
    </row>
    <row r="112" spans="1:12" x14ac:dyDescent="0.25">
      <c r="A112" s="38">
        <f>Données!A112</f>
        <v>5587</v>
      </c>
      <c r="B112" s="171" t="str">
        <f>Données!B112</f>
        <v>Le Mont-sur-Lausanne</v>
      </c>
      <c r="C112" s="353">
        <f>VPI!R112</f>
        <v>442283.52488437272</v>
      </c>
      <c r="D112" s="209">
        <f>(PCS!I118-PCS!F118)/C112</f>
        <v>15.280235752294995</v>
      </c>
      <c r="E112" s="522">
        <f>'Péréquation directe'!E118/C112</f>
        <v>-9.735080217349287</v>
      </c>
      <c r="F112" s="209">
        <f>'Péréquation directe'!F118/Effort!C112</f>
        <v>0</v>
      </c>
      <c r="G112" s="209">
        <f>'Péréquation directe'!G118/Effort!C112</f>
        <v>-4.887670417429435</v>
      </c>
      <c r="H112" s="209">
        <f>'Péréquation directe'!J118/Effort!C112</f>
        <v>19.156307202306362</v>
      </c>
      <c r="I112" s="381">
        <f t="shared" si="3"/>
        <v>19.813792319822635</v>
      </c>
      <c r="J112" s="226">
        <f t="shared" si="4"/>
        <v>0</v>
      </c>
      <c r="K112" s="42">
        <f t="shared" si="5"/>
        <v>0</v>
      </c>
      <c r="L112" s="240"/>
    </row>
    <row r="113" spans="1:12" x14ac:dyDescent="0.25">
      <c r="A113" s="38">
        <f>Données!A113</f>
        <v>5588</v>
      </c>
      <c r="B113" s="171" t="str">
        <f>Données!B113</f>
        <v>Paudex</v>
      </c>
      <c r="C113" s="353">
        <f>VPI!R113</f>
        <v>135325.41739882343</v>
      </c>
      <c r="D113" s="209">
        <f>(PCS!I119-PCS!F119)/C113</f>
        <v>24.799179702235378</v>
      </c>
      <c r="E113" s="522">
        <f>'Péréquation directe'!E119/C113</f>
        <v>-2.2965269703106914</v>
      </c>
      <c r="F113" s="209">
        <f>'Péréquation directe'!F119/Effort!C113</f>
        <v>0</v>
      </c>
      <c r="G113" s="209">
        <f>'Péréquation directe'!G119/Effort!C113</f>
        <v>0</v>
      </c>
      <c r="H113" s="209">
        <f>'Péréquation directe'!J119/Effort!C113</f>
        <v>19.156307202306365</v>
      </c>
      <c r="I113" s="381">
        <f t="shared" si="3"/>
        <v>41.658959934231049</v>
      </c>
      <c r="J113" s="226">
        <f t="shared" si="4"/>
        <v>0</v>
      </c>
      <c r="K113" s="42">
        <f t="shared" si="5"/>
        <v>0</v>
      </c>
      <c r="L113" s="240"/>
    </row>
    <row r="114" spans="1:12" x14ac:dyDescent="0.25">
      <c r="A114" s="38">
        <f>Données!A114</f>
        <v>5589</v>
      </c>
      <c r="B114" s="171" t="str">
        <f>Données!B114</f>
        <v>Prilly</v>
      </c>
      <c r="C114" s="353">
        <f>VPI!R114</f>
        <v>453159.46835878264</v>
      </c>
      <c r="D114" s="209">
        <f>(PCS!I120-PCS!F120)/C114</f>
        <v>14.60023559089802</v>
      </c>
      <c r="E114" s="522">
        <f>'Péréquation directe'!E120/C114</f>
        <v>-15.668635078437065</v>
      </c>
      <c r="F114" s="209">
        <f>'Péréquation directe'!F120/Effort!C114</f>
        <v>-5.4962364103458512</v>
      </c>
      <c r="G114" s="209">
        <f>'Péréquation directe'!G120/Effort!C114</f>
        <v>-5.7627962608953212</v>
      </c>
      <c r="H114" s="209">
        <f>'Péréquation directe'!J120/Effort!C114</f>
        <v>19.156307202306365</v>
      </c>
      <c r="I114" s="381">
        <f t="shared" si="3"/>
        <v>6.828875043526148</v>
      </c>
      <c r="J114" s="226">
        <f t="shared" si="4"/>
        <v>0</v>
      </c>
      <c r="K114" s="42">
        <f t="shared" si="5"/>
        <v>0</v>
      </c>
      <c r="L114" s="240"/>
    </row>
    <row r="115" spans="1:12" x14ac:dyDescent="0.25">
      <c r="A115" s="38">
        <f>Données!A115</f>
        <v>5590</v>
      </c>
      <c r="B115" s="171" t="str">
        <f>Données!B115</f>
        <v>Pully</v>
      </c>
      <c r="C115" s="353">
        <f>VPI!R115</f>
        <v>1476232.2063472071</v>
      </c>
      <c r="D115" s="209">
        <f>(PCS!I121-PCS!F121)/C115</f>
        <v>22.242659981350389</v>
      </c>
      <c r="E115" s="522">
        <f>'Péréquation directe'!E121/C115</f>
        <v>-9.1703471258909328</v>
      </c>
      <c r="F115" s="209">
        <f>'Péréquation directe'!F121/Effort!C115</f>
        <v>0</v>
      </c>
      <c r="G115" s="209">
        <f>'Péréquation directe'!G121/Effort!C115</f>
        <v>-1.5977706635686284</v>
      </c>
      <c r="H115" s="209">
        <f>'Péréquation directe'!J121/Effort!C115</f>
        <v>19.156307202306365</v>
      </c>
      <c r="I115" s="381">
        <f t="shared" si="3"/>
        <v>30.630849394197192</v>
      </c>
      <c r="J115" s="226">
        <f t="shared" si="4"/>
        <v>0</v>
      </c>
      <c r="K115" s="42">
        <f t="shared" si="5"/>
        <v>0</v>
      </c>
      <c r="L115" s="240"/>
    </row>
    <row r="116" spans="1:12" x14ac:dyDescent="0.25">
      <c r="A116" s="38">
        <f>Données!A116</f>
        <v>5591</v>
      </c>
      <c r="B116" s="171" t="str">
        <f>Données!B116</f>
        <v>Renens</v>
      </c>
      <c r="C116" s="353">
        <f>VPI!R116</f>
        <v>594878.13045762118</v>
      </c>
      <c r="D116" s="209">
        <f>(PCS!I122-PCS!F122)/C116</f>
        <v>14.600235590898018</v>
      </c>
      <c r="E116" s="522">
        <f>'Péréquation directe'!E122/C116</f>
        <v>-26.564989835442255</v>
      </c>
      <c r="F116" s="209">
        <f>'Péréquation directe'!F122/Effort!C116</f>
        <v>-14.671970548867833</v>
      </c>
      <c r="G116" s="209">
        <f>'Péréquation directe'!G122/Effort!C116</f>
        <v>-9.6686861943129045</v>
      </c>
      <c r="H116" s="209">
        <f>'Péréquation directe'!J122/Effort!C116</f>
        <v>19.156307202306365</v>
      </c>
      <c r="I116" s="381">
        <f t="shared" si="3"/>
        <v>-17.14910378541861</v>
      </c>
      <c r="J116" s="226">
        <f t="shared" si="4"/>
        <v>0</v>
      </c>
      <c r="K116" s="42">
        <f t="shared" si="5"/>
        <v>0</v>
      </c>
      <c r="L116" s="240"/>
    </row>
    <row r="117" spans="1:12" x14ac:dyDescent="0.25">
      <c r="A117" s="38">
        <f>Données!A117</f>
        <v>5592</v>
      </c>
      <c r="B117" s="171" t="str">
        <f>Données!B117</f>
        <v>Romanel-sur-Lausanne</v>
      </c>
      <c r="C117" s="353">
        <f>VPI!R117</f>
        <v>121107.61842839372</v>
      </c>
      <c r="D117" s="209">
        <f>(PCS!I123-PCS!F123)/C117</f>
        <v>14.60023559089802</v>
      </c>
      <c r="E117" s="522">
        <f>'Péréquation directe'!E123/C117</f>
        <v>-7.7688440198285011</v>
      </c>
      <c r="F117" s="209">
        <f>'Péréquation directe'!F123/Effort!C117</f>
        <v>-4.724873214900799</v>
      </c>
      <c r="G117" s="209">
        <f>'Péréquation directe'!G123/Effort!C117</f>
        <v>-1.6841986662485391</v>
      </c>
      <c r="H117" s="209">
        <f>'Péréquation directe'!J123/Effort!C117</f>
        <v>19.156307202306365</v>
      </c>
      <c r="I117" s="381">
        <f t="shared" si="3"/>
        <v>19.578626892226545</v>
      </c>
      <c r="J117" s="226">
        <f t="shared" si="4"/>
        <v>0</v>
      </c>
      <c r="K117" s="42">
        <f t="shared" si="5"/>
        <v>0</v>
      </c>
      <c r="L117" s="240"/>
    </row>
    <row r="118" spans="1:12" x14ac:dyDescent="0.25">
      <c r="A118" s="38">
        <f>Données!A118</f>
        <v>5601</v>
      </c>
      <c r="B118" s="171" t="str">
        <f>Données!B118</f>
        <v>Chexbres</v>
      </c>
      <c r="C118" s="353">
        <f>VPI!R118</f>
        <v>98052.639768384004</v>
      </c>
      <c r="D118" s="209">
        <f>(PCS!I124-PCS!F124)/C118</f>
        <v>14.600235590898022</v>
      </c>
      <c r="E118" s="522">
        <f>'Péréquation directe'!E124/C118</f>
        <v>-5.6940845390757993</v>
      </c>
      <c r="F118" s="209">
        <f>'Péréquation directe'!F124/Effort!C118</f>
        <v>-1.0917423237824868</v>
      </c>
      <c r="G118" s="209">
        <f>'Péréquation directe'!G124/Effort!C118</f>
        <v>-3.6964090130142688</v>
      </c>
      <c r="H118" s="209">
        <f>'Péréquation directe'!J124/Effort!C118</f>
        <v>19.156307202306365</v>
      </c>
      <c r="I118" s="381">
        <f t="shared" si="3"/>
        <v>23.274306917331831</v>
      </c>
      <c r="J118" s="226">
        <f t="shared" si="4"/>
        <v>0</v>
      </c>
      <c r="K118" s="42">
        <f t="shared" si="5"/>
        <v>0</v>
      </c>
      <c r="L118" s="240"/>
    </row>
    <row r="119" spans="1:12" x14ac:dyDescent="0.25">
      <c r="A119" s="38">
        <f>Données!A119</f>
        <v>5604</v>
      </c>
      <c r="B119" s="171" t="str">
        <f>Données!B119</f>
        <v>Forel (Lavaux)</v>
      </c>
      <c r="C119" s="353">
        <f>VPI!R119</f>
        <v>71266.170275257027</v>
      </c>
      <c r="D119" s="209">
        <f>(PCS!I125-PCS!F125)/C119</f>
        <v>14.60023559089802</v>
      </c>
      <c r="E119" s="522">
        <f>'Péréquation directe'!E125/C119</f>
        <v>-7.1230330711709806</v>
      </c>
      <c r="F119" s="209">
        <f>'Péréquation directe'!F125/Effort!C119</f>
        <v>-6.9207032309873719</v>
      </c>
      <c r="G119" s="209">
        <f>'Péréquation directe'!G125/Effort!C119</f>
        <v>-4.1044962458157412</v>
      </c>
      <c r="H119" s="209">
        <f>'Péréquation directe'!J125/Effort!C119</f>
        <v>19.156307202306365</v>
      </c>
      <c r="I119" s="381">
        <f t="shared" si="3"/>
        <v>15.608310245230292</v>
      </c>
      <c r="J119" s="226">
        <f t="shared" si="4"/>
        <v>0</v>
      </c>
      <c r="K119" s="42">
        <f t="shared" si="5"/>
        <v>0</v>
      </c>
      <c r="L119" s="240"/>
    </row>
    <row r="120" spans="1:12" x14ac:dyDescent="0.25">
      <c r="A120" s="38">
        <f>Données!A120</f>
        <v>5606</v>
      </c>
      <c r="B120" s="171" t="str">
        <f>Données!B120</f>
        <v>Lutry</v>
      </c>
      <c r="C120" s="353">
        <f>VPI!R120</f>
        <v>874192.86279135477</v>
      </c>
      <c r="D120" s="209">
        <f>(PCS!I126-PCS!F126)/C120</f>
        <v>22.185537593095503</v>
      </c>
      <c r="E120" s="522">
        <f>'Péréquation directe'!E126/C120</f>
        <v>-6.1974793939883721</v>
      </c>
      <c r="F120" s="209">
        <f>'Péréquation directe'!F126/Effort!C120</f>
        <v>0</v>
      </c>
      <c r="G120" s="209">
        <f>'Péréquation directe'!G126/Effort!C120</f>
        <v>-2.460058775113966</v>
      </c>
      <c r="H120" s="209">
        <f>'Péréquation directe'!J126/Effort!C120</f>
        <v>19.156307202306365</v>
      </c>
      <c r="I120" s="381">
        <f t="shared" si="3"/>
        <v>32.684306626299531</v>
      </c>
      <c r="J120" s="226">
        <f t="shared" si="4"/>
        <v>0</v>
      </c>
      <c r="K120" s="42">
        <f t="shared" si="5"/>
        <v>0</v>
      </c>
      <c r="L120" s="240"/>
    </row>
    <row r="121" spans="1:12" x14ac:dyDescent="0.25">
      <c r="A121" s="38">
        <f>Données!A121</f>
        <v>5607</v>
      </c>
      <c r="B121" s="171" t="str">
        <f>Données!B121</f>
        <v>Puidoux</v>
      </c>
      <c r="C121" s="353">
        <f>VPI!R121</f>
        <v>102748.27893179639</v>
      </c>
      <c r="D121" s="209">
        <f>(PCS!I127-PCS!F127)/C121</f>
        <v>14.600235590898018</v>
      </c>
      <c r="E121" s="522">
        <f>'Péréquation directe'!E127/C121</f>
        <v>-7.6065386266361106</v>
      </c>
      <c r="F121" s="209">
        <f>'Péréquation directe'!F127/Effort!C121</f>
        <v>-5.6336798161636441</v>
      </c>
      <c r="G121" s="209">
        <f>'Péréquation directe'!G127/Effort!C121</f>
        <v>-8.3292035186039808</v>
      </c>
      <c r="H121" s="209">
        <f>'Péréquation directe'!J127/Effort!C121</f>
        <v>19.156307202306365</v>
      </c>
      <c r="I121" s="381">
        <f t="shared" si="3"/>
        <v>12.187120831800648</v>
      </c>
      <c r="J121" s="226">
        <f t="shared" si="4"/>
        <v>0</v>
      </c>
      <c r="K121" s="42">
        <f t="shared" si="5"/>
        <v>0</v>
      </c>
      <c r="L121" s="240"/>
    </row>
    <row r="122" spans="1:12" x14ac:dyDescent="0.25">
      <c r="A122" s="38">
        <f>Données!A122</f>
        <v>5609</v>
      </c>
      <c r="B122" s="171" t="str">
        <f>Données!B122</f>
        <v>Rivaz</v>
      </c>
      <c r="C122" s="353">
        <f>VPI!R122</f>
        <v>16045.690421494986</v>
      </c>
      <c r="D122" s="209">
        <f>(PCS!I128-PCS!F128)/C122</f>
        <v>14.975694181092278</v>
      </c>
      <c r="E122" s="522">
        <f>'Péréquation directe'!E128/C122</f>
        <v>-2.6041862143115799</v>
      </c>
      <c r="F122" s="209">
        <f>'Péréquation directe'!F128/Effort!C122</f>
        <v>0</v>
      </c>
      <c r="G122" s="209">
        <f>'Péréquation directe'!G128/Effort!C122</f>
        <v>-1.5118445525043762</v>
      </c>
      <c r="H122" s="209">
        <f>'Péréquation directe'!J128/Effort!C122</f>
        <v>19.156307202306362</v>
      </c>
      <c r="I122" s="381">
        <f t="shared" si="3"/>
        <v>30.015970616582685</v>
      </c>
      <c r="J122" s="226">
        <f t="shared" si="4"/>
        <v>0</v>
      </c>
      <c r="K122" s="42">
        <f t="shared" si="5"/>
        <v>0</v>
      </c>
      <c r="L122" s="240"/>
    </row>
    <row r="123" spans="1:12" x14ac:dyDescent="0.25">
      <c r="A123" s="38">
        <f>Données!A123</f>
        <v>5610</v>
      </c>
      <c r="B123" s="171" t="str">
        <f>Données!B123</f>
        <v>St-Saphorin (Lavaux)</v>
      </c>
      <c r="C123" s="353">
        <f>VPI!R123</f>
        <v>19212.066388684874</v>
      </c>
      <c r="D123" s="209">
        <f>(PCS!I129-PCS!F129)/C123</f>
        <v>15.572725602362995</v>
      </c>
      <c r="E123" s="522">
        <f>'Péréquation directe'!E129/C123</f>
        <v>-2.5041376067709584</v>
      </c>
      <c r="F123" s="209">
        <f>'Péréquation directe'!F129/Effort!C123</f>
        <v>0</v>
      </c>
      <c r="G123" s="209">
        <f>'Péréquation directe'!G129/Effort!C123</f>
        <v>-0.31247818669971306</v>
      </c>
      <c r="H123" s="209">
        <f>'Péréquation directe'!J129/Effort!C123</f>
        <v>19.156307202306365</v>
      </c>
      <c r="I123" s="381">
        <f t="shared" si="3"/>
        <v>31.912417011198688</v>
      </c>
      <c r="J123" s="226">
        <f t="shared" si="4"/>
        <v>0</v>
      </c>
      <c r="K123" s="42">
        <f t="shared" si="5"/>
        <v>0</v>
      </c>
      <c r="L123" s="240"/>
    </row>
    <row r="124" spans="1:12" x14ac:dyDescent="0.25">
      <c r="A124" s="38">
        <f>Données!A124</f>
        <v>5611</v>
      </c>
      <c r="B124" s="171" t="str">
        <f>Données!B124</f>
        <v>Savigny</v>
      </c>
      <c r="C124" s="353">
        <f>VPI!R124</f>
        <v>136601.19868900886</v>
      </c>
      <c r="D124" s="209">
        <f>(PCS!I130-PCS!F130)/C124</f>
        <v>14.600235590898018</v>
      </c>
      <c r="E124" s="522">
        <f>'Péréquation directe'!E130/C124</f>
        <v>-7.2544001667757101</v>
      </c>
      <c r="F124" s="209">
        <f>'Péréquation directe'!F130/Effort!C124</f>
        <v>-2.5042814463554151</v>
      </c>
      <c r="G124" s="209">
        <f>'Péréquation directe'!G130/Effort!C124</f>
        <v>-3.7546581786124165</v>
      </c>
      <c r="H124" s="209">
        <f>'Péréquation directe'!J130/Effort!C124</f>
        <v>19.156307202306365</v>
      </c>
      <c r="I124" s="381">
        <f t="shared" si="3"/>
        <v>20.243203001460842</v>
      </c>
      <c r="J124" s="226">
        <f t="shared" si="4"/>
        <v>0</v>
      </c>
      <c r="K124" s="42">
        <f t="shared" si="5"/>
        <v>0</v>
      </c>
      <c r="L124" s="240"/>
    </row>
    <row r="125" spans="1:12" x14ac:dyDescent="0.25">
      <c r="A125" s="38">
        <f>Données!A125</f>
        <v>5613</v>
      </c>
      <c r="B125" s="171" t="str">
        <f>Données!B125</f>
        <v>Bourg-en-Lavaux</v>
      </c>
      <c r="C125" s="353">
        <f>VPI!R125</f>
        <v>343743.87305637199</v>
      </c>
      <c r="D125" s="209">
        <f>(PCS!I131-PCS!F131)/C125</f>
        <v>18.873236123811903</v>
      </c>
      <c r="E125" s="522">
        <f>'Péréquation directe'!E131/C125</f>
        <v>-5.9399848563048154</v>
      </c>
      <c r="F125" s="209">
        <f>'Péréquation directe'!F131/Effort!C125</f>
        <v>0</v>
      </c>
      <c r="G125" s="209">
        <f>'Péréquation directe'!G131/Effort!C125</f>
        <v>0</v>
      </c>
      <c r="H125" s="209">
        <f>'Péréquation directe'!J131/Effort!C125</f>
        <v>19.156307202306365</v>
      </c>
      <c r="I125" s="381">
        <f t="shared" si="3"/>
        <v>32.089558469813454</v>
      </c>
      <c r="J125" s="226">
        <f t="shared" si="4"/>
        <v>0</v>
      </c>
      <c r="K125" s="42">
        <f t="shared" si="5"/>
        <v>0</v>
      </c>
      <c r="L125" s="240"/>
    </row>
    <row r="126" spans="1:12" x14ac:dyDescent="0.25">
      <c r="A126" s="38">
        <f>Données!A126</f>
        <v>5621</v>
      </c>
      <c r="B126" s="171" t="str">
        <f>Données!B126</f>
        <v>Aclens</v>
      </c>
      <c r="C126" s="353">
        <f>VPI!R126</f>
        <v>32263.209585065993</v>
      </c>
      <c r="D126" s="209">
        <f>(PCS!I132-PCS!F132)/C126</f>
        <v>18.208795066749396</v>
      </c>
      <c r="E126" s="522">
        <f>'Péréquation directe'!E132/C126</f>
        <v>-2.0292095460821047</v>
      </c>
      <c r="F126" s="209">
        <f>'Péréquation directe'!F132/Effort!C126</f>
        <v>0</v>
      </c>
      <c r="G126" s="209">
        <f>'Péréquation directe'!G132/Effort!C126</f>
        <v>-1.2308057071911687</v>
      </c>
      <c r="H126" s="209">
        <f>'Péréquation directe'!J132/Effort!C126</f>
        <v>19.156307202306365</v>
      </c>
      <c r="I126" s="381">
        <f t="shared" si="3"/>
        <v>34.105087015782487</v>
      </c>
      <c r="J126" s="226">
        <f t="shared" si="4"/>
        <v>0</v>
      </c>
      <c r="K126" s="42">
        <f t="shared" si="5"/>
        <v>0</v>
      </c>
      <c r="L126" s="240"/>
    </row>
    <row r="127" spans="1:12" x14ac:dyDescent="0.25">
      <c r="A127" s="38">
        <f>Données!A127</f>
        <v>5622</v>
      </c>
      <c r="B127" s="171" t="str">
        <f>Données!B127</f>
        <v>Bremblens</v>
      </c>
      <c r="C127" s="353">
        <f>VPI!R127</f>
        <v>27798.843685819211</v>
      </c>
      <c r="D127" s="209">
        <f>(PCS!I133-PCS!F133)/C127</f>
        <v>15.031136158943779</v>
      </c>
      <c r="E127" s="522">
        <f>'Péréquation directe'!E133/C127</f>
        <v>-2.600413229496584</v>
      </c>
      <c r="F127" s="209">
        <f>'Péréquation directe'!F133/Effort!C127</f>
        <v>0</v>
      </c>
      <c r="G127" s="209">
        <f>'Péréquation directe'!G133/Effort!C127</f>
        <v>0</v>
      </c>
      <c r="H127" s="209">
        <f>'Péréquation directe'!J133/Effort!C127</f>
        <v>19.156307202306365</v>
      </c>
      <c r="I127" s="381">
        <f t="shared" si="3"/>
        <v>31.587030131753561</v>
      </c>
      <c r="J127" s="226">
        <f t="shared" si="4"/>
        <v>0</v>
      </c>
      <c r="K127" s="42">
        <f t="shared" si="5"/>
        <v>0</v>
      </c>
      <c r="L127" s="240"/>
    </row>
    <row r="128" spans="1:12" x14ac:dyDescent="0.25">
      <c r="A128" s="38">
        <f>Données!A128</f>
        <v>5623</v>
      </c>
      <c r="B128" s="171" t="str">
        <f>Données!B128</f>
        <v>Buchillon</v>
      </c>
      <c r="C128" s="353">
        <f>VPI!R128</f>
        <v>94505.231730769228</v>
      </c>
      <c r="D128" s="209">
        <f>(PCS!I134-PCS!F134)/C128</f>
        <v>28.923491673127803</v>
      </c>
      <c r="E128" s="522">
        <f>'Péréquation directe'!E134/C128</f>
        <v>-0.90005450065719039</v>
      </c>
      <c r="F128" s="209">
        <f>'Péréquation directe'!F134/Effort!C128</f>
        <v>0</v>
      </c>
      <c r="G128" s="209">
        <f>'Péréquation directe'!G134/Effort!C128</f>
        <v>0</v>
      </c>
      <c r="H128" s="209">
        <f>'Péréquation directe'!J134/Effort!C128</f>
        <v>19.156307202306365</v>
      </c>
      <c r="I128" s="381">
        <f t="shared" si="3"/>
        <v>47.179744374776973</v>
      </c>
      <c r="J128" s="226">
        <f t="shared" si="4"/>
        <v>0</v>
      </c>
      <c r="K128" s="42">
        <f t="shared" si="5"/>
        <v>0</v>
      </c>
      <c r="L128" s="240"/>
    </row>
    <row r="129" spans="1:12" x14ac:dyDescent="0.25">
      <c r="A129" s="38">
        <f>Données!A129</f>
        <v>5624</v>
      </c>
      <c r="B129" s="171" t="str">
        <f>Données!B129</f>
        <v>Bussigny</v>
      </c>
      <c r="C129" s="353">
        <f>VPI!R129</f>
        <v>350915.44619957998</v>
      </c>
      <c r="D129" s="209">
        <f>(PCS!I135-PCS!F135)/C129</f>
        <v>14.60023559089802</v>
      </c>
      <c r="E129" s="522">
        <f>'Péréquation directe'!E135/C129</f>
        <v>-13.41831949672177</v>
      </c>
      <c r="F129" s="209">
        <f>'Péréquation directe'!F135/Effort!C129</f>
        <v>-4.1357622008436428</v>
      </c>
      <c r="G129" s="209">
        <f>'Péréquation directe'!G135/Effort!C129</f>
        <v>-3.8347461614362275</v>
      </c>
      <c r="H129" s="209">
        <f>'Péréquation directe'!J135/Effort!C129</f>
        <v>19.156307202306365</v>
      </c>
      <c r="I129" s="381">
        <f t="shared" si="3"/>
        <v>12.367714934202745</v>
      </c>
      <c r="J129" s="226">
        <f t="shared" si="4"/>
        <v>0</v>
      </c>
      <c r="K129" s="42">
        <f t="shared" si="5"/>
        <v>0</v>
      </c>
      <c r="L129" s="240"/>
    </row>
    <row r="130" spans="1:12" x14ac:dyDescent="0.25">
      <c r="A130" s="38">
        <f>Données!A130</f>
        <v>5627</v>
      </c>
      <c r="B130" s="171" t="str">
        <f>Données!B130</f>
        <v>Chavannes-près-Renens</v>
      </c>
      <c r="C130" s="353">
        <f>VPI!R130</f>
        <v>162426.10008602153</v>
      </c>
      <c r="D130" s="209">
        <f>(PCS!I136-PCS!F136)/C130</f>
        <v>14.600235590898022</v>
      </c>
      <c r="E130" s="522">
        <f>'Péréquation directe'!E136/C130</f>
        <v>-23.92271462147248</v>
      </c>
      <c r="F130" s="209">
        <f>'Péréquation directe'!F136/Effort!C130</f>
        <v>-33.901360854392252</v>
      </c>
      <c r="G130" s="209">
        <f>'Péréquation directe'!G136/Effort!C130</f>
        <v>-9.1556738645838678</v>
      </c>
      <c r="H130" s="209">
        <f>'Péréquation directe'!J136/Effort!C130</f>
        <v>19.156307202306365</v>
      </c>
      <c r="I130" s="381">
        <f t="shared" si="3"/>
        <v>-33.22320654724421</v>
      </c>
      <c r="J130" s="226">
        <f t="shared" si="4"/>
        <v>0</v>
      </c>
      <c r="K130" s="42">
        <f t="shared" si="5"/>
        <v>0</v>
      </c>
      <c r="L130" s="240"/>
    </row>
    <row r="131" spans="1:12" x14ac:dyDescent="0.25">
      <c r="A131" s="38">
        <f>Données!A131</f>
        <v>5628</v>
      </c>
      <c r="B131" s="171" t="str">
        <f>Données!B131</f>
        <v>Chigny</v>
      </c>
      <c r="C131" s="353">
        <f>VPI!R131</f>
        <v>24622.507795875023</v>
      </c>
      <c r="D131" s="209">
        <f>(PCS!I137-PCS!F137)/C131</f>
        <v>18.467618031517429</v>
      </c>
      <c r="E131" s="522">
        <f>'Péréquation directe'!E137/C131</f>
        <v>-1.9941758193360632</v>
      </c>
      <c r="F131" s="209">
        <f>'Péréquation directe'!F137/Effort!C131</f>
        <v>0</v>
      </c>
      <c r="G131" s="209">
        <f>'Péréquation directe'!G137/Effort!C131</f>
        <v>0</v>
      </c>
      <c r="H131" s="209">
        <f>'Péréquation directe'!J137/Effort!C131</f>
        <v>19.156307202306365</v>
      </c>
      <c r="I131" s="381">
        <f t="shared" si="3"/>
        <v>35.629749414487733</v>
      </c>
      <c r="J131" s="226">
        <f t="shared" si="4"/>
        <v>0</v>
      </c>
      <c r="K131" s="42">
        <f t="shared" si="5"/>
        <v>0</v>
      </c>
      <c r="L131" s="240"/>
    </row>
    <row r="132" spans="1:12" x14ac:dyDescent="0.25">
      <c r="A132" s="38">
        <f>Données!A132</f>
        <v>5629</v>
      </c>
      <c r="B132" s="171" t="str">
        <f>Données!B132</f>
        <v>Clarmont</v>
      </c>
      <c r="C132" s="353">
        <f>VPI!R132</f>
        <v>8520.6241427524346</v>
      </c>
      <c r="D132" s="209">
        <f>(PCS!I138-PCS!F138)/C132</f>
        <v>14.60023559089802</v>
      </c>
      <c r="E132" s="522">
        <f>'Péréquation directe'!E138/C132</f>
        <v>-2.9249954349319616</v>
      </c>
      <c r="F132" s="209">
        <f>'Péréquation directe'!F138/Effort!C132</f>
        <v>-1.9251322822291195</v>
      </c>
      <c r="G132" s="209">
        <f>'Péréquation directe'!G138/Effort!C132</f>
        <v>-4.3048789066332995</v>
      </c>
      <c r="H132" s="209">
        <f>'Péréquation directe'!J138/Effort!C132</f>
        <v>19.156307202306365</v>
      </c>
      <c r="I132" s="381">
        <f t="shared" si="3"/>
        <v>24.601536169410004</v>
      </c>
      <c r="J132" s="226">
        <f t="shared" si="4"/>
        <v>0</v>
      </c>
      <c r="K132" s="42">
        <f t="shared" si="5"/>
        <v>0</v>
      </c>
      <c r="L132" s="240"/>
    </row>
    <row r="133" spans="1:12" x14ac:dyDescent="0.25">
      <c r="A133" s="38">
        <f>Données!A133</f>
        <v>5631</v>
      </c>
      <c r="B133" s="171" t="str">
        <f>Données!B133</f>
        <v>Denens</v>
      </c>
      <c r="C133" s="353">
        <f>VPI!R133</f>
        <v>43443.742275876699</v>
      </c>
      <c r="D133" s="209">
        <f>(PCS!I139-PCS!F139)/C133</f>
        <v>17.840487311084093</v>
      </c>
      <c r="E133" s="522">
        <f>'Péréquation directe'!E139/C133</f>
        <v>-2.1177623360004132</v>
      </c>
      <c r="F133" s="209">
        <f>'Péréquation directe'!F139/Effort!C133</f>
        <v>0</v>
      </c>
      <c r="G133" s="209">
        <f>'Péréquation directe'!G139/Effort!C133</f>
        <v>0</v>
      </c>
      <c r="H133" s="209">
        <f>'Péréquation directe'!J139/Effort!C133</f>
        <v>19.156307202306365</v>
      </c>
      <c r="I133" s="381">
        <f t="shared" si="3"/>
        <v>34.879032177390044</v>
      </c>
      <c r="J133" s="226">
        <f t="shared" si="4"/>
        <v>0</v>
      </c>
      <c r="K133" s="42">
        <f t="shared" si="5"/>
        <v>0</v>
      </c>
      <c r="L133" s="240"/>
    </row>
    <row r="134" spans="1:12" x14ac:dyDescent="0.25">
      <c r="A134" s="38">
        <f>Données!A134</f>
        <v>5632</v>
      </c>
      <c r="B134" s="171" t="str">
        <f>Données!B134</f>
        <v>Denges</v>
      </c>
      <c r="C134" s="353">
        <f>VPI!R134</f>
        <v>76401.256884060669</v>
      </c>
      <c r="D134" s="209">
        <f>(PCS!I140-PCS!F140)/C134</f>
        <v>14.600235590898018</v>
      </c>
      <c r="E134" s="522">
        <f>'Péréquation directe'!E140/C134</f>
        <v>-4.9402017865660355</v>
      </c>
      <c r="F134" s="209">
        <f>'Péréquation directe'!F140/Effort!C134</f>
        <v>-0.6987761017643066</v>
      </c>
      <c r="G134" s="209">
        <f>'Péréquation directe'!G140/Effort!C134</f>
        <v>-1.2659177694210666</v>
      </c>
      <c r="H134" s="209">
        <f>'Péréquation directe'!J140/Effort!C134</f>
        <v>19.156307202306365</v>
      </c>
      <c r="I134" s="381">
        <f t="shared" si="3"/>
        <v>26.851647135452975</v>
      </c>
      <c r="J134" s="226">
        <f t="shared" si="4"/>
        <v>0</v>
      </c>
      <c r="K134" s="42">
        <f t="shared" si="5"/>
        <v>0</v>
      </c>
      <c r="L134" s="240"/>
    </row>
    <row r="135" spans="1:12" x14ac:dyDescent="0.25">
      <c r="A135" s="38">
        <f>Données!A135</f>
        <v>5633</v>
      </c>
      <c r="B135" s="171" t="str">
        <f>Données!B135</f>
        <v>Echandens</v>
      </c>
      <c r="C135" s="353">
        <f>VPI!R135</f>
        <v>148314.25599471925</v>
      </c>
      <c r="D135" s="209">
        <f>(PCS!I141-PCS!F141)/C135</f>
        <v>16.36777813962814</v>
      </c>
      <c r="E135" s="522">
        <f>'Péréquation directe'!E141/C135</f>
        <v>-4.9161430891291227</v>
      </c>
      <c r="F135" s="209">
        <f>'Péréquation directe'!F141/Effort!C135</f>
        <v>0</v>
      </c>
      <c r="G135" s="209">
        <f>'Péréquation directe'!G141/Effort!C135</f>
        <v>-4.2507509463832767</v>
      </c>
      <c r="H135" s="209">
        <f>'Péréquation directe'!J141/Effort!C135</f>
        <v>19.156307202306365</v>
      </c>
      <c r="I135" s="381">
        <f t="shared" ref="I135:I198" si="6">SUM(D135:H135)</f>
        <v>26.357191306422106</v>
      </c>
      <c r="J135" s="226">
        <f t="shared" ref="J135:J198" si="7">IF(I135&gt;J$5,I135-J$5,0)</f>
        <v>0</v>
      </c>
      <c r="K135" s="42">
        <f t="shared" ref="K135:K198" si="8">-J135*C135</f>
        <v>0</v>
      </c>
      <c r="L135" s="240"/>
    </row>
    <row r="136" spans="1:12" x14ac:dyDescent="0.25">
      <c r="A136" s="38">
        <f>Données!A136</f>
        <v>5634</v>
      </c>
      <c r="B136" s="171" t="str">
        <f>Données!B136</f>
        <v>Echichens</v>
      </c>
      <c r="C136" s="353">
        <f>VPI!R136</f>
        <v>164062.1340206177</v>
      </c>
      <c r="D136" s="209">
        <f>(PCS!I142-PCS!F142)/C136</f>
        <v>16.183909330337642</v>
      </c>
      <c r="E136" s="522">
        <f>'Péréquation directe'!E142/C136</f>
        <v>-5.3720445599997202</v>
      </c>
      <c r="F136" s="209">
        <f>'Péréquation directe'!F142/Effort!C136</f>
        <v>0</v>
      </c>
      <c r="G136" s="209">
        <f>'Péréquation directe'!G142/Effort!C136</f>
        <v>0</v>
      </c>
      <c r="H136" s="209">
        <f>'Péréquation directe'!J142/Effort!C136</f>
        <v>19.156307202306365</v>
      </c>
      <c r="I136" s="381">
        <f t="shared" si="6"/>
        <v>29.968171972644285</v>
      </c>
      <c r="J136" s="226">
        <f t="shared" si="7"/>
        <v>0</v>
      </c>
      <c r="K136" s="42">
        <f t="shared" si="8"/>
        <v>0</v>
      </c>
      <c r="L136" s="240"/>
    </row>
    <row r="137" spans="1:12" x14ac:dyDescent="0.25">
      <c r="A137" s="38">
        <f>Données!A137</f>
        <v>5635</v>
      </c>
      <c r="B137" s="171" t="str">
        <f>Données!B137</f>
        <v>Ecublens</v>
      </c>
      <c r="C137" s="353">
        <f>VPI!R137</f>
        <v>502164.08712629444</v>
      </c>
      <c r="D137" s="209">
        <f>(PCS!I143-PCS!F143)/C137</f>
        <v>14.600235590898018</v>
      </c>
      <c r="E137" s="522">
        <f>'Péréquation directe'!E143/C137</f>
        <v>-15.682333383960223</v>
      </c>
      <c r="F137" s="209">
        <f>'Péréquation directe'!F143/Effort!C137</f>
        <v>-3.2836345415262631</v>
      </c>
      <c r="G137" s="209">
        <f>'Péréquation directe'!G143/Effort!C137</f>
        <v>-6.2161752647539785</v>
      </c>
      <c r="H137" s="209">
        <f>'Péréquation directe'!J143/Effort!C137</f>
        <v>19.156307202306365</v>
      </c>
      <c r="I137" s="381">
        <f t="shared" si="6"/>
        <v>8.5743996029639185</v>
      </c>
      <c r="J137" s="226">
        <f t="shared" si="7"/>
        <v>0</v>
      </c>
      <c r="K137" s="42">
        <f t="shared" si="8"/>
        <v>0</v>
      </c>
      <c r="L137" s="240"/>
    </row>
    <row r="138" spans="1:12" x14ac:dyDescent="0.25">
      <c r="A138" s="38">
        <f>Données!A138</f>
        <v>5636</v>
      </c>
      <c r="B138" s="171" t="str">
        <f>Données!B138</f>
        <v>Etoy</v>
      </c>
      <c r="C138" s="353">
        <f>VPI!R138</f>
        <v>170184.11203181112</v>
      </c>
      <c r="D138" s="209">
        <f>(PCS!I144-PCS!F144)/C138</f>
        <v>17.447142819910468</v>
      </c>
      <c r="E138" s="522">
        <f>'Péréquation directe'!E144/C138</f>
        <v>-4.6230314310827083</v>
      </c>
      <c r="F138" s="209">
        <f>'Péréquation directe'!F144/Effort!C138</f>
        <v>0</v>
      </c>
      <c r="G138" s="209">
        <f>'Péréquation directe'!G144/Effort!C138</f>
        <v>0</v>
      </c>
      <c r="H138" s="209">
        <f>'Péréquation directe'!J144/Effort!C138</f>
        <v>19.156307202306365</v>
      </c>
      <c r="I138" s="381">
        <f t="shared" si="6"/>
        <v>31.980418591134125</v>
      </c>
      <c r="J138" s="226">
        <f t="shared" si="7"/>
        <v>0</v>
      </c>
      <c r="K138" s="42">
        <f t="shared" si="8"/>
        <v>0</v>
      </c>
      <c r="L138" s="240"/>
    </row>
    <row r="139" spans="1:12" x14ac:dyDescent="0.25">
      <c r="A139" s="38">
        <f>Données!A139</f>
        <v>5637</v>
      </c>
      <c r="B139" s="171" t="str">
        <f>Données!B139</f>
        <v>Lavigny</v>
      </c>
      <c r="C139" s="353">
        <f>VPI!R139</f>
        <v>41191.053632524527</v>
      </c>
      <c r="D139" s="209">
        <f>(PCS!I145-PCS!F145)/C139</f>
        <v>14.600235590898018</v>
      </c>
      <c r="E139" s="522">
        <f>'Péréquation directe'!E145/C139</f>
        <v>-3.077644716311156</v>
      </c>
      <c r="F139" s="209">
        <f>'Péréquation directe'!F145/Effort!C139</f>
        <v>-2.7657188084379558</v>
      </c>
      <c r="G139" s="209">
        <f>'Péréquation directe'!G145/Effort!C139</f>
        <v>-3.5893213493357177</v>
      </c>
      <c r="H139" s="209">
        <f>'Péréquation directe'!J145/Effort!C139</f>
        <v>19.156307202306365</v>
      </c>
      <c r="I139" s="381">
        <f t="shared" si="6"/>
        <v>24.323857919119554</v>
      </c>
      <c r="J139" s="226">
        <f t="shared" si="7"/>
        <v>0</v>
      </c>
      <c r="K139" s="42">
        <f t="shared" si="8"/>
        <v>0</v>
      </c>
      <c r="L139" s="240"/>
    </row>
    <row r="140" spans="1:12" x14ac:dyDescent="0.25">
      <c r="A140" s="38">
        <f>Données!A140</f>
        <v>5638</v>
      </c>
      <c r="B140" s="171" t="str">
        <f>Données!B140</f>
        <v>Lonay</v>
      </c>
      <c r="C140" s="353">
        <f>VPI!R140</f>
        <v>145471.80629203771</v>
      </c>
      <c r="D140" s="209">
        <f>(PCS!I146-PCS!F146)/C140</f>
        <v>16.246999161811527</v>
      </c>
      <c r="E140" s="522">
        <f>'Péréquation directe'!E146/C140</f>
        <v>-4.8594597423143417</v>
      </c>
      <c r="F140" s="209">
        <f>'Péréquation directe'!F146/Effort!C140</f>
        <v>0</v>
      </c>
      <c r="G140" s="209">
        <f>'Péréquation directe'!G146/Effort!C140</f>
        <v>-3.2086039497628867</v>
      </c>
      <c r="H140" s="209">
        <f>'Péréquation directe'!J146/Effort!C140</f>
        <v>19.156307202306365</v>
      </c>
      <c r="I140" s="381">
        <f t="shared" si="6"/>
        <v>27.335242672040664</v>
      </c>
      <c r="J140" s="226">
        <f t="shared" si="7"/>
        <v>0</v>
      </c>
      <c r="K140" s="42">
        <f t="shared" si="8"/>
        <v>0</v>
      </c>
      <c r="L140" s="240"/>
    </row>
    <row r="141" spans="1:12" x14ac:dyDescent="0.25">
      <c r="A141" s="38">
        <f>Données!A141</f>
        <v>5639</v>
      </c>
      <c r="B141" s="171" t="str">
        <f>Données!B141</f>
        <v>Lully</v>
      </c>
      <c r="C141" s="353">
        <f>VPI!R141</f>
        <v>45737.117540983607</v>
      </c>
      <c r="D141" s="209">
        <f>(PCS!I147-PCS!F147)/C141</f>
        <v>16.643238945349456</v>
      </c>
      <c r="E141" s="522">
        <f>'Péréquation directe'!E147/C141</f>
        <v>-2.2365865104870446</v>
      </c>
      <c r="F141" s="209">
        <f>'Péréquation directe'!F147/Effort!C141</f>
        <v>0</v>
      </c>
      <c r="G141" s="209">
        <f>'Péréquation directe'!G147/Effort!C141</f>
        <v>0</v>
      </c>
      <c r="H141" s="209">
        <f>'Péréquation directe'!J147/Effort!C141</f>
        <v>19.156307202306365</v>
      </c>
      <c r="I141" s="381">
        <f t="shared" si="6"/>
        <v>33.562959637168774</v>
      </c>
      <c r="J141" s="226">
        <f t="shared" si="7"/>
        <v>0</v>
      </c>
      <c r="K141" s="42">
        <f t="shared" si="8"/>
        <v>0</v>
      </c>
      <c r="L141" s="240"/>
    </row>
    <row r="142" spans="1:12" x14ac:dyDescent="0.25">
      <c r="A142" s="38">
        <f>Données!A142</f>
        <v>5640</v>
      </c>
      <c r="B142" s="171" t="str">
        <f>Données!B142</f>
        <v>Lussy-sur-Morges</v>
      </c>
      <c r="C142" s="353">
        <f>VPI!R142</f>
        <v>57022.810752581783</v>
      </c>
      <c r="D142" s="209">
        <f>(PCS!I148-PCS!F148)/C142</f>
        <v>22.865730173781007</v>
      </c>
      <c r="E142" s="522">
        <f>'Péréquation directe'!E148/C142</f>
        <v>-1.5699619269829368</v>
      </c>
      <c r="F142" s="209">
        <f>'Péréquation directe'!F148/Effort!C142</f>
        <v>0</v>
      </c>
      <c r="G142" s="209">
        <f>'Péréquation directe'!G148/Effort!C142</f>
        <v>0</v>
      </c>
      <c r="H142" s="209">
        <f>'Péréquation directe'!J148/Effort!C142</f>
        <v>19.156307202306365</v>
      </c>
      <c r="I142" s="381">
        <f t="shared" si="6"/>
        <v>40.452075449104434</v>
      </c>
      <c r="J142" s="226">
        <f t="shared" si="7"/>
        <v>0</v>
      </c>
      <c r="K142" s="42">
        <f t="shared" si="8"/>
        <v>0</v>
      </c>
      <c r="L142" s="240"/>
    </row>
    <row r="143" spans="1:12" x14ac:dyDescent="0.25">
      <c r="A143" s="38">
        <f>Données!A143</f>
        <v>5642</v>
      </c>
      <c r="B143" s="171" t="str">
        <f>Données!B143</f>
        <v>Morges</v>
      </c>
      <c r="C143" s="353">
        <f>VPI!R143</f>
        <v>872528.88072343986</v>
      </c>
      <c r="D143" s="209">
        <f>(PCS!I149-PCS!F149)/C143</f>
        <v>16.587459062861011</v>
      </c>
      <c r="E143" s="522">
        <f>'Péréquation directe'!E149/C143</f>
        <v>-12.420018048795063</v>
      </c>
      <c r="F143" s="209">
        <f>'Péréquation directe'!F149/Effort!C143</f>
        <v>0</v>
      </c>
      <c r="G143" s="209">
        <f>'Péréquation directe'!G149/Effort!C143</f>
        <v>-0.7816356922121529</v>
      </c>
      <c r="H143" s="209">
        <f>'Péréquation directe'!J149/Effort!C143</f>
        <v>19.156307202306365</v>
      </c>
      <c r="I143" s="381">
        <f t="shared" si="6"/>
        <v>22.54211252416016</v>
      </c>
      <c r="J143" s="226">
        <f t="shared" si="7"/>
        <v>0</v>
      </c>
      <c r="K143" s="42">
        <f t="shared" si="8"/>
        <v>0</v>
      </c>
      <c r="L143" s="240"/>
    </row>
    <row r="144" spans="1:12" x14ac:dyDescent="0.25">
      <c r="A144" s="38">
        <f>Données!A144</f>
        <v>5643</v>
      </c>
      <c r="B144" s="171" t="str">
        <f>Données!B144</f>
        <v>Préverenges</v>
      </c>
      <c r="C144" s="353">
        <f>VPI!R144</f>
        <v>262179.27559609117</v>
      </c>
      <c r="D144" s="209">
        <f>(PCS!I150-PCS!F150)/C144</f>
        <v>15.563016002077685</v>
      </c>
      <c r="E144" s="522">
        <f>'Péréquation directe'!E150/C144</f>
        <v>-7.4519547133889308</v>
      </c>
      <c r="F144" s="209">
        <f>'Péréquation directe'!F150/Effort!C144</f>
        <v>0</v>
      </c>
      <c r="G144" s="209">
        <f>'Péréquation directe'!G150/Effort!C144</f>
        <v>0</v>
      </c>
      <c r="H144" s="209">
        <f>'Péréquation directe'!J150/Effort!C144</f>
        <v>19.156307202306365</v>
      </c>
      <c r="I144" s="381">
        <f t="shared" si="6"/>
        <v>27.267368490995118</v>
      </c>
      <c r="J144" s="226">
        <f t="shared" si="7"/>
        <v>0</v>
      </c>
      <c r="K144" s="42">
        <f t="shared" si="8"/>
        <v>0</v>
      </c>
      <c r="L144" s="240"/>
    </row>
    <row r="145" spans="1:12" x14ac:dyDescent="0.25">
      <c r="A145" s="38">
        <f>Données!A145</f>
        <v>5645</v>
      </c>
      <c r="B145" s="171" t="str">
        <f>Données!B145</f>
        <v>Romanel-sur-Morges</v>
      </c>
      <c r="C145" s="353">
        <f>VPI!R145</f>
        <v>27311.487285492814</v>
      </c>
      <c r="D145" s="209">
        <f>(PCS!I151-PCS!F151)/C145</f>
        <v>17.282861721860687</v>
      </c>
      <c r="E145" s="522">
        <f>'Péréquation directe'!E151/C145</f>
        <v>-2.1156367838462002</v>
      </c>
      <c r="F145" s="209">
        <f>'Péréquation directe'!F151/Effort!C145</f>
        <v>0</v>
      </c>
      <c r="G145" s="209">
        <f>'Péréquation directe'!G151/Effort!C145</f>
        <v>-2.5626882035172249</v>
      </c>
      <c r="H145" s="209">
        <f>'Péréquation directe'!J151/Effort!C145</f>
        <v>19.156307202306365</v>
      </c>
      <c r="I145" s="381">
        <f t="shared" si="6"/>
        <v>31.760843936803628</v>
      </c>
      <c r="J145" s="226">
        <f t="shared" si="7"/>
        <v>0</v>
      </c>
      <c r="K145" s="42">
        <f t="shared" si="8"/>
        <v>0</v>
      </c>
      <c r="L145" s="240"/>
    </row>
    <row r="146" spans="1:12" x14ac:dyDescent="0.25">
      <c r="A146" s="38">
        <f>Données!A146</f>
        <v>5646</v>
      </c>
      <c r="B146" s="171" t="str">
        <f>Données!B146</f>
        <v>Saint-Prex</v>
      </c>
      <c r="C146" s="353">
        <f>VPI!R146</f>
        <v>536854.93998205999</v>
      </c>
      <c r="D146" s="209">
        <f>(PCS!I152-PCS!F152)/C146</f>
        <v>23.561155429094981</v>
      </c>
      <c r="E146" s="522">
        <f>'Péréquation directe'!E152/C146</f>
        <v>-4.3310299220322301</v>
      </c>
      <c r="F146" s="209">
        <f>'Péréquation directe'!F152/Effort!C146</f>
        <v>0</v>
      </c>
      <c r="G146" s="209">
        <f>'Péréquation directe'!G152/Effort!C146</f>
        <v>0</v>
      </c>
      <c r="H146" s="209">
        <f>'Péréquation directe'!J152/Effort!C146</f>
        <v>19.156307202306365</v>
      </c>
      <c r="I146" s="381">
        <f t="shared" si="6"/>
        <v>38.386432709369117</v>
      </c>
      <c r="J146" s="226">
        <f t="shared" si="7"/>
        <v>0</v>
      </c>
      <c r="K146" s="42">
        <f t="shared" si="8"/>
        <v>0</v>
      </c>
      <c r="L146" s="240"/>
    </row>
    <row r="147" spans="1:12" x14ac:dyDescent="0.25">
      <c r="A147" s="38">
        <f>Données!A147</f>
        <v>5648</v>
      </c>
      <c r="B147" s="171" t="str">
        <f>Données!B147</f>
        <v>Saint-Sulpice</v>
      </c>
      <c r="C147" s="353">
        <f>VPI!R147</f>
        <v>395932.06546066038</v>
      </c>
      <c r="D147" s="209">
        <f>(PCS!I153-PCS!F153)/C147</f>
        <v>21.802057515168787</v>
      </c>
      <c r="E147" s="522">
        <f>'Péréquation directe'!E153/C147</f>
        <v>-4.4582852019239905</v>
      </c>
      <c r="F147" s="209">
        <f>'Péréquation directe'!F153/Effort!C147</f>
        <v>0</v>
      </c>
      <c r="G147" s="209">
        <f>'Péréquation directe'!G153/Effort!C147</f>
        <v>0</v>
      </c>
      <c r="H147" s="209">
        <f>'Péréquation directe'!J153/Effort!C147</f>
        <v>19.156307202306365</v>
      </c>
      <c r="I147" s="381">
        <f t="shared" si="6"/>
        <v>36.500079515551164</v>
      </c>
      <c r="J147" s="226">
        <f t="shared" si="7"/>
        <v>0</v>
      </c>
      <c r="K147" s="42">
        <f t="shared" si="8"/>
        <v>0</v>
      </c>
      <c r="L147" s="240"/>
    </row>
    <row r="148" spans="1:12" x14ac:dyDescent="0.25">
      <c r="A148" s="38">
        <f>Données!A148</f>
        <v>5649</v>
      </c>
      <c r="B148" s="171" t="str">
        <f>Données!B148</f>
        <v>Tolochenaz</v>
      </c>
      <c r="C148" s="353">
        <f>VPI!R148</f>
        <v>197599.65546190951</v>
      </c>
      <c r="D148" s="209">
        <f>(PCS!I154-PCS!F154)/C148</f>
        <v>27.877761713552964</v>
      </c>
      <c r="E148" s="522">
        <f>'Péréquation directe'!E154/C148</f>
        <v>-2.1894761780795799</v>
      </c>
      <c r="F148" s="209">
        <f>'Péréquation directe'!F154/Effort!C148</f>
        <v>0</v>
      </c>
      <c r="G148" s="209">
        <f>'Péréquation directe'!G154/Effort!C148</f>
        <v>0</v>
      </c>
      <c r="H148" s="209">
        <f>'Péréquation directe'!J154/Effort!C148</f>
        <v>19.156307202306365</v>
      </c>
      <c r="I148" s="381">
        <f t="shared" si="6"/>
        <v>44.844592737779749</v>
      </c>
      <c r="J148" s="226">
        <f t="shared" si="7"/>
        <v>0</v>
      </c>
      <c r="K148" s="42">
        <f t="shared" si="8"/>
        <v>0</v>
      </c>
      <c r="L148" s="240"/>
    </row>
    <row r="149" spans="1:12" x14ac:dyDescent="0.25">
      <c r="A149" s="38">
        <f>Données!A149</f>
        <v>5650</v>
      </c>
      <c r="B149" s="171" t="str">
        <f>Données!B149</f>
        <v>Vaux-sur-Morges</v>
      </c>
      <c r="C149" s="353">
        <f>VPI!R149</f>
        <v>63000.299031725983</v>
      </c>
      <c r="D149" s="209">
        <f>(PCS!I155-PCS!F155)/C149</f>
        <v>40.477089936290696</v>
      </c>
      <c r="E149" s="522">
        <f>'Péréquation directe'!E155/C149</f>
        <v>-0.38182086979824353</v>
      </c>
      <c r="F149" s="209">
        <f>'Péréquation directe'!F155/Effort!C149</f>
        <v>0</v>
      </c>
      <c r="G149" s="209">
        <f>'Péréquation directe'!G155/Effort!C149</f>
        <v>0</v>
      </c>
      <c r="H149" s="209">
        <f>'Péréquation directe'!J155/Effort!C149</f>
        <v>19.156307202306365</v>
      </c>
      <c r="I149" s="381">
        <f t="shared" si="6"/>
        <v>59.251576268798814</v>
      </c>
      <c r="J149" s="226">
        <f t="shared" si="7"/>
        <v>11.251576268798814</v>
      </c>
      <c r="K149" s="42">
        <f t="shared" si="8"/>
        <v>-708852.66951259703</v>
      </c>
      <c r="L149" s="240"/>
    </row>
    <row r="150" spans="1:12" x14ac:dyDescent="0.25">
      <c r="A150" s="38">
        <f>Données!A150</f>
        <v>5651</v>
      </c>
      <c r="B150" s="171" t="str">
        <f>Données!B150</f>
        <v>Villars-Sainte-Croix</v>
      </c>
      <c r="C150" s="353">
        <f>VPI!R150</f>
        <v>55609.921242717981</v>
      </c>
      <c r="D150" s="209">
        <f>(PCS!I156-PCS!F156)/C150</f>
        <v>17.351185659914108</v>
      </c>
      <c r="E150" s="522">
        <f>'Péréquation directe'!E156/C150</f>
        <v>-2.136061599248853</v>
      </c>
      <c r="F150" s="209">
        <f>'Péréquation directe'!F156/Effort!C150</f>
        <v>0</v>
      </c>
      <c r="G150" s="209">
        <f>'Péréquation directe'!G156/Effort!C150</f>
        <v>0</v>
      </c>
      <c r="H150" s="209">
        <f>'Péréquation directe'!J156/Effort!C150</f>
        <v>19.156307202306365</v>
      </c>
      <c r="I150" s="381">
        <f t="shared" si="6"/>
        <v>34.371431262971619</v>
      </c>
      <c r="J150" s="226">
        <f t="shared" si="7"/>
        <v>0</v>
      </c>
      <c r="K150" s="42">
        <f t="shared" si="8"/>
        <v>0</v>
      </c>
      <c r="L150" s="240"/>
    </row>
    <row r="151" spans="1:12" x14ac:dyDescent="0.25">
      <c r="A151" s="38">
        <f>Données!A151</f>
        <v>5652</v>
      </c>
      <c r="B151" s="171" t="str">
        <f>Données!B151</f>
        <v>Villars-sous-Yens</v>
      </c>
      <c r="C151" s="353">
        <f>VPI!R151</f>
        <v>25655.145757874605</v>
      </c>
      <c r="D151" s="209">
        <f>(PCS!I157-PCS!F157)/C151</f>
        <v>14.600235590898022</v>
      </c>
      <c r="E151" s="522">
        <f>'Péréquation directe'!E157/C151</f>
        <v>-2.9723583894646937</v>
      </c>
      <c r="F151" s="209">
        <f>'Péréquation directe'!F157/Effort!C151</f>
        <v>-2.4653777742291751</v>
      </c>
      <c r="G151" s="209">
        <f>'Péréquation directe'!G157/Effort!C151</f>
        <v>-0.54471042903597577</v>
      </c>
      <c r="H151" s="209">
        <f>'Péréquation directe'!J157/Effort!C151</f>
        <v>19.156307202306365</v>
      </c>
      <c r="I151" s="381">
        <f t="shared" si="6"/>
        <v>27.774096200474546</v>
      </c>
      <c r="J151" s="226">
        <f t="shared" si="7"/>
        <v>0</v>
      </c>
      <c r="K151" s="42">
        <f t="shared" si="8"/>
        <v>0</v>
      </c>
      <c r="L151" s="240"/>
    </row>
    <row r="152" spans="1:12" x14ac:dyDescent="0.25">
      <c r="A152" s="38">
        <f>Données!A152</f>
        <v>5653</v>
      </c>
      <c r="B152" s="171" t="str">
        <f>Données!B152</f>
        <v>Vufflens-le-Château</v>
      </c>
      <c r="C152" s="353">
        <f>VPI!R152</f>
        <v>68766.939221326931</v>
      </c>
      <c r="D152" s="209">
        <f>(PCS!I158-PCS!F158)/C152</f>
        <v>21.939381849486089</v>
      </c>
      <c r="E152" s="522">
        <f>'Péréquation directe'!E158/C152</f>
        <v>-1.5687007406822331</v>
      </c>
      <c r="F152" s="209">
        <f>'Péréquation directe'!F158/Effort!C152</f>
        <v>0</v>
      </c>
      <c r="G152" s="209">
        <f>'Péréquation directe'!G158/Effort!C152</f>
        <v>0</v>
      </c>
      <c r="H152" s="209">
        <f>'Péréquation directe'!J158/Effort!C152</f>
        <v>19.156307202306365</v>
      </c>
      <c r="I152" s="381">
        <f t="shared" si="6"/>
        <v>39.526988311110223</v>
      </c>
      <c r="J152" s="226">
        <f t="shared" si="7"/>
        <v>0</v>
      </c>
      <c r="K152" s="42">
        <f t="shared" si="8"/>
        <v>0</v>
      </c>
      <c r="L152" s="240"/>
    </row>
    <row r="153" spans="1:12" x14ac:dyDescent="0.25">
      <c r="A153" s="38">
        <f>Données!A153</f>
        <v>5654</v>
      </c>
      <c r="B153" s="171" t="str">
        <f>Données!B153</f>
        <v>Vullierens</v>
      </c>
      <c r="C153" s="353">
        <f>VPI!R153</f>
        <v>19265.305994004091</v>
      </c>
      <c r="D153" s="209">
        <f>(PCS!I159-PCS!F159)/C153</f>
        <v>14.600235590898018</v>
      </c>
      <c r="E153" s="522">
        <f>'Péréquation directe'!E159/C153</f>
        <v>-3.4883810509491688</v>
      </c>
      <c r="F153" s="209">
        <f>'Péréquation directe'!F159/Effort!C153</f>
        <v>-6.9002905786672448</v>
      </c>
      <c r="G153" s="209">
        <f>'Péréquation directe'!G159/Effort!C153</f>
        <v>-1.3081891377079209</v>
      </c>
      <c r="H153" s="209">
        <f>'Péréquation directe'!J159/Effort!C153</f>
        <v>19.156307202306365</v>
      </c>
      <c r="I153" s="381">
        <f t="shared" si="6"/>
        <v>22.059682025880051</v>
      </c>
      <c r="J153" s="226">
        <f t="shared" si="7"/>
        <v>0</v>
      </c>
      <c r="K153" s="42">
        <f t="shared" si="8"/>
        <v>0</v>
      </c>
      <c r="L153" s="240"/>
    </row>
    <row r="154" spans="1:12" x14ac:dyDescent="0.25">
      <c r="A154" s="38">
        <f>Données!A154</f>
        <v>5655</v>
      </c>
      <c r="B154" s="171" t="str">
        <f>Données!B154</f>
        <v>Yens</v>
      </c>
      <c r="C154" s="353">
        <f>VPI!R154</f>
        <v>90850.412022589255</v>
      </c>
      <c r="D154" s="209">
        <f>(PCS!I160-PCS!F160)/C154</f>
        <v>18.840817745832862</v>
      </c>
      <c r="E154" s="522">
        <f>'Péréquation directe'!E160/C154</f>
        <v>-3.1991252943836281</v>
      </c>
      <c r="F154" s="209">
        <f>'Péréquation directe'!F160/Effort!C154</f>
        <v>0</v>
      </c>
      <c r="G154" s="209">
        <f>'Péréquation directe'!G160/Effort!C154</f>
        <v>0</v>
      </c>
      <c r="H154" s="209">
        <f>'Péréquation directe'!J160/Effort!C154</f>
        <v>19.156307202306365</v>
      </c>
      <c r="I154" s="381">
        <f t="shared" si="6"/>
        <v>34.797999653755596</v>
      </c>
      <c r="J154" s="226">
        <f t="shared" si="7"/>
        <v>0</v>
      </c>
      <c r="K154" s="42">
        <f t="shared" si="8"/>
        <v>0</v>
      </c>
      <c r="L154" s="240"/>
    </row>
    <row r="155" spans="1:12" x14ac:dyDescent="0.25">
      <c r="A155" s="38">
        <f>Données!A155</f>
        <v>5656</v>
      </c>
      <c r="B155" s="171" t="str">
        <f>Données!B155</f>
        <v>Hautemorges</v>
      </c>
      <c r="C155" s="353">
        <f>VPI!R155</f>
        <v>160995.06048587704</v>
      </c>
      <c r="D155" s="209">
        <f>(PCS!I161-PCS!F161)/C155</f>
        <v>14.600235590898018</v>
      </c>
      <c r="E155" s="522">
        <f>'Péréquation directe'!E161/C155</f>
        <v>-8.4749778865698833</v>
      </c>
      <c r="F155" s="209">
        <f>'Péréquation directe'!F161/Effort!C155</f>
        <v>-3.8600827205734722</v>
      </c>
      <c r="G155" s="209">
        <f>'Péréquation directe'!G161/Effort!C155</f>
        <v>0</v>
      </c>
      <c r="H155" s="209">
        <f>'Péréquation directe'!J161/Effort!C155</f>
        <v>19.156307202306365</v>
      </c>
      <c r="I155" s="381">
        <f t="shared" si="6"/>
        <v>21.421482186061027</v>
      </c>
      <c r="J155" s="226">
        <f t="shared" si="7"/>
        <v>0</v>
      </c>
      <c r="K155" s="42">
        <f t="shared" si="8"/>
        <v>0</v>
      </c>
      <c r="L155" s="240"/>
    </row>
    <row r="156" spans="1:12" x14ac:dyDescent="0.25">
      <c r="A156" s="38">
        <f>Données!A156</f>
        <v>5661</v>
      </c>
      <c r="B156" s="171" t="str">
        <f>Données!B156</f>
        <v>Boulens</v>
      </c>
      <c r="C156" s="353">
        <f>VPI!R156</f>
        <v>10163.82569082424</v>
      </c>
      <c r="D156" s="209">
        <f>(PCS!I162-PCS!F162)/C156</f>
        <v>14.60023559089802</v>
      </c>
      <c r="E156" s="522">
        <f>'Péréquation directe'!E162/C156</f>
        <v>-4.5016290152556184</v>
      </c>
      <c r="F156" s="209">
        <f>'Péréquation directe'!F162/Effort!C156</f>
        <v>-13.814903176231429</v>
      </c>
      <c r="G156" s="209">
        <f>'Péréquation directe'!G162/Effort!C156</f>
        <v>-1.3447082966230461</v>
      </c>
      <c r="H156" s="209">
        <f>'Péréquation directe'!J162/Effort!C156</f>
        <v>19.156307202306365</v>
      </c>
      <c r="I156" s="381">
        <f t="shared" si="6"/>
        <v>14.095302305094293</v>
      </c>
      <c r="J156" s="226">
        <f t="shared" si="7"/>
        <v>0</v>
      </c>
      <c r="K156" s="42">
        <f t="shared" si="8"/>
        <v>0</v>
      </c>
      <c r="L156" s="240"/>
    </row>
    <row r="157" spans="1:12" x14ac:dyDescent="0.25">
      <c r="A157" s="38">
        <f>Données!A157</f>
        <v>5663</v>
      </c>
      <c r="B157" s="171" t="str">
        <f>Données!B157</f>
        <v>Bussy-sur-Moudon</v>
      </c>
      <c r="C157" s="353">
        <f>VPI!R157</f>
        <v>5406.7758852371026</v>
      </c>
      <c r="D157" s="209">
        <f>(PCS!I163-PCS!F163)/C157</f>
        <v>14.60023559089802</v>
      </c>
      <c r="E157" s="522">
        <f>'Péréquation directe'!E163/C157</f>
        <v>-5.0223420842270867</v>
      </c>
      <c r="F157" s="209">
        <f>'Péréquation directe'!F163/Effort!C157</f>
        <v>-22.253504711210038</v>
      </c>
      <c r="G157" s="209">
        <f>'Péréquation directe'!G163/Effort!C157</f>
        <v>0</v>
      </c>
      <c r="H157" s="209">
        <f>'Péréquation directe'!J163/Effort!C157</f>
        <v>19.156307202306365</v>
      </c>
      <c r="I157" s="381">
        <f t="shared" si="6"/>
        <v>6.4806959977672598</v>
      </c>
      <c r="J157" s="226">
        <f t="shared" si="7"/>
        <v>0</v>
      </c>
      <c r="K157" s="42">
        <f t="shared" si="8"/>
        <v>0</v>
      </c>
      <c r="L157" s="240"/>
    </row>
    <row r="158" spans="1:12" x14ac:dyDescent="0.25">
      <c r="A158" s="38">
        <f>Données!A158</f>
        <v>5665</v>
      </c>
      <c r="B158" s="171" t="str">
        <f>Données!B158</f>
        <v>Chavannes-sur-Moudon</v>
      </c>
      <c r="C158" s="353">
        <f>VPI!R158</f>
        <v>6834.7640808977276</v>
      </c>
      <c r="D158" s="209">
        <f>(PCS!I164-PCS!F164)/C158</f>
        <v>14.60023559089802</v>
      </c>
      <c r="E158" s="522">
        <f>'Péréquation directe'!E164/C158</f>
        <v>-4.0455901032226125</v>
      </c>
      <c r="F158" s="209">
        <f>'Péréquation directe'!F164/Effort!C158</f>
        <v>-10.784560345653642</v>
      </c>
      <c r="G158" s="209">
        <f>'Péréquation directe'!G164/Effort!C158</f>
        <v>-0.33679683922965081</v>
      </c>
      <c r="H158" s="209">
        <f>'Péréquation directe'!J164/Effort!C158</f>
        <v>19.156307202306365</v>
      </c>
      <c r="I158" s="381">
        <f t="shared" si="6"/>
        <v>18.58959550509848</v>
      </c>
      <c r="J158" s="226">
        <f t="shared" si="7"/>
        <v>0</v>
      </c>
      <c r="K158" s="42">
        <f t="shared" si="8"/>
        <v>0</v>
      </c>
      <c r="L158" s="240"/>
    </row>
    <row r="159" spans="1:12" x14ac:dyDescent="0.25">
      <c r="A159" s="38">
        <f>Données!A159</f>
        <v>5669</v>
      </c>
      <c r="B159" s="171" t="str">
        <f>Données!B159</f>
        <v>Curtilles</v>
      </c>
      <c r="C159" s="353">
        <f>VPI!R159</f>
        <v>10284.99372876246</v>
      </c>
      <c r="D159" s="209">
        <f>(PCS!I165-PCS!F165)/C159</f>
        <v>14.600235590898018</v>
      </c>
      <c r="E159" s="522">
        <f>'Péréquation directe'!E165/C159</f>
        <v>-3.6287997915077317</v>
      </c>
      <c r="F159" s="209">
        <f>'Péréquation directe'!F165/Effort!C159</f>
        <v>-7.479704946788817</v>
      </c>
      <c r="G159" s="209">
        <f>'Péréquation directe'!G165/Effort!C159</f>
        <v>0</v>
      </c>
      <c r="H159" s="209">
        <f>'Péréquation directe'!J165/Effort!C159</f>
        <v>19.156307202306365</v>
      </c>
      <c r="I159" s="381">
        <f t="shared" si="6"/>
        <v>22.648038054907836</v>
      </c>
      <c r="J159" s="226">
        <f t="shared" si="7"/>
        <v>0</v>
      </c>
      <c r="K159" s="42">
        <f t="shared" si="8"/>
        <v>0</v>
      </c>
      <c r="L159" s="240"/>
    </row>
    <row r="160" spans="1:12" x14ac:dyDescent="0.25">
      <c r="A160" s="38">
        <f>Données!A160</f>
        <v>5671</v>
      </c>
      <c r="B160" s="171" t="str">
        <f>Données!B160</f>
        <v>Dompierre</v>
      </c>
      <c r="C160" s="353">
        <f>VPI!R160</f>
        <v>6033.0922485669453</v>
      </c>
      <c r="D160" s="209">
        <f>(PCS!I166-PCS!F166)/C160</f>
        <v>14.60023559089802</v>
      </c>
      <c r="E160" s="522">
        <f>'Péréquation directe'!E166/C160</f>
        <v>-5.0353152040690974</v>
      </c>
      <c r="F160" s="209">
        <f>'Péréquation directe'!F166/Effort!C160</f>
        <v>-21.272179733132258</v>
      </c>
      <c r="G160" s="209">
        <f>'Péréquation directe'!G166/Effort!C160</f>
        <v>-7.7785063737000462</v>
      </c>
      <c r="H160" s="209">
        <f>'Péréquation directe'!J166/Effort!C160</f>
        <v>19.156307202306365</v>
      </c>
      <c r="I160" s="381">
        <f t="shared" si="6"/>
        <v>-0.32945851769701662</v>
      </c>
      <c r="J160" s="226">
        <f t="shared" si="7"/>
        <v>0</v>
      </c>
      <c r="K160" s="42">
        <f t="shared" si="8"/>
        <v>0</v>
      </c>
      <c r="L160" s="240"/>
    </row>
    <row r="161" spans="1:12" x14ac:dyDescent="0.25">
      <c r="A161" s="38">
        <f>Données!A161</f>
        <v>5673</v>
      </c>
      <c r="B161" s="171" t="str">
        <f>Données!B161</f>
        <v>Hermenches</v>
      </c>
      <c r="C161" s="353">
        <f>VPI!R161</f>
        <v>10638.00475305371</v>
      </c>
      <c r="D161" s="209">
        <f>(PCS!I167-PCS!F167)/C161</f>
        <v>14.600235590898022</v>
      </c>
      <c r="E161" s="522">
        <f>'Péréquation directe'!E167/C161</f>
        <v>-4.4758094396308197</v>
      </c>
      <c r="F161" s="209">
        <f>'Péréquation directe'!F167/Effort!C161</f>
        <v>-14.391028846369364</v>
      </c>
      <c r="G161" s="209">
        <f>'Péréquation directe'!G167/Effort!C161</f>
        <v>-5.1202710641064186</v>
      </c>
      <c r="H161" s="209">
        <f>'Péréquation directe'!J167/Effort!C161</f>
        <v>19.156307202306365</v>
      </c>
      <c r="I161" s="381">
        <f t="shared" si="6"/>
        <v>9.7694334430977836</v>
      </c>
      <c r="J161" s="226">
        <f t="shared" si="7"/>
        <v>0</v>
      </c>
      <c r="K161" s="42">
        <f t="shared" si="8"/>
        <v>0</v>
      </c>
      <c r="L161" s="240"/>
    </row>
    <row r="162" spans="1:12" x14ac:dyDescent="0.25">
      <c r="A162" s="38">
        <f>Données!A162</f>
        <v>5674</v>
      </c>
      <c r="B162" s="171" t="str">
        <f>Données!B162</f>
        <v>Lovatens</v>
      </c>
      <c r="C162" s="353">
        <f>VPI!R162</f>
        <v>3430.6671539886806</v>
      </c>
      <c r="D162" s="209">
        <f>(PCS!I168-PCS!F168)/C162</f>
        <v>14.600235590898018</v>
      </c>
      <c r="E162" s="522">
        <f>'Péréquation directe'!E168/C162</f>
        <v>-5.1322795441323503</v>
      </c>
      <c r="F162" s="209">
        <f>'Péréquation directe'!F168/Effort!C162</f>
        <v>-20.478891665901273</v>
      </c>
      <c r="G162" s="209">
        <f>'Péréquation directe'!G168/Effort!C162</f>
        <v>-8.6811823296356359</v>
      </c>
      <c r="H162" s="209">
        <f>'Péréquation directe'!J168/Effort!C162</f>
        <v>19.156307202306365</v>
      </c>
      <c r="I162" s="381">
        <f t="shared" si="6"/>
        <v>-0.53581074646487536</v>
      </c>
      <c r="J162" s="226">
        <f t="shared" si="7"/>
        <v>0</v>
      </c>
      <c r="K162" s="42">
        <f t="shared" si="8"/>
        <v>0</v>
      </c>
      <c r="L162" s="240"/>
    </row>
    <row r="163" spans="1:12" x14ac:dyDescent="0.25">
      <c r="A163" s="38">
        <f>Données!A163</f>
        <v>5675</v>
      </c>
      <c r="B163" s="171" t="str">
        <f>Données!B163</f>
        <v>Lucens</v>
      </c>
      <c r="C163" s="353">
        <f>VPI!R163</f>
        <v>96952.062979645387</v>
      </c>
      <c r="D163" s="209">
        <f>(PCS!I169-PCS!F169)/C163</f>
        <v>14.60023559089802</v>
      </c>
      <c r="E163" s="522">
        <f>'Péréquation directe'!E169/C163</f>
        <v>-15.137300952947289</v>
      </c>
      <c r="F163" s="209">
        <f>'Péréquation directe'!F169/Effort!C163</f>
        <v>-19.154534617876021</v>
      </c>
      <c r="G163" s="209">
        <f>'Péréquation directe'!G169/Effort!C163</f>
        <v>-6.0022201099970465</v>
      </c>
      <c r="H163" s="209">
        <f>'Péréquation directe'!J169/Effort!C163</f>
        <v>19.156307202306365</v>
      </c>
      <c r="I163" s="381">
        <f t="shared" si="6"/>
        <v>-6.5375128876159714</v>
      </c>
      <c r="J163" s="226">
        <f t="shared" si="7"/>
        <v>0</v>
      </c>
      <c r="K163" s="42">
        <f t="shared" si="8"/>
        <v>0</v>
      </c>
      <c r="L163" s="240"/>
    </row>
    <row r="164" spans="1:12" x14ac:dyDescent="0.25">
      <c r="A164" s="38">
        <f>Données!A164</f>
        <v>5678</v>
      </c>
      <c r="B164" s="171" t="str">
        <f>Données!B164</f>
        <v>Moudon</v>
      </c>
      <c r="C164" s="353">
        <f>VPI!R164</f>
        <v>124861.70956096463</v>
      </c>
      <c r="D164" s="209">
        <f>(PCS!I170-PCS!F170)/C164</f>
        <v>14.60023559089802</v>
      </c>
      <c r="E164" s="522">
        <f>'Péréquation directe'!E170/C164</f>
        <v>-19.784740637635132</v>
      </c>
      <c r="F164" s="209">
        <f>'Péréquation directe'!F170/Effort!C164</f>
        <v>-26.443321240854896</v>
      </c>
      <c r="G164" s="209">
        <f>'Péréquation directe'!G170/Effort!C164</f>
        <v>-9.801057080967599</v>
      </c>
      <c r="H164" s="209">
        <f>'Péréquation directe'!J170/Effort!C164</f>
        <v>19.156307202306365</v>
      </c>
      <c r="I164" s="381">
        <f t="shared" si="6"/>
        <v>-22.272576166253245</v>
      </c>
      <c r="J164" s="226">
        <f t="shared" si="7"/>
        <v>0</v>
      </c>
      <c r="K164" s="42">
        <f t="shared" si="8"/>
        <v>0</v>
      </c>
      <c r="L164" s="240"/>
    </row>
    <row r="165" spans="1:12" x14ac:dyDescent="0.25">
      <c r="A165" s="38">
        <f>Données!A165</f>
        <v>5680</v>
      </c>
      <c r="B165" s="171" t="str">
        <f>Données!B165</f>
        <v>Ogens</v>
      </c>
      <c r="C165" s="353">
        <f>VPI!R165</f>
        <v>8674.1647445530853</v>
      </c>
      <c r="D165" s="209">
        <f>(PCS!I171-PCS!F171)/C165</f>
        <v>14.600235590898022</v>
      </c>
      <c r="E165" s="522">
        <f>'Péréquation directe'!E171/C165</f>
        <v>-4.302683220540386</v>
      </c>
      <c r="F165" s="209">
        <f>'Péréquation directe'!F171/Effort!C165</f>
        <v>-14.639879067312732</v>
      </c>
      <c r="G165" s="209">
        <f>'Péréquation directe'!G171/Effort!C165</f>
        <v>-0.71123579310148866</v>
      </c>
      <c r="H165" s="209">
        <f>'Péréquation directe'!J171/Effort!C165</f>
        <v>19.156307202306365</v>
      </c>
      <c r="I165" s="381">
        <f t="shared" si="6"/>
        <v>14.10274471224978</v>
      </c>
      <c r="J165" s="226">
        <f t="shared" si="7"/>
        <v>0</v>
      </c>
      <c r="K165" s="42">
        <f t="shared" si="8"/>
        <v>0</v>
      </c>
      <c r="L165" s="240"/>
    </row>
    <row r="166" spans="1:12" x14ac:dyDescent="0.25">
      <c r="A166" s="38">
        <f>Données!A166</f>
        <v>5683</v>
      </c>
      <c r="B166" s="171" t="str">
        <f>Données!B166</f>
        <v>Prévonloup</v>
      </c>
      <c r="C166" s="353">
        <f>VPI!R166</f>
        <v>5010.6526896551723</v>
      </c>
      <c r="D166" s="209">
        <f>(PCS!I172-PCS!F172)/C166</f>
        <v>14.600235590898018</v>
      </c>
      <c r="E166" s="522">
        <f>'Péréquation directe'!E172/C166</f>
        <v>-4.9987062036479548</v>
      </c>
      <c r="F166" s="209">
        <f>'Péréquation directe'!F172/Effort!C166</f>
        <v>-18.091702584872852</v>
      </c>
      <c r="G166" s="209">
        <f>'Péréquation directe'!G172/Effort!C166</f>
        <v>0</v>
      </c>
      <c r="H166" s="209">
        <f>'Péréquation directe'!J172/Effort!C166</f>
        <v>19.156307202306365</v>
      </c>
      <c r="I166" s="381">
        <f t="shared" si="6"/>
        <v>10.666134004683578</v>
      </c>
      <c r="J166" s="226">
        <f t="shared" si="7"/>
        <v>0</v>
      </c>
      <c r="K166" s="42">
        <f t="shared" si="8"/>
        <v>0</v>
      </c>
      <c r="L166" s="240"/>
    </row>
    <row r="167" spans="1:12" x14ac:dyDescent="0.25">
      <c r="A167" s="38">
        <f>Données!A167</f>
        <v>5684</v>
      </c>
      <c r="B167" s="171" t="str">
        <f>Données!B167</f>
        <v>Rossenges</v>
      </c>
      <c r="C167" s="353">
        <f>VPI!R167</f>
        <v>4335.3702000000012</v>
      </c>
      <c r="D167" s="209">
        <f>(PCS!I173-PCS!F173)/C167</f>
        <v>16.181249517453875</v>
      </c>
      <c r="E167" s="522">
        <f>'Péréquation directe'!E173/C167</f>
        <v>-2.4024460374217811</v>
      </c>
      <c r="F167" s="209">
        <f>'Péréquation directe'!F173/Effort!C167</f>
        <v>0</v>
      </c>
      <c r="G167" s="209">
        <f>'Péréquation directe'!G173/Effort!C167</f>
        <v>0</v>
      </c>
      <c r="H167" s="209">
        <f>'Péréquation directe'!J173/Effort!C167</f>
        <v>19.156307202306365</v>
      </c>
      <c r="I167" s="381">
        <f t="shared" si="6"/>
        <v>32.935110682338461</v>
      </c>
      <c r="J167" s="226">
        <f t="shared" si="7"/>
        <v>0</v>
      </c>
      <c r="K167" s="42">
        <f t="shared" si="8"/>
        <v>0</v>
      </c>
      <c r="L167" s="240"/>
    </row>
    <row r="168" spans="1:12" x14ac:dyDescent="0.25">
      <c r="A168" s="38">
        <f>Données!A168</f>
        <v>5688</v>
      </c>
      <c r="B168" s="171" t="str">
        <f>Données!B168</f>
        <v>Syens</v>
      </c>
      <c r="C168" s="353">
        <f>VPI!R168</f>
        <v>5090.9474673292525</v>
      </c>
      <c r="D168" s="209">
        <f>(PCS!I174-PCS!F174)/C168</f>
        <v>14.600235590898022</v>
      </c>
      <c r="E168" s="522">
        <f>'Péréquation directe'!E174/C168</f>
        <v>-3.7995006772772904</v>
      </c>
      <c r="F168" s="209">
        <f>'Péréquation directe'!F174/Effort!C168</f>
        <v>-9.4736660557899395</v>
      </c>
      <c r="G168" s="209">
        <f>'Péréquation directe'!G174/Effort!C168</f>
        <v>-1.934672329508736</v>
      </c>
      <c r="H168" s="209">
        <f>'Péréquation directe'!J174/Effort!C168</f>
        <v>19.156307202306365</v>
      </c>
      <c r="I168" s="381">
        <f t="shared" si="6"/>
        <v>18.548703730628421</v>
      </c>
      <c r="J168" s="226">
        <f t="shared" si="7"/>
        <v>0</v>
      </c>
      <c r="K168" s="42">
        <f t="shared" si="8"/>
        <v>0</v>
      </c>
      <c r="L168" s="240"/>
    </row>
    <row r="169" spans="1:12" x14ac:dyDescent="0.25">
      <c r="A169" s="38">
        <f>Données!A169</f>
        <v>5690</v>
      </c>
      <c r="B169" s="171" t="str">
        <f>Données!B169</f>
        <v>Villars-le-Comte</v>
      </c>
      <c r="C169" s="353">
        <f>VPI!R169</f>
        <v>3483.6555381452017</v>
      </c>
      <c r="D169" s="209">
        <f>(PCS!I175-PCS!F175)/C169</f>
        <v>14.600235590898018</v>
      </c>
      <c r="E169" s="522">
        <f>'Péréquation directe'!E175/C169</f>
        <v>-4.2711673100279288</v>
      </c>
      <c r="F169" s="209">
        <f>'Péréquation directe'!F175/Effort!C169</f>
        <v>-11.561048120879278</v>
      </c>
      <c r="G169" s="209">
        <f>'Péréquation directe'!G175/Effort!C169</f>
        <v>-2.7875364440593078</v>
      </c>
      <c r="H169" s="209">
        <f>'Péréquation directe'!J175/Effort!C169</f>
        <v>19.156307202306362</v>
      </c>
      <c r="I169" s="381">
        <f t="shared" si="6"/>
        <v>15.136790918237866</v>
      </c>
      <c r="J169" s="226">
        <f t="shared" si="7"/>
        <v>0</v>
      </c>
      <c r="K169" s="42">
        <f t="shared" si="8"/>
        <v>0</v>
      </c>
      <c r="L169" s="240"/>
    </row>
    <row r="170" spans="1:12" x14ac:dyDescent="0.25">
      <c r="A170" s="38">
        <f>Données!A170</f>
        <v>5692</v>
      </c>
      <c r="B170" s="171" t="str">
        <f>Données!B170</f>
        <v>Vucherens</v>
      </c>
      <c r="C170" s="353">
        <f>VPI!R170</f>
        <v>18080.765402288005</v>
      </c>
      <c r="D170" s="209">
        <f>(PCS!I176-PCS!F176)/C170</f>
        <v>14.60023559089802</v>
      </c>
      <c r="E170" s="522">
        <f>'Péréquation directe'!E176/C170</f>
        <v>-4.2312520488896119</v>
      </c>
      <c r="F170" s="209">
        <f>'Péréquation directe'!F176/Effort!C170</f>
        <v>-13.636732935604813</v>
      </c>
      <c r="G170" s="209">
        <f>'Péréquation directe'!G176/Effort!C170</f>
        <v>-4.4151426009968633</v>
      </c>
      <c r="H170" s="209">
        <f>'Péréquation directe'!J176/Effort!C170</f>
        <v>19.156307202306365</v>
      </c>
      <c r="I170" s="381">
        <f t="shared" si="6"/>
        <v>11.473415207713096</v>
      </c>
      <c r="J170" s="226">
        <f t="shared" si="7"/>
        <v>0</v>
      </c>
      <c r="K170" s="42">
        <f t="shared" si="8"/>
        <v>0</v>
      </c>
      <c r="L170" s="240"/>
    </row>
    <row r="171" spans="1:12" x14ac:dyDescent="0.25">
      <c r="A171" s="38">
        <f>Données!A171</f>
        <v>5693</v>
      </c>
      <c r="B171" s="171" t="str">
        <f>Données!B171</f>
        <v>Montanaire</v>
      </c>
      <c r="C171" s="353">
        <f>VPI!R171</f>
        <v>71109.274307717249</v>
      </c>
      <c r="D171" s="209">
        <f>(PCS!I177-PCS!F177)/C171</f>
        <v>14.60023559089802</v>
      </c>
      <c r="E171" s="522">
        <f>'Péréquation directe'!E177/C171</f>
        <v>-10.444126349243827</v>
      </c>
      <c r="F171" s="209">
        <f>'Péréquation directe'!F177/Effort!C171</f>
        <v>-16.703696382856496</v>
      </c>
      <c r="G171" s="209">
        <f>'Péréquation directe'!G177/Effort!C171</f>
        <v>-6.0887788918965233</v>
      </c>
      <c r="H171" s="209">
        <f>'Péréquation directe'!J177/Effort!C171</f>
        <v>19.156307202306365</v>
      </c>
      <c r="I171" s="381">
        <f t="shared" si="6"/>
        <v>0.51994116920753797</v>
      </c>
      <c r="J171" s="226">
        <f t="shared" si="7"/>
        <v>0</v>
      </c>
      <c r="K171" s="42">
        <f t="shared" si="8"/>
        <v>0</v>
      </c>
      <c r="L171" s="240"/>
    </row>
    <row r="172" spans="1:12" x14ac:dyDescent="0.25">
      <c r="A172" s="38">
        <f>Données!A172</f>
        <v>5701</v>
      </c>
      <c r="B172" s="171" t="str">
        <f>Données!B172</f>
        <v>Arnex-sur-Nyon</v>
      </c>
      <c r="C172" s="353">
        <f>VPI!R172</f>
        <v>12577.692288260665</v>
      </c>
      <c r="D172" s="209">
        <f>(PCS!I178-PCS!F178)/C172</f>
        <v>16.26595974151488</v>
      </c>
      <c r="E172" s="522">
        <f>'Péréquation directe'!E178/C172</f>
        <v>-2.3659786410597827</v>
      </c>
      <c r="F172" s="209">
        <f>'Péréquation directe'!F178/Effort!C172</f>
        <v>0</v>
      </c>
      <c r="G172" s="209">
        <f>'Péréquation directe'!G178/Effort!C172</f>
        <v>0</v>
      </c>
      <c r="H172" s="209">
        <f>'Péréquation directe'!J178/Effort!C172</f>
        <v>19.156307202306365</v>
      </c>
      <c r="I172" s="381">
        <f t="shared" si="6"/>
        <v>33.056288302761459</v>
      </c>
      <c r="J172" s="226">
        <f t="shared" si="7"/>
        <v>0</v>
      </c>
      <c r="K172" s="42">
        <f t="shared" si="8"/>
        <v>0</v>
      </c>
      <c r="L172" s="240"/>
    </row>
    <row r="173" spans="1:12" x14ac:dyDescent="0.25">
      <c r="A173" s="38">
        <f>Données!A173</f>
        <v>5702</v>
      </c>
      <c r="B173" s="171" t="str">
        <f>Données!B173</f>
        <v>Arzier-Le Muids</v>
      </c>
      <c r="C173" s="353">
        <f>VPI!R173</f>
        <v>167718.32276638702</v>
      </c>
      <c r="D173" s="209">
        <f>(PCS!I179-PCS!F179)/C173</f>
        <v>17.382390356597412</v>
      </c>
      <c r="E173" s="522">
        <f>'Péréquation directe'!E179/C173</f>
        <v>-4.6972091975130672</v>
      </c>
      <c r="F173" s="209">
        <f>'Péréquation directe'!F179/Effort!C173</f>
        <v>0</v>
      </c>
      <c r="G173" s="209">
        <f>'Péréquation directe'!G179/Effort!C173</f>
        <v>-2.6196452521004092</v>
      </c>
      <c r="H173" s="209">
        <f>'Péréquation directe'!J179/Effort!C173</f>
        <v>19.156307202306365</v>
      </c>
      <c r="I173" s="381">
        <f t="shared" si="6"/>
        <v>29.221843109290301</v>
      </c>
      <c r="J173" s="226">
        <f t="shared" si="7"/>
        <v>0</v>
      </c>
      <c r="K173" s="42">
        <f t="shared" si="8"/>
        <v>0</v>
      </c>
      <c r="L173" s="240"/>
    </row>
    <row r="174" spans="1:12" x14ac:dyDescent="0.25">
      <c r="A174" s="38">
        <f>Données!A174</f>
        <v>5703</v>
      </c>
      <c r="B174" s="171" t="str">
        <f>Données!B174</f>
        <v>Bassins</v>
      </c>
      <c r="C174" s="353">
        <f>VPI!R174</f>
        <v>66886.981709814791</v>
      </c>
      <c r="D174" s="209">
        <f>(PCS!I180-PCS!F180)/C174</f>
        <v>14.60023559089802</v>
      </c>
      <c r="E174" s="522">
        <f>'Péréquation directe'!E180/C174</f>
        <v>-4.3193148835311979</v>
      </c>
      <c r="F174" s="209">
        <f>'Péréquation directe'!F180/Effort!C174</f>
        <v>-0.38190177923259044</v>
      </c>
      <c r="G174" s="209">
        <f>'Péréquation directe'!G180/Effort!C174</f>
        <v>-4.1379578901977228</v>
      </c>
      <c r="H174" s="209">
        <f>'Péréquation directe'!J180/Effort!C174</f>
        <v>19.156307202306365</v>
      </c>
      <c r="I174" s="381">
        <f t="shared" si="6"/>
        <v>24.917368240242872</v>
      </c>
      <c r="J174" s="226">
        <f t="shared" si="7"/>
        <v>0</v>
      </c>
      <c r="K174" s="42">
        <f t="shared" si="8"/>
        <v>0</v>
      </c>
      <c r="L174" s="240"/>
    </row>
    <row r="175" spans="1:12" x14ac:dyDescent="0.25">
      <c r="A175" s="38">
        <f>Données!A175</f>
        <v>5704</v>
      </c>
      <c r="B175" s="171" t="str">
        <f>Données!B175</f>
        <v>Begnins</v>
      </c>
      <c r="C175" s="353">
        <f>VPI!R175</f>
        <v>141530.02646227158</v>
      </c>
      <c r="D175" s="209">
        <f>(PCS!I181-PCS!F181)/C175</f>
        <v>21.124077819833683</v>
      </c>
      <c r="E175" s="522">
        <f>'Péréquation directe'!E181/C175</f>
        <v>-3.1525457207103287</v>
      </c>
      <c r="F175" s="209">
        <f>'Péréquation directe'!F181/Effort!C175</f>
        <v>0</v>
      </c>
      <c r="G175" s="209">
        <f>'Péréquation directe'!G181/Effort!C175</f>
        <v>0</v>
      </c>
      <c r="H175" s="209">
        <f>'Péréquation directe'!J181/Effort!C175</f>
        <v>19.156307202306365</v>
      </c>
      <c r="I175" s="381">
        <f t="shared" si="6"/>
        <v>37.127839301429717</v>
      </c>
      <c r="J175" s="226">
        <f t="shared" si="7"/>
        <v>0</v>
      </c>
      <c r="K175" s="42">
        <f t="shared" si="8"/>
        <v>0</v>
      </c>
      <c r="L175" s="240"/>
    </row>
    <row r="176" spans="1:12" x14ac:dyDescent="0.25">
      <c r="A176" s="38">
        <f>Données!A176</f>
        <v>5705</v>
      </c>
      <c r="B176" s="171" t="str">
        <f>Données!B176</f>
        <v>Bogis-Bossey</v>
      </c>
      <c r="C176" s="353">
        <f>VPI!R176</f>
        <v>56143.373517355147</v>
      </c>
      <c r="D176" s="209">
        <f>(PCS!I182-PCS!F182)/C176</f>
        <v>20.579448252845825</v>
      </c>
      <c r="E176" s="522">
        <f>'Péréquation directe'!E182/C176</f>
        <v>-1.8441171819955986</v>
      </c>
      <c r="F176" s="209">
        <f>'Péréquation directe'!F182/Effort!C176</f>
        <v>0</v>
      </c>
      <c r="G176" s="209">
        <f>'Péréquation directe'!G182/Effort!C176</f>
        <v>0</v>
      </c>
      <c r="H176" s="209">
        <f>'Péréquation directe'!J182/Effort!C176</f>
        <v>19.156307202306365</v>
      </c>
      <c r="I176" s="381">
        <f t="shared" si="6"/>
        <v>37.891638273156588</v>
      </c>
      <c r="J176" s="226">
        <f t="shared" si="7"/>
        <v>0</v>
      </c>
      <c r="K176" s="42">
        <f t="shared" si="8"/>
        <v>0</v>
      </c>
      <c r="L176" s="240"/>
    </row>
    <row r="177" spans="1:12" x14ac:dyDescent="0.25">
      <c r="A177" s="38">
        <f>Données!A177</f>
        <v>5706</v>
      </c>
      <c r="B177" s="171" t="str">
        <f>Données!B177</f>
        <v>Borex</v>
      </c>
      <c r="C177" s="353">
        <f>VPI!R177</f>
        <v>84061.533508771914</v>
      </c>
      <c r="D177" s="209">
        <f>(PCS!I183-PCS!F183)/C177</f>
        <v>20.375353639502137</v>
      </c>
      <c r="E177" s="522">
        <f>'Péréquation directe'!E183/C177</f>
        <v>-2.1234648335667412</v>
      </c>
      <c r="F177" s="209">
        <f>'Péréquation directe'!F183/Effort!C177</f>
        <v>0</v>
      </c>
      <c r="G177" s="209">
        <f>'Péréquation directe'!G183/Effort!C177</f>
        <v>0</v>
      </c>
      <c r="H177" s="209">
        <f>'Péréquation directe'!J183/Effort!C177</f>
        <v>19.156307202306365</v>
      </c>
      <c r="I177" s="381">
        <f t="shared" si="6"/>
        <v>37.40819600824176</v>
      </c>
      <c r="J177" s="226">
        <f t="shared" si="7"/>
        <v>0</v>
      </c>
      <c r="K177" s="42">
        <f t="shared" si="8"/>
        <v>0</v>
      </c>
      <c r="L177" s="240"/>
    </row>
    <row r="178" spans="1:12" x14ac:dyDescent="0.25">
      <c r="A178" s="38">
        <f>Données!A178</f>
        <v>5707</v>
      </c>
      <c r="B178" s="171" t="str">
        <f>Données!B178</f>
        <v>Chavannes-de-Bogis</v>
      </c>
      <c r="C178" s="353">
        <f>VPI!R178</f>
        <v>81740.650607161704</v>
      </c>
      <c r="D178" s="209">
        <f>(PCS!I184-PCS!F184)/C178</f>
        <v>18.067377689724477</v>
      </c>
      <c r="E178" s="522">
        <f>'Péréquation directe'!E184/C178</f>
        <v>-2.9143052012659716</v>
      </c>
      <c r="F178" s="209">
        <f>'Péréquation directe'!F184/Effort!C178</f>
        <v>0</v>
      </c>
      <c r="G178" s="209">
        <f>'Péréquation directe'!G184/Effort!C178</f>
        <v>0</v>
      </c>
      <c r="H178" s="209">
        <f>'Péréquation directe'!J184/Effort!C178</f>
        <v>19.156307202306365</v>
      </c>
      <c r="I178" s="381">
        <f t="shared" si="6"/>
        <v>34.309379690764871</v>
      </c>
      <c r="J178" s="226">
        <f t="shared" si="7"/>
        <v>0</v>
      </c>
      <c r="K178" s="42">
        <f t="shared" si="8"/>
        <v>0</v>
      </c>
      <c r="L178" s="240"/>
    </row>
    <row r="179" spans="1:12" x14ac:dyDescent="0.25">
      <c r="A179" s="38">
        <f>Données!A179</f>
        <v>5708</v>
      </c>
      <c r="B179" s="171" t="str">
        <f>Données!B179</f>
        <v>Chavannes-des-Bois</v>
      </c>
      <c r="C179" s="353">
        <f>VPI!R179</f>
        <v>67246.19149969735</v>
      </c>
      <c r="D179" s="209">
        <f>(PCS!I185-PCS!F185)/C179</f>
        <v>19.865459909331499</v>
      </c>
      <c r="E179" s="522">
        <f>'Péréquation directe'!E185/C179</f>
        <v>-1.9109980981594274</v>
      </c>
      <c r="F179" s="209">
        <f>'Péréquation directe'!F185/Effort!C179</f>
        <v>0</v>
      </c>
      <c r="G179" s="209">
        <f>'Péréquation directe'!G185/Effort!C179</f>
        <v>0</v>
      </c>
      <c r="H179" s="209">
        <f>'Péréquation directe'!J185/Effort!C179</f>
        <v>19.156307202306365</v>
      </c>
      <c r="I179" s="381">
        <f t="shared" si="6"/>
        <v>37.110769013478432</v>
      </c>
      <c r="J179" s="226">
        <f t="shared" si="7"/>
        <v>0</v>
      </c>
      <c r="K179" s="42">
        <f t="shared" si="8"/>
        <v>0</v>
      </c>
      <c r="L179" s="240"/>
    </row>
    <row r="180" spans="1:12" x14ac:dyDescent="0.25">
      <c r="A180" s="38">
        <f>Données!A180</f>
        <v>5709</v>
      </c>
      <c r="B180" s="171" t="str">
        <f>Données!B180</f>
        <v>Chéserex</v>
      </c>
      <c r="C180" s="353">
        <f>VPI!R180</f>
        <v>97363.543103732183</v>
      </c>
      <c r="D180" s="209">
        <f>(PCS!I186-PCS!F186)/C180</f>
        <v>21.545234567340046</v>
      </c>
      <c r="E180" s="522">
        <f>'Péréquation directe'!E186/C180</f>
        <v>-2.1578443587407503</v>
      </c>
      <c r="F180" s="209">
        <f>'Péréquation directe'!F186/Effort!C180</f>
        <v>0</v>
      </c>
      <c r="G180" s="209">
        <f>'Péréquation directe'!G186/Effort!C180</f>
        <v>0</v>
      </c>
      <c r="H180" s="209">
        <f>'Péréquation directe'!J186/Effort!C180</f>
        <v>19.156307202306365</v>
      </c>
      <c r="I180" s="381">
        <f t="shared" si="6"/>
        <v>38.543697410905665</v>
      </c>
      <c r="J180" s="226">
        <f t="shared" si="7"/>
        <v>0</v>
      </c>
      <c r="K180" s="42">
        <f t="shared" si="8"/>
        <v>0</v>
      </c>
      <c r="L180" s="240"/>
    </row>
    <row r="181" spans="1:12" x14ac:dyDescent="0.25">
      <c r="A181" s="38">
        <f>Données!A181</f>
        <v>5710</v>
      </c>
      <c r="B181" s="171" t="str">
        <f>Données!B181</f>
        <v>Coinsins</v>
      </c>
      <c r="C181" s="353">
        <f>VPI!R181</f>
        <v>41089.8274990719</v>
      </c>
      <c r="D181" s="209">
        <f>(PCS!I187-PCS!F187)/C181</f>
        <v>21.290570569820925</v>
      </c>
      <c r="E181" s="522">
        <f>'Péréquation directe'!E187/C181</f>
        <v>-1.5359745077250053</v>
      </c>
      <c r="F181" s="209">
        <f>'Péréquation directe'!F187/Effort!C181</f>
        <v>0</v>
      </c>
      <c r="G181" s="209">
        <f>'Péréquation directe'!G187/Effort!C181</f>
        <v>0</v>
      </c>
      <c r="H181" s="209">
        <f>'Péréquation directe'!J187/Effort!C181</f>
        <v>19.156307202306365</v>
      </c>
      <c r="I181" s="381">
        <f t="shared" si="6"/>
        <v>38.910903264402286</v>
      </c>
      <c r="J181" s="226">
        <f t="shared" si="7"/>
        <v>0</v>
      </c>
      <c r="K181" s="42">
        <f t="shared" si="8"/>
        <v>0</v>
      </c>
      <c r="L181" s="240"/>
    </row>
    <row r="182" spans="1:12" x14ac:dyDescent="0.25">
      <c r="A182" s="38">
        <f>Données!A182</f>
        <v>5711</v>
      </c>
      <c r="B182" s="171" t="str">
        <f>Données!B182</f>
        <v>Commugny</v>
      </c>
      <c r="C182" s="353">
        <f>VPI!R182</f>
        <v>252751.28311656581</v>
      </c>
      <c r="D182" s="209">
        <f>(PCS!I188-PCS!F188)/C182</f>
        <v>22.519204648673156</v>
      </c>
      <c r="E182" s="522">
        <f>'Péréquation directe'!E188/C182</f>
        <v>-3.2336872897024329</v>
      </c>
      <c r="F182" s="209">
        <f>'Péréquation directe'!F188/Effort!C182</f>
        <v>0</v>
      </c>
      <c r="G182" s="209">
        <f>'Péréquation directe'!G188/Effort!C182</f>
        <v>0</v>
      </c>
      <c r="H182" s="209">
        <f>'Péréquation directe'!J188/Effort!C182</f>
        <v>19.156307202306365</v>
      </c>
      <c r="I182" s="381">
        <f t="shared" si="6"/>
        <v>38.441824561277087</v>
      </c>
      <c r="J182" s="226">
        <f t="shared" si="7"/>
        <v>0</v>
      </c>
      <c r="K182" s="42">
        <f t="shared" si="8"/>
        <v>0</v>
      </c>
      <c r="L182" s="240"/>
    </row>
    <row r="183" spans="1:12" x14ac:dyDescent="0.25">
      <c r="A183" s="38">
        <f>Données!A183</f>
        <v>5712</v>
      </c>
      <c r="B183" s="171" t="str">
        <f>Données!B183</f>
        <v>Coppet</v>
      </c>
      <c r="C183" s="353">
        <f>VPI!R183</f>
        <v>381936.87435905024</v>
      </c>
      <c r="D183" s="209">
        <f>(PCS!I189-PCS!F189)/C183</f>
        <v>27.161713863415827</v>
      </c>
      <c r="E183" s="522">
        <f>'Péréquation directe'!E189/C183</f>
        <v>-2.4634075952001728</v>
      </c>
      <c r="F183" s="209">
        <f>'Péréquation directe'!F189/Effort!C183</f>
        <v>0</v>
      </c>
      <c r="G183" s="209">
        <f>'Péréquation directe'!G189/Effort!C183</f>
        <v>0</v>
      </c>
      <c r="H183" s="209">
        <f>'Péréquation directe'!J189/Effort!C183</f>
        <v>19.156307202306365</v>
      </c>
      <c r="I183" s="381">
        <f t="shared" si="6"/>
        <v>43.854613470522018</v>
      </c>
      <c r="J183" s="226">
        <f t="shared" si="7"/>
        <v>0</v>
      </c>
      <c r="K183" s="42">
        <f t="shared" si="8"/>
        <v>0</v>
      </c>
      <c r="L183" s="240"/>
    </row>
    <row r="184" spans="1:12" x14ac:dyDescent="0.25">
      <c r="A184" s="38">
        <f>Données!A184</f>
        <v>5713</v>
      </c>
      <c r="B184" s="171" t="str">
        <f>Données!B184</f>
        <v>Crans-près-Céligny</v>
      </c>
      <c r="C184" s="353">
        <f>VPI!R184</f>
        <v>308655.70549910824</v>
      </c>
      <c r="D184" s="209">
        <f>(PCS!I190-PCS!F190)/C184</f>
        <v>29.466758437482504</v>
      </c>
      <c r="E184" s="522">
        <f>'Péréquation directe'!E190/C184</f>
        <v>-1.9089856607140363</v>
      </c>
      <c r="F184" s="209">
        <f>'Péréquation directe'!F190/Effort!C184</f>
        <v>0</v>
      </c>
      <c r="G184" s="209">
        <f>'Péréquation directe'!G190/Effort!C184</f>
        <v>0</v>
      </c>
      <c r="H184" s="209">
        <f>'Péréquation directe'!J190/Effort!C184</f>
        <v>19.156307202306365</v>
      </c>
      <c r="I184" s="381">
        <f t="shared" si="6"/>
        <v>46.714079979074832</v>
      </c>
      <c r="J184" s="226">
        <f t="shared" si="7"/>
        <v>0</v>
      </c>
      <c r="K184" s="42">
        <f t="shared" si="8"/>
        <v>0</v>
      </c>
      <c r="L184" s="240"/>
    </row>
    <row r="185" spans="1:12" x14ac:dyDescent="0.25">
      <c r="A185" s="38">
        <f>Données!A185</f>
        <v>5714</v>
      </c>
      <c r="B185" s="171" t="str">
        <f>Données!B185</f>
        <v>Crassier</v>
      </c>
      <c r="C185" s="353">
        <f>VPI!R185</f>
        <v>53565.625441176468</v>
      </c>
      <c r="D185" s="209">
        <f>(PCS!I191-PCS!F191)/C185</f>
        <v>14.60023559089802</v>
      </c>
      <c r="E185" s="522">
        <f>'Péréquation directe'!E191/C185</f>
        <v>-3.4425776123930505</v>
      </c>
      <c r="F185" s="209">
        <f>'Péréquation directe'!F191/Effort!C185</f>
        <v>-0.22072331279091206</v>
      </c>
      <c r="G185" s="209">
        <f>'Péréquation directe'!G191/Effort!C185</f>
        <v>0</v>
      </c>
      <c r="H185" s="209">
        <f>'Péréquation directe'!J191/Effort!C185</f>
        <v>19.156307202306365</v>
      </c>
      <c r="I185" s="381">
        <f t="shared" si="6"/>
        <v>30.093241868020421</v>
      </c>
      <c r="J185" s="226">
        <f t="shared" si="7"/>
        <v>0</v>
      </c>
      <c r="K185" s="42">
        <f t="shared" si="8"/>
        <v>0</v>
      </c>
      <c r="L185" s="240"/>
    </row>
    <row r="186" spans="1:12" x14ac:dyDescent="0.25">
      <c r="A186" s="38">
        <f>Données!A186</f>
        <v>5715</v>
      </c>
      <c r="B186" s="171" t="str">
        <f>Données!B186</f>
        <v>Duillier</v>
      </c>
      <c r="C186" s="353">
        <f>VPI!R186</f>
        <v>61562.138656601084</v>
      </c>
      <c r="D186" s="209">
        <f>(PCS!I192-PCS!F192)/C186</f>
        <v>16.633025742366318</v>
      </c>
      <c r="E186" s="522">
        <f>'Péréquation directe'!E192/C186</f>
        <v>-2.7359900756851623</v>
      </c>
      <c r="F186" s="209">
        <f>'Péréquation directe'!F192/Effort!C186</f>
        <v>0</v>
      </c>
      <c r="G186" s="209">
        <f>'Péréquation directe'!G192/Effort!C186</f>
        <v>0</v>
      </c>
      <c r="H186" s="209">
        <f>'Péréquation directe'!J192/Effort!C186</f>
        <v>19.156307202306365</v>
      </c>
      <c r="I186" s="381">
        <f t="shared" si="6"/>
        <v>33.053342868987521</v>
      </c>
      <c r="J186" s="226">
        <f t="shared" si="7"/>
        <v>0</v>
      </c>
      <c r="K186" s="42">
        <f t="shared" si="8"/>
        <v>0</v>
      </c>
      <c r="L186" s="240"/>
    </row>
    <row r="187" spans="1:12" x14ac:dyDescent="0.25">
      <c r="A187" s="38">
        <f>Données!A187</f>
        <v>5716</v>
      </c>
      <c r="B187" s="171" t="str">
        <f>Données!B187</f>
        <v>Eysins</v>
      </c>
      <c r="C187" s="353">
        <f>VPI!R187</f>
        <v>307549.31539081637</v>
      </c>
      <c r="D187" s="209">
        <f>(PCS!I193-PCS!F193)/C187</f>
        <v>35.223805133484532</v>
      </c>
      <c r="E187" s="522">
        <f>'Péréquation directe'!E193/C187</f>
        <v>-1.2385313108449105</v>
      </c>
      <c r="F187" s="209">
        <f>'Péréquation directe'!F193/Effort!C187</f>
        <v>0</v>
      </c>
      <c r="G187" s="209">
        <f>'Péréquation directe'!G193/Effort!C187</f>
        <v>0</v>
      </c>
      <c r="H187" s="209">
        <f>'Péréquation directe'!J193/Effort!C187</f>
        <v>19.156307202306365</v>
      </c>
      <c r="I187" s="381">
        <f t="shared" si="6"/>
        <v>53.141581024945985</v>
      </c>
      <c r="J187" s="226">
        <f t="shared" si="7"/>
        <v>5.1415810249459852</v>
      </c>
      <c r="K187" s="42">
        <f t="shared" si="8"/>
        <v>-1581289.7242485497</v>
      </c>
      <c r="L187" s="240"/>
    </row>
    <row r="188" spans="1:12" x14ac:dyDescent="0.25">
      <c r="A188" s="38">
        <f>Données!A188</f>
        <v>5717</v>
      </c>
      <c r="B188" s="171" t="str">
        <f>Données!B188</f>
        <v>Founex</v>
      </c>
      <c r="C188" s="353">
        <f>VPI!R188</f>
        <v>386760.37149934971</v>
      </c>
      <c r="D188" s="209">
        <f>(PCS!I194-PCS!F194)/C188</f>
        <v>25.620488554074445</v>
      </c>
      <c r="E188" s="522">
        <f>'Péréquation directe'!E194/C188</f>
        <v>-3.1854453427293299</v>
      </c>
      <c r="F188" s="209">
        <f>'Péréquation directe'!F194/Effort!C188</f>
        <v>0</v>
      </c>
      <c r="G188" s="209">
        <f>'Péréquation directe'!G194/Effort!C188</f>
        <v>0</v>
      </c>
      <c r="H188" s="209">
        <f>'Péréquation directe'!J194/Effort!C188</f>
        <v>19.156307202306365</v>
      </c>
      <c r="I188" s="381">
        <f t="shared" si="6"/>
        <v>41.591350413651483</v>
      </c>
      <c r="J188" s="226">
        <f t="shared" si="7"/>
        <v>0</v>
      </c>
      <c r="K188" s="42">
        <f t="shared" si="8"/>
        <v>0</v>
      </c>
      <c r="L188" s="240"/>
    </row>
    <row r="189" spans="1:12" x14ac:dyDescent="0.25">
      <c r="A189" s="38">
        <f>Données!A189</f>
        <v>5718</v>
      </c>
      <c r="B189" s="171" t="str">
        <f>Données!B189</f>
        <v>Genolier</v>
      </c>
      <c r="C189" s="353">
        <f>VPI!R189</f>
        <v>244955.25679243167</v>
      </c>
      <c r="D189" s="209">
        <f>(PCS!I195-PCS!F195)/C189</f>
        <v>28.236297501518671</v>
      </c>
      <c r="E189" s="522">
        <f>'Péréquation directe'!E195/C189</f>
        <v>-1.9178536363396557</v>
      </c>
      <c r="F189" s="209">
        <f>'Péréquation directe'!F195/Effort!C189</f>
        <v>0</v>
      </c>
      <c r="G189" s="209">
        <f>'Péréquation directe'!G195/Effort!C189</f>
        <v>0</v>
      </c>
      <c r="H189" s="209">
        <f>'Péréquation directe'!J195/Effort!C189</f>
        <v>19.156307202306365</v>
      </c>
      <c r="I189" s="381">
        <f t="shared" si="6"/>
        <v>45.474751067485379</v>
      </c>
      <c r="J189" s="226">
        <f t="shared" si="7"/>
        <v>0</v>
      </c>
      <c r="K189" s="42">
        <f t="shared" si="8"/>
        <v>0</v>
      </c>
      <c r="L189" s="240"/>
    </row>
    <row r="190" spans="1:12" x14ac:dyDescent="0.25">
      <c r="A190" s="38">
        <f>Données!A190</f>
        <v>5719</v>
      </c>
      <c r="B190" s="171" t="str">
        <f>Données!B190</f>
        <v>Gingins</v>
      </c>
      <c r="C190" s="353">
        <f>VPI!R190</f>
        <v>145581.00922504449</v>
      </c>
      <c r="D190" s="209">
        <f>(PCS!I196-PCS!F196)/C190</f>
        <v>27.875296795549769</v>
      </c>
      <c r="E190" s="522">
        <f>'Péréquation directe'!E196/C190</f>
        <v>-1.4646142464304595</v>
      </c>
      <c r="F190" s="209">
        <f>'Péréquation directe'!F196/Effort!C190</f>
        <v>0</v>
      </c>
      <c r="G190" s="209">
        <f>'Péréquation directe'!G196/Effort!C190</f>
        <v>0</v>
      </c>
      <c r="H190" s="209">
        <f>'Péréquation directe'!J196/Effort!C190</f>
        <v>19.156307202306365</v>
      </c>
      <c r="I190" s="381">
        <f t="shared" si="6"/>
        <v>45.566989751425673</v>
      </c>
      <c r="J190" s="226">
        <f t="shared" si="7"/>
        <v>0</v>
      </c>
      <c r="K190" s="42">
        <f t="shared" si="8"/>
        <v>0</v>
      </c>
      <c r="L190" s="240"/>
    </row>
    <row r="191" spans="1:12" x14ac:dyDescent="0.25">
      <c r="A191" s="38">
        <f>Données!A191</f>
        <v>5720</v>
      </c>
      <c r="B191" s="171" t="str">
        <f>Données!B191</f>
        <v>Givrins</v>
      </c>
      <c r="C191" s="353">
        <f>VPI!R191</f>
        <v>84157.481732617845</v>
      </c>
      <c r="D191" s="209">
        <f>(PCS!I197-PCS!F197)/C191</f>
        <v>23.588184196674291</v>
      </c>
      <c r="E191" s="522">
        <f>'Péréquation directe'!E197/C191</f>
        <v>-1.60124372859894</v>
      </c>
      <c r="F191" s="209">
        <f>'Péréquation directe'!F197/Effort!C191</f>
        <v>0</v>
      </c>
      <c r="G191" s="209">
        <f>'Péréquation directe'!G197/Effort!C191</f>
        <v>-0.64583846357501873</v>
      </c>
      <c r="H191" s="209">
        <f>'Péréquation directe'!J197/Effort!C191</f>
        <v>19.156307202306365</v>
      </c>
      <c r="I191" s="381">
        <f t="shared" si="6"/>
        <v>40.497409206806694</v>
      </c>
      <c r="J191" s="226">
        <f t="shared" si="7"/>
        <v>0</v>
      </c>
      <c r="K191" s="42">
        <f t="shared" si="8"/>
        <v>0</v>
      </c>
      <c r="L191" s="240"/>
    </row>
    <row r="192" spans="1:12" x14ac:dyDescent="0.25">
      <c r="A192" s="38">
        <f>Données!A192</f>
        <v>5721</v>
      </c>
      <c r="B192" s="171" t="str">
        <f>Données!B192</f>
        <v>Gland</v>
      </c>
      <c r="C192" s="353">
        <f>VPI!R192</f>
        <v>649754.37436659122</v>
      </c>
      <c r="D192" s="209">
        <f>(PCS!I198-PCS!F198)/C192</f>
        <v>15.319430530530051</v>
      </c>
      <c r="E192" s="522">
        <f>'Péréquation directe'!E198/C192</f>
        <v>-12.240731461993848</v>
      </c>
      <c r="F192" s="209">
        <f>'Péréquation directe'!F198/Effort!C192</f>
        <v>0</v>
      </c>
      <c r="G192" s="209">
        <f>'Péréquation directe'!G198/Effort!C192</f>
        <v>0</v>
      </c>
      <c r="H192" s="209">
        <f>'Péréquation directe'!J198/Effort!C192</f>
        <v>19.156307202306365</v>
      </c>
      <c r="I192" s="381">
        <f t="shared" si="6"/>
        <v>22.235006270842568</v>
      </c>
      <c r="J192" s="226">
        <f t="shared" si="7"/>
        <v>0</v>
      </c>
      <c r="K192" s="42">
        <f t="shared" si="8"/>
        <v>0</v>
      </c>
      <c r="L192" s="240"/>
    </row>
    <row r="193" spans="1:12" x14ac:dyDescent="0.25">
      <c r="A193" s="38">
        <f>Données!A193</f>
        <v>5722</v>
      </c>
      <c r="B193" s="171" t="str">
        <f>Données!B193</f>
        <v>Grens</v>
      </c>
      <c r="C193" s="353">
        <f>VPI!R193</f>
        <v>25522.027975307101</v>
      </c>
      <c r="D193" s="209">
        <f>(PCS!I199-PCS!F199)/C193</f>
        <v>18.663835899298235</v>
      </c>
      <c r="E193" s="522">
        <f>'Péréquation directe'!E199/C193</f>
        <v>-1.9676161855389427</v>
      </c>
      <c r="F193" s="209">
        <f>'Péréquation directe'!F199/Effort!C193</f>
        <v>0</v>
      </c>
      <c r="G193" s="209">
        <f>'Péréquation directe'!G199/Effort!C193</f>
        <v>0</v>
      </c>
      <c r="H193" s="209">
        <f>'Péréquation directe'!J199/Effort!C193</f>
        <v>19.156307202306365</v>
      </c>
      <c r="I193" s="381">
        <f t="shared" si="6"/>
        <v>35.852526916065656</v>
      </c>
      <c r="J193" s="226">
        <f t="shared" si="7"/>
        <v>0</v>
      </c>
      <c r="K193" s="42">
        <f t="shared" si="8"/>
        <v>0</v>
      </c>
      <c r="L193" s="240"/>
    </row>
    <row r="194" spans="1:12" x14ac:dyDescent="0.25">
      <c r="A194" s="38">
        <f>Données!A194</f>
        <v>5723</v>
      </c>
      <c r="B194" s="171" t="str">
        <f>Données!B194</f>
        <v>Mies</v>
      </c>
      <c r="C194" s="353">
        <f>VPI!R194</f>
        <v>197671.04481157771</v>
      </c>
      <c r="D194" s="209">
        <f>(PCS!I200-PCS!F200)/C194</f>
        <v>23.00104573839447</v>
      </c>
      <c r="E194" s="522">
        <f>'Péréquation directe'!E200/C194</f>
        <v>-2.685737589124622</v>
      </c>
      <c r="F194" s="209">
        <f>'Péréquation directe'!F200/Effort!C194</f>
        <v>0</v>
      </c>
      <c r="G194" s="209">
        <f>'Péréquation directe'!G200/Effort!C194</f>
        <v>0</v>
      </c>
      <c r="H194" s="209">
        <f>'Péréquation directe'!J200/Effort!C194</f>
        <v>19.156307202306365</v>
      </c>
      <c r="I194" s="381">
        <f t="shared" si="6"/>
        <v>39.471615351576219</v>
      </c>
      <c r="J194" s="226">
        <f t="shared" si="7"/>
        <v>0</v>
      </c>
      <c r="K194" s="42">
        <f t="shared" si="8"/>
        <v>0</v>
      </c>
      <c r="L194" s="240"/>
    </row>
    <row r="195" spans="1:12" x14ac:dyDescent="0.25">
      <c r="A195" s="38">
        <f>Données!A195</f>
        <v>5724</v>
      </c>
      <c r="B195" s="171" t="str">
        <f>Données!B195</f>
        <v>Nyon</v>
      </c>
      <c r="C195" s="353">
        <f>VPI!R195</f>
        <v>1412863.5932076953</v>
      </c>
      <c r="D195" s="209">
        <f>(PCS!I201-PCS!F201)/C195</f>
        <v>19.030301734883885</v>
      </c>
      <c r="E195" s="522">
        <f>'Péréquation directe'!E201/C195</f>
        <v>-11.833764384328269</v>
      </c>
      <c r="F195" s="209">
        <f>'Péréquation directe'!F201/Effort!C195</f>
        <v>0</v>
      </c>
      <c r="G195" s="209">
        <f>'Péréquation directe'!G201/Effort!C195</f>
        <v>-0.81826331028113541</v>
      </c>
      <c r="H195" s="209">
        <f>'Péréquation directe'!J201/Effort!C195</f>
        <v>19.156307202306365</v>
      </c>
      <c r="I195" s="381">
        <f t="shared" si="6"/>
        <v>25.534581242580845</v>
      </c>
      <c r="J195" s="226">
        <f t="shared" si="7"/>
        <v>0</v>
      </c>
      <c r="K195" s="42">
        <f t="shared" si="8"/>
        <v>0</v>
      </c>
      <c r="L195" s="240"/>
    </row>
    <row r="196" spans="1:12" x14ac:dyDescent="0.25">
      <c r="A196" s="38">
        <f>Données!A196</f>
        <v>5725</v>
      </c>
      <c r="B196" s="171" t="str">
        <f>Données!B196</f>
        <v>Prangins</v>
      </c>
      <c r="C196" s="353">
        <f>VPI!R196</f>
        <v>312426.41305318987</v>
      </c>
      <c r="D196" s="209">
        <f>(PCS!I202-PCS!F202)/C196</f>
        <v>20.933521454997468</v>
      </c>
      <c r="E196" s="522">
        <f>'Péréquation directe'!E202/C196</f>
        <v>-4.3672030291257666</v>
      </c>
      <c r="F196" s="209">
        <f>'Péréquation directe'!F202/Effort!C196</f>
        <v>0</v>
      </c>
      <c r="G196" s="209">
        <f>'Péréquation directe'!G202/Effort!C196</f>
        <v>0</v>
      </c>
      <c r="H196" s="209">
        <f>'Péréquation directe'!J202/Effort!C196</f>
        <v>19.156307202306365</v>
      </c>
      <c r="I196" s="381">
        <f t="shared" si="6"/>
        <v>35.722625628178065</v>
      </c>
      <c r="J196" s="226">
        <f t="shared" si="7"/>
        <v>0</v>
      </c>
      <c r="K196" s="42">
        <f t="shared" si="8"/>
        <v>0</v>
      </c>
      <c r="L196" s="240"/>
    </row>
    <row r="197" spans="1:12" x14ac:dyDescent="0.25">
      <c r="A197" s="38">
        <f>Données!A197</f>
        <v>5726</v>
      </c>
      <c r="B197" s="171" t="str">
        <f>Données!B197</f>
        <v>La Rippe</v>
      </c>
      <c r="C197" s="353">
        <f>VPI!R197</f>
        <v>66314.954154633349</v>
      </c>
      <c r="D197" s="209">
        <f>(PCS!I203-PCS!F203)/C197</f>
        <v>17.721144006421824</v>
      </c>
      <c r="E197" s="522">
        <f>'Péréquation directe'!E203/C197</f>
        <v>-2.5556068289364577</v>
      </c>
      <c r="F197" s="209">
        <f>'Péréquation directe'!F203/Effort!C197</f>
        <v>0</v>
      </c>
      <c r="G197" s="209">
        <f>'Péréquation directe'!G203/Effort!C197</f>
        <v>0</v>
      </c>
      <c r="H197" s="209">
        <f>'Péréquation directe'!J203/Effort!C197</f>
        <v>19.156307202306365</v>
      </c>
      <c r="I197" s="381">
        <f t="shared" si="6"/>
        <v>34.321844379791727</v>
      </c>
      <c r="J197" s="226">
        <f t="shared" si="7"/>
        <v>0</v>
      </c>
      <c r="K197" s="42">
        <f t="shared" si="8"/>
        <v>0</v>
      </c>
      <c r="L197" s="240"/>
    </row>
    <row r="198" spans="1:12" x14ac:dyDescent="0.25">
      <c r="A198" s="38">
        <f>Données!A198</f>
        <v>5727</v>
      </c>
      <c r="B198" s="171" t="str">
        <f>Données!B198</f>
        <v>Saint-Cergue</v>
      </c>
      <c r="C198" s="353">
        <f>VPI!R198</f>
        <v>105108.96305797539</v>
      </c>
      <c r="D198" s="209">
        <f>(PCS!I204-PCS!F204)/C198</f>
        <v>14.600235590898022</v>
      </c>
      <c r="E198" s="522">
        <f>'Péréquation directe'!E204/C198</f>
        <v>-6.7090231918280026</v>
      </c>
      <c r="F198" s="209">
        <f>'Péréquation directe'!F204/Effort!C198</f>
        <v>-3.0394396487309487</v>
      </c>
      <c r="G198" s="209">
        <f>'Péréquation directe'!G204/Effort!C198</f>
        <v>-1.960688847614984</v>
      </c>
      <c r="H198" s="209">
        <f>'Péréquation directe'!J204/Effort!C198</f>
        <v>19.156307202306365</v>
      </c>
      <c r="I198" s="381">
        <f t="shared" si="6"/>
        <v>22.047391105030453</v>
      </c>
      <c r="J198" s="226">
        <f t="shared" si="7"/>
        <v>0</v>
      </c>
      <c r="K198" s="42">
        <f t="shared" si="8"/>
        <v>0</v>
      </c>
      <c r="L198" s="240"/>
    </row>
    <row r="199" spans="1:12" x14ac:dyDescent="0.25">
      <c r="A199" s="38">
        <f>Données!A199</f>
        <v>5728</v>
      </c>
      <c r="B199" s="171" t="str">
        <f>Données!B199</f>
        <v>Signy-Avenex</v>
      </c>
      <c r="C199" s="353">
        <f>VPI!R199</f>
        <v>49029.515425987986</v>
      </c>
      <c r="D199" s="209">
        <f>(PCS!I205-PCS!F205)/C199</f>
        <v>22.885356810380152</v>
      </c>
      <c r="E199" s="522">
        <f>'Péréquation directe'!E205/C199</f>
        <v>-1.4693290833456119</v>
      </c>
      <c r="F199" s="209">
        <f>'Péréquation directe'!F205/Effort!C199</f>
        <v>0</v>
      </c>
      <c r="G199" s="209">
        <f>'Péréquation directe'!G205/Effort!C199</f>
        <v>0</v>
      </c>
      <c r="H199" s="209">
        <f>'Péréquation directe'!J205/Effort!C199</f>
        <v>19.156307202306365</v>
      </c>
      <c r="I199" s="381">
        <f t="shared" ref="I199:I262" si="9">SUM(D199:H199)</f>
        <v>40.572334929340904</v>
      </c>
      <c r="J199" s="226">
        <f t="shared" ref="J199:J262" si="10">IF(I199&gt;J$5,I199-J$5,0)</f>
        <v>0</v>
      </c>
      <c r="K199" s="42">
        <f t="shared" ref="K199:K262" si="11">-J199*C199</f>
        <v>0</v>
      </c>
      <c r="L199" s="240"/>
    </row>
    <row r="200" spans="1:12" x14ac:dyDescent="0.25">
      <c r="A200" s="38">
        <f>Données!A200</f>
        <v>5729</v>
      </c>
      <c r="B200" s="171" t="str">
        <f>Données!B200</f>
        <v>Tannay</v>
      </c>
      <c r="C200" s="353">
        <f>VPI!R200</f>
        <v>130705.91189021352</v>
      </c>
      <c r="D200" s="209">
        <f>(PCS!I206-PCS!F206)/C200</f>
        <v>22.367243520549721</v>
      </c>
      <c r="E200" s="522">
        <f>'Péréquation directe'!E206/C200</f>
        <v>-2.6380016749092299</v>
      </c>
      <c r="F200" s="209">
        <f>'Péréquation directe'!F206/Effort!C200</f>
        <v>0</v>
      </c>
      <c r="G200" s="209">
        <f>'Péréquation directe'!G206/Effort!C200</f>
        <v>0</v>
      </c>
      <c r="H200" s="209">
        <f>'Péréquation directe'!J206/Effort!C200</f>
        <v>19.156307202306365</v>
      </c>
      <c r="I200" s="381">
        <f t="shared" si="9"/>
        <v>38.885549047946853</v>
      </c>
      <c r="J200" s="226">
        <f t="shared" si="10"/>
        <v>0</v>
      </c>
      <c r="K200" s="42">
        <f t="shared" si="11"/>
        <v>0</v>
      </c>
      <c r="L200" s="240"/>
    </row>
    <row r="201" spans="1:12" x14ac:dyDescent="0.25">
      <c r="A201" s="38">
        <f>Données!A201</f>
        <v>5730</v>
      </c>
      <c r="B201" s="171" t="str">
        <f>Données!B201</f>
        <v>Trélex</v>
      </c>
      <c r="C201" s="353">
        <f>VPI!R201</f>
        <v>111635.7900900901</v>
      </c>
      <c r="D201" s="209">
        <f>(PCS!I207-PCS!F207)/C201</f>
        <v>21.21079314878973</v>
      </c>
      <c r="E201" s="522">
        <f>'Péréquation directe'!E207/C201</f>
        <v>-2.4946340455081097</v>
      </c>
      <c r="F201" s="209">
        <f>'Péréquation directe'!F207/Effort!C201</f>
        <v>0</v>
      </c>
      <c r="G201" s="209">
        <f>'Péréquation directe'!G207/Effort!C201</f>
        <v>0</v>
      </c>
      <c r="H201" s="209">
        <f>'Péréquation directe'!J207/Effort!C201</f>
        <v>19.156307202306365</v>
      </c>
      <c r="I201" s="381">
        <f t="shared" si="9"/>
        <v>37.872466305587984</v>
      </c>
      <c r="J201" s="226">
        <f t="shared" si="10"/>
        <v>0</v>
      </c>
      <c r="K201" s="42">
        <f t="shared" si="11"/>
        <v>0</v>
      </c>
      <c r="L201" s="240"/>
    </row>
    <row r="202" spans="1:12" x14ac:dyDescent="0.25">
      <c r="A202" s="38">
        <f>Données!A202</f>
        <v>5731</v>
      </c>
      <c r="B202" s="171" t="str">
        <f>Données!B202</f>
        <v>Le Vaud</v>
      </c>
      <c r="C202" s="353">
        <f>VPI!R202</f>
        <v>63939.29295717035</v>
      </c>
      <c r="D202" s="209">
        <f>(PCS!I208-PCS!F208)/C202</f>
        <v>14.801342427701812</v>
      </c>
      <c r="E202" s="522">
        <f>'Péréquation directe'!E208/C202</f>
        <v>-3.9265835803873745</v>
      </c>
      <c r="F202" s="209">
        <f>'Péréquation directe'!F208/Effort!C202</f>
        <v>0</v>
      </c>
      <c r="G202" s="209">
        <f>'Péréquation directe'!G208/Effort!C202</f>
        <v>-0.74872226959356036</v>
      </c>
      <c r="H202" s="209">
        <f>'Péréquation directe'!J208/Effort!C202</f>
        <v>19.156307202306365</v>
      </c>
      <c r="I202" s="381">
        <f t="shared" si="9"/>
        <v>29.28234378002724</v>
      </c>
      <c r="J202" s="226">
        <f t="shared" si="10"/>
        <v>0</v>
      </c>
      <c r="K202" s="42">
        <f t="shared" si="11"/>
        <v>0</v>
      </c>
      <c r="L202" s="240"/>
    </row>
    <row r="203" spans="1:12" x14ac:dyDescent="0.25">
      <c r="A203" s="38">
        <f>Données!A203</f>
        <v>5732</v>
      </c>
      <c r="B203" s="171" t="str">
        <f>Données!B203</f>
        <v>Vich</v>
      </c>
      <c r="C203" s="353">
        <f>VPI!R203</f>
        <v>70997.378198271268</v>
      </c>
      <c r="D203" s="209">
        <f>(PCS!I209-PCS!F209)/C203</f>
        <v>18.344347296817173</v>
      </c>
      <c r="E203" s="522">
        <f>'Péréquation directe'!E209/C203</f>
        <v>-2.5093113532369253</v>
      </c>
      <c r="F203" s="209">
        <f>'Péréquation directe'!F209/Effort!C203</f>
        <v>0</v>
      </c>
      <c r="G203" s="209">
        <f>'Péréquation directe'!G209/Effort!C203</f>
        <v>0</v>
      </c>
      <c r="H203" s="209">
        <f>'Péréquation directe'!J209/Effort!C203</f>
        <v>19.156307202306365</v>
      </c>
      <c r="I203" s="381">
        <f t="shared" si="9"/>
        <v>34.991343145886617</v>
      </c>
      <c r="J203" s="226">
        <f t="shared" si="10"/>
        <v>0</v>
      </c>
      <c r="K203" s="42">
        <f t="shared" si="11"/>
        <v>0</v>
      </c>
      <c r="L203" s="240"/>
    </row>
    <row r="204" spans="1:12" x14ac:dyDescent="0.25">
      <c r="A204" s="38">
        <f>Données!A204</f>
        <v>5741</v>
      </c>
      <c r="B204" s="171" t="str">
        <f>Données!B204</f>
        <v>L'Abergement</v>
      </c>
      <c r="C204" s="353">
        <f>VPI!R204</f>
        <v>7367.4577774246782</v>
      </c>
      <c r="D204" s="209">
        <f>(PCS!I210-PCS!F210)/C204</f>
        <v>14.60023559089802</v>
      </c>
      <c r="E204" s="522">
        <f>'Péréquation directe'!E210/C204</f>
        <v>-4.3084678171669015</v>
      </c>
      <c r="F204" s="209">
        <f>'Péréquation directe'!F210/Effort!C204</f>
        <v>-15.844152116565935</v>
      </c>
      <c r="G204" s="209">
        <f>'Péréquation directe'!G210/Effort!C204</f>
        <v>-14.596033428504141</v>
      </c>
      <c r="H204" s="209">
        <f>'Péréquation directe'!J210/Effort!C204</f>
        <v>19.156307202306365</v>
      </c>
      <c r="I204" s="381">
        <f t="shared" si="9"/>
        <v>-0.99211056903259021</v>
      </c>
      <c r="J204" s="226">
        <f t="shared" si="10"/>
        <v>0</v>
      </c>
      <c r="K204" s="42">
        <f t="shared" si="11"/>
        <v>0</v>
      </c>
      <c r="L204" s="240"/>
    </row>
    <row r="205" spans="1:12" x14ac:dyDescent="0.25">
      <c r="A205" s="38">
        <f>Données!A205</f>
        <v>5742</v>
      </c>
      <c r="B205" s="171" t="str">
        <f>Données!B205</f>
        <v>Agiez</v>
      </c>
      <c r="C205" s="353">
        <f>VPI!R205</f>
        <v>8959.2362433179314</v>
      </c>
      <c r="D205" s="209">
        <f>(PCS!I211-PCS!F211)/C205</f>
        <v>14.600235590898018</v>
      </c>
      <c r="E205" s="522">
        <f>'Péréquation directe'!E211/C205</f>
        <v>-5.217601487062117</v>
      </c>
      <c r="F205" s="209">
        <f>'Péréquation directe'!F211/Effort!C205</f>
        <v>-21.761928305490255</v>
      </c>
      <c r="G205" s="209">
        <f>'Péréquation directe'!G211/Effort!C205</f>
        <v>-3.9013264533204923</v>
      </c>
      <c r="H205" s="209">
        <f>'Péréquation directe'!J211/Effort!C205</f>
        <v>19.156307202306365</v>
      </c>
      <c r="I205" s="381">
        <f t="shared" si="9"/>
        <v>2.8756865473315187</v>
      </c>
      <c r="J205" s="226">
        <f t="shared" si="10"/>
        <v>0</v>
      </c>
      <c r="K205" s="42">
        <f t="shared" si="11"/>
        <v>0</v>
      </c>
      <c r="L205" s="240"/>
    </row>
    <row r="206" spans="1:12" x14ac:dyDescent="0.25">
      <c r="A206" s="38">
        <f>Données!A206</f>
        <v>5743</v>
      </c>
      <c r="B206" s="171" t="str">
        <f>Données!B206</f>
        <v>Arnex-sur-Orbe</v>
      </c>
      <c r="C206" s="353">
        <f>VPI!R206</f>
        <v>20545.993510231569</v>
      </c>
      <c r="D206" s="209">
        <f>(PCS!I212-PCS!F212)/C206</f>
        <v>14.600235590898018</v>
      </c>
      <c r="E206" s="522">
        <f>'Péréquation directe'!E212/C206</f>
        <v>-3.844260677403827</v>
      </c>
      <c r="F206" s="209">
        <f>'Péréquation directe'!F212/Effort!C206</f>
        <v>-8.6915948980871285</v>
      </c>
      <c r="G206" s="209">
        <f>'Péréquation directe'!G212/Effort!C206</f>
        <v>-4.123579562916726</v>
      </c>
      <c r="H206" s="209">
        <f>'Péréquation directe'!J212/Effort!C206</f>
        <v>19.156307202306365</v>
      </c>
      <c r="I206" s="381">
        <f t="shared" si="9"/>
        <v>17.097107654796702</v>
      </c>
      <c r="J206" s="226">
        <f t="shared" si="10"/>
        <v>0</v>
      </c>
      <c r="K206" s="42">
        <f t="shared" si="11"/>
        <v>0</v>
      </c>
      <c r="L206" s="240"/>
    </row>
    <row r="207" spans="1:12" x14ac:dyDescent="0.25">
      <c r="A207" s="38">
        <f>Données!A207</f>
        <v>5744</v>
      </c>
      <c r="B207" s="171" t="str">
        <f>Données!B207</f>
        <v>Ballaigues</v>
      </c>
      <c r="C207" s="353">
        <f>VPI!R207</f>
        <v>40192.729547040028</v>
      </c>
      <c r="D207" s="209">
        <f>(PCS!I213-PCS!F213)/C207</f>
        <v>14.600235590898022</v>
      </c>
      <c r="E207" s="522">
        <f>'Péréquation directe'!E213/C207</f>
        <v>-4.3202128553639225</v>
      </c>
      <c r="F207" s="209">
        <f>'Péréquation directe'!F213/Effort!C207</f>
        <v>-5.2847517482517414</v>
      </c>
      <c r="G207" s="209">
        <f>'Péréquation directe'!G213/Effort!C207</f>
        <v>-9.3453549880924101</v>
      </c>
      <c r="H207" s="209">
        <f>'Péréquation directe'!J213/Effort!C207</f>
        <v>19.156307202306365</v>
      </c>
      <c r="I207" s="381">
        <f t="shared" si="9"/>
        <v>14.806223201496314</v>
      </c>
      <c r="J207" s="226">
        <f t="shared" si="10"/>
        <v>0</v>
      </c>
      <c r="K207" s="42">
        <f t="shared" si="11"/>
        <v>0</v>
      </c>
      <c r="L207" s="240"/>
    </row>
    <row r="208" spans="1:12" x14ac:dyDescent="0.25">
      <c r="A208" s="38">
        <f>Données!A208</f>
        <v>5745</v>
      </c>
      <c r="B208" s="171" t="str">
        <f>Données!B208</f>
        <v>Baulmes</v>
      </c>
      <c r="C208" s="353">
        <f>VPI!R208</f>
        <v>26823.608187065354</v>
      </c>
      <c r="D208" s="209">
        <f>(PCS!I214-PCS!F214)/C208</f>
        <v>14.60023559089802</v>
      </c>
      <c r="E208" s="522">
        <f>'Péréquation directe'!E214/C208</f>
        <v>-5.5803645816244378</v>
      </c>
      <c r="F208" s="209">
        <f>'Péréquation directe'!F214/Effort!C208</f>
        <v>-19.846442004835136</v>
      </c>
      <c r="G208" s="209">
        <f>'Péréquation directe'!G214/Effort!C208</f>
        <v>-15.582342309147693</v>
      </c>
      <c r="H208" s="209">
        <f>'Péréquation directe'!J214/Effort!C208</f>
        <v>19.156307202306365</v>
      </c>
      <c r="I208" s="381">
        <f t="shared" si="9"/>
        <v>-7.2526061024028792</v>
      </c>
      <c r="J208" s="226">
        <f t="shared" si="10"/>
        <v>0</v>
      </c>
      <c r="K208" s="42">
        <f t="shared" si="11"/>
        <v>0</v>
      </c>
      <c r="L208" s="240"/>
    </row>
    <row r="209" spans="1:12" x14ac:dyDescent="0.25">
      <c r="A209" s="38">
        <f>Données!A209</f>
        <v>5746</v>
      </c>
      <c r="B209" s="171" t="str">
        <f>Données!B209</f>
        <v>Bavois</v>
      </c>
      <c r="C209" s="353">
        <f>VPI!R209</f>
        <v>30464.573561146077</v>
      </c>
      <c r="D209" s="209">
        <f>(PCS!I215-PCS!F215)/C209</f>
        <v>14.600235590898022</v>
      </c>
      <c r="E209" s="522">
        <f>'Péréquation directe'!E215/C209</f>
        <v>-4.045682758454582</v>
      </c>
      <c r="F209" s="209">
        <f>'Péréquation directe'!F215/Effort!C209</f>
        <v>-10.78529503678009</v>
      </c>
      <c r="G209" s="209">
        <f>'Péréquation directe'!G215/Effort!C209</f>
        <v>-5.9683710358630657</v>
      </c>
      <c r="H209" s="209">
        <f>'Péréquation directe'!J215/Effort!C209</f>
        <v>19.156307202306369</v>
      </c>
      <c r="I209" s="381">
        <f t="shared" si="9"/>
        <v>12.957193962106654</v>
      </c>
      <c r="J209" s="226">
        <f t="shared" si="10"/>
        <v>0</v>
      </c>
      <c r="K209" s="42">
        <f t="shared" si="11"/>
        <v>0</v>
      </c>
      <c r="L209" s="240"/>
    </row>
    <row r="210" spans="1:12" x14ac:dyDescent="0.25">
      <c r="A210" s="38">
        <f>Données!A210</f>
        <v>5747</v>
      </c>
      <c r="B210" s="171" t="str">
        <f>Données!B210</f>
        <v>Bofflens</v>
      </c>
      <c r="C210" s="353">
        <f>VPI!R210</f>
        <v>5602.2513601016635</v>
      </c>
      <c r="D210" s="209">
        <f>(PCS!I216-PCS!F216)/C210</f>
        <v>14.60023559089802</v>
      </c>
      <c r="E210" s="522">
        <f>'Péréquation directe'!E216/C210</f>
        <v>-4.5593735263552837</v>
      </c>
      <c r="F210" s="209">
        <f>'Péréquation directe'!F216/Effort!C210</f>
        <v>-13.27478585516859</v>
      </c>
      <c r="G210" s="209">
        <f>'Péréquation directe'!G216/Effort!C210</f>
        <v>-4.4248267787363567</v>
      </c>
      <c r="H210" s="209">
        <f>'Péréquation directe'!J216/Effort!C210</f>
        <v>19.156307202306365</v>
      </c>
      <c r="I210" s="381">
        <f t="shared" si="9"/>
        <v>11.497556632944155</v>
      </c>
      <c r="J210" s="226">
        <f t="shared" si="10"/>
        <v>0</v>
      </c>
      <c r="K210" s="42">
        <f t="shared" si="11"/>
        <v>0</v>
      </c>
      <c r="L210" s="240"/>
    </row>
    <row r="211" spans="1:12" x14ac:dyDescent="0.25">
      <c r="A211" s="38">
        <f>Données!A211</f>
        <v>5748</v>
      </c>
      <c r="B211" s="171" t="str">
        <f>Données!B211</f>
        <v>Bretonnières</v>
      </c>
      <c r="C211" s="353">
        <f>VPI!R211</f>
        <v>5788.8837637987526</v>
      </c>
      <c r="D211" s="209">
        <f>(PCS!I217-PCS!F217)/C211</f>
        <v>14.60023559089802</v>
      </c>
      <c r="E211" s="522">
        <f>'Péréquation directe'!E217/C211</f>
        <v>-5.7403782230991434</v>
      </c>
      <c r="F211" s="209">
        <f>'Péréquation directe'!F217/Effort!C211</f>
        <v>-22.592340583575091</v>
      </c>
      <c r="G211" s="209">
        <f>'Péréquation directe'!G217/Effort!C211</f>
        <v>-8.7129551485863761</v>
      </c>
      <c r="H211" s="209">
        <f>'Péréquation directe'!J217/Effort!C211</f>
        <v>19.156307202306365</v>
      </c>
      <c r="I211" s="381">
        <f t="shared" si="9"/>
        <v>-3.289131162056222</v>
      </c>
      <c r="J211" s="226">
        <f t="shared" si="10"/>
        <v>0</v>
      </c>
      <c r="K211" s="42">
        <f t="shared" si="11"/>
        <v>0</v>
      </c>
      <c r="L211" s="240"/>
    </row>
    <row r="212" spans="1:12" x14ac:dyDescent="0.25">
      <c r="A212" s="38">
        <f>Données!A212</f>
        <v>5749</v>
      </c>
      <c r="B212" s="171" t="str">
        <f>Données!B212</f>
        <v>Chavornay</v>
      </c>
      <c r="C212" s="353">
        <f>VPI!R212</f>
        <v>140636.14212812972</v>
      </c>
      <c r="D212" s="209">
        <f>(PCS!I218-PCS!F218)/C212</f>
        <v>14.60023559089802</v>
      </c>
      <c r="E212" s="522">
        <f>'Péréquation directe'!E218/C212</f>
        <v>-13.83297113193403</v>
      </c>
      <c r="F212" s="209">
        <f>'Péréquation directe'!F218/Effort!C212</f>
        <v>-14.221264575938379</v>
      </c>
      <c r="G212" s="209">
        <f>'Péréquation directe'!G218/Effort!C212</f>
        <v>-4.4233760342228274</v>
      </c>
      <c r="H212" s="209">
        <f>'Péréquation directe'!J218/Effort!C212</f>
        <v>19.156307202306365</v>
      </c>
      <c r="I212" s="381">
        <f t="shared" si="9"/>
        <v>1.2789310511091472</v>
      </c>
      <c r="J212" s="226">
        <f t="shared" si="10"/>
        <v>0</v>
      </c>
      <c r="K212" s="42">
        <f t="shared" si="11"/>
        <v>0</v>
      </c>
      <c r="L212" s="240"/>
    </row>
    <row r="213" spans="1:12" x14ac:dyDescent="0.25">
      <c r="A213" s="38">
        <f>Données!A213</f>
        <v>5750</v>
      </c>
      <c r="B213" s="171" t="str">
        <f>Données!B213</f>
        <v>Les Clées</v>
      </c>
      <c r="C213" s="353">
        <f>VPI!R213</f>
        <v>6038.046875</v>
      </c>
      <c r="D213" s="209">
        <f>(PCS!I219-PCS!F219)/C213</f>
        <v>14.600235590898022</v>
      </c>
      <c r="E213" s="522">
        <f>'Péréquation directe'!E219/C213</f>
        <v>-3.8401277279524564</v>
      </c>
      <c r="F213" s="209">
        <f>'Péréquation directe'!F219/Effort!C213</f>
        <v>-10.995398813366913</v>
      </c>
      <c r="G213" s="209">
        <f>'Péréquation directe'!G219/Effort!C213</f>
        <v>-6.8773370683297319</v>
      </c>
      <c r="H213" s="209">
        <f>'Péréquation directe'!J219/Effort!C213</f>
        <v>19.156307202306365</v>
      </c>
      <c r="I213" s="381">
        <f t="shared" si="9"/>
        <v>12.043679183555286</v>
      </c>
      <c r="J213" s="226">
        <f t="shared" si="10"/>
        <v>0</v>
      </c>
      <c r="K213" s="42">
        <f t="shared" si="11"/>
        <v>0</v>
      </c>
      <c r="L213" s="240"/>
    </row>
    <row r="214" spans="1:12" x14ac:dyDescent="0.25">
      <c r="A214" s="38">
        <f>Données!A214</f>
        <v>5752</v>
      </c>
      <c r="B214" s="171" t="str">
        <f>Données!B214</f>
        <v>Croy</v>
      </c>
      <c r="C214" s="353">
        <f>VPI!R214</f>
        <v>9413.4881132598912</v>
      </c>
      <c r="D214" s="209">
        <f>(PCS!I220-PCS!F220)/C214</f>
        <v>14.600235590898018</v>
      </c>
      <c r="E214" s="522">
        <f>'Péréquation directe'!E220/C214</f>
        <v>-5.2292628438539079</v>
      </c>
      <c r="F214" s="209">
        <f>'Péréquation directe'!F220/Effort!C214</f>
        <v>-20.72665131861795</v>
      </c>
      <c r="G214" s="209">
        <f>'Péréquation directe'!G220/Effort!C214</f>
        <v>-0.19727770387522686</v>
      </c>
      <c r="H214" s="209">
        <f>'Péréquation directe'!J220/Effort!C214</f>
        <v>19.156307202306365</v>
      </c>
      <c r="I214" s="381">
        <f t="shared" si="9"/>
        <v>7.6033509268572992</v>
      </c>
      <c r="J214" s="226">
        <f t="shared" si="10"/>
        <v>0</v>
      </c>
      <c r="K214" s="42">
        <f t="shared" si="11"/>
        <v>0</v>
      </c>
      <c r="L214" s="240"/>
    </row>
    <row r="215" spans="1:12" x14ac:dyDescent="0.25">
      <c r="A215" s="38">
        <f>Données!A215</f>
        <v>5754</v>
      </c>
      <c r="B215" s="171" t="str">
        <f>Données!B215</f>
        <v>Juriens</v>
      </c>
      <c r="C215" s="353">
        <f>VPI!R215</f>
        <v>8043.2571951290693</v>
      </c>
      <c r="D215" s="209">
        <f>(PCS!I221-PCS!F221)/C215</f>
        <v>14.60023559089802</v>
      </c>
      <c r="E215" s="522">
        <f>'Péréquation directe'!E221/C215</f>
        <v>-5.179738857066023</v>
      </c>
      <c r="F215" s="209">
        <f>'Péréquation directe'!F221/Effort!C215</f>
        <v>-23.162279872553377</v>
      </c>
      <c r="G215" s="209">
        <f>'Péréquation directe'!G221/Effort!C215</f>
        <v>-7.8655341235626848</v>
      </c>
      <c r="H215" s="209">
        <f>'Péréquation directe'!J221/Effort!C215</f>
        <v>19.156307202306365</v>
      </c>
      <c r="I215" s="381">
        <f t="shared" si="9"/>
        <v>-2.4510100599777012</v>
      </c>
      <c r="J215" s="226">
        <f t="shared" si="10"/>
        <v>0</v>
      </c>
      <c r="K215" s="42">
        <f t="shared" si="11"/>
        <v>0</v>
      </c>
      <c r="L215" s="240"/>
    </row>
    <row r="216" spans="1:12" x14ac:dyDescent="0.25">
      <c r="A216" s="38">
        <f>Données!A216</f>
        <v>5755</v>
      </c>
      <c r="B216" s="171" t="str">
        <f>Données!B216</f>
        <v>Lignerolle</v>
      </c>
      <c r="C216" s="353">
        <f>VPI!R216</f>
        <v>9053.1652859085789</v>
      </c>
      <c r="D216" s="209">
        <f>(PCS!I222-PCS!F222)/C216</f>
        <v>14.600235590898015</v>
      </c>
      <c r="E216" s="522">
        <f>'Péréquation directe'!E222/C216</f>
        <v>-5.9578470669730681</v>
      </c>
      <c r="F216" s="209">
        <f>'Péréquation directe'!F222/Effort!C216</f>
        <v>-30.004594704756737</v>
      </c>
      <c r="G216" s="209">
        <f>'Péréquation directe'!G222/Effort!C216</f>
        <v>-57.666724049843999</v>
      </c>
      <c r="H216" s="209">
        <f>'Péréquation directe'!J222/Effort!C216</f>
        <v>19.156307202306365</v>
      </c>
      <c r="I216" s="381">
        <f t="shared" si="9"/>
        <v>-59.872623028369432</v>
      </c>
      <c r="J216" s="226">
        <f t="shared" si="10"/>
        <v>0</v>
      </c>
      <c r="K216" s="42">
        <f t="shared" si="11"/>
        <v>0</v>
      </c>
      <c r="L216" s="240"/>
    </row>
    <row r="217" spans="1:12" x14ac:dyDescent="0.25">
      <c r="A217" s="38">
        <f>Données!A217</f>
        <v>5756</v>
      </c>
      <c r="B217" s="171" t="str">
        <f>Données!B217</f>
        <v>Montcherand</v>
      </c>
      <c r="C217" s="353">
        <f>VPI!R217</f>
        <v>15753.043205801514</v>
      </c>
      <c r="D217" s="209">
        <f>(PCS!I223-PCS!F223)/C217</f>
        <v>14.60023559089802</v>
      </c>
      <c r="E217" s="522">
        <f>'Péréquation directe'!E223/C217</f>
        <v>-3.9827825553692437</v>
      </c>
      <c r="F217" s="209">
        <f>'Péréquation directe'!F223/Effort!C217</f>
        <v>-10.006647727860456</v>
      </c>
      <c r="G217" s="209">
        <f>'Péréquation directe'!G223/Effort!C217</f>
        <v>-4.6618922963497544</v>
      </c>
      <c r="H217" s="209">
        <f>'Péréquation directe'!J223/Effort!C217</f>
        <v>19.156307202306365</v>
      </c>
      <c r="I217" s="381">
        <f t="shared" si="9"/>
        <v>15.105220213624932</v>
      </c>
      <c r="J217" s="226">
        <f t="shared" si="10"/>
        <v>0</v>
      </c>
      <c r="K217" s="42">
        <f t="shared" si="11"/>
        <v>0</v>
      </c>
      <c r="L217" s="240"/>
    </row>
    <row r="218" spans="1:12" x14ac:dyDescent="0.25">
      <c r="A218" s="38">
        <f>Données!A218</f>
        <v>5757</v>
      </c>
      <c r="B218" s="171" t="str">
        <f>Données!B218</f>
        <v>Orbe</v>
      </c>
      <c r="C218" s="353">
        <f>VPI!R218</f>
        <v>203477.21355711605</v>
      </c>
      <c r="D218" s="209">
        <f>(PCS!I224-PCS!F224)/C218</f>
        <v>14.60023559089802</v>
      </c>
      <c r="E218" s="522">
        <f>'Péréquation directe'!E224/C218</f>
        <v>-15.109579480857736</v>
      </c>
      <c r="F218" s="209">
        <f>'Péréquation directe'!F224/Effort!C218</f>
        <v>-14.043057363134405</v>
      </c>
      <c r="G218" s="209">
        <f>'Péréquation directe'!G224/Effort!C218</f>
        <v>-9.6814585978411625</v>
      </c>
      <c r="H218" s="209">
        <f>'Péréquation directe'!J224/Effort!C218</f>
        <v>19.156307202306365</v>
      </c>
      <c r="I218" s="381">
        <f t="shared" si="9"/>
        <v>-5.0775526486289166</v>
      </c>
      <c r="J218" s="226">
        <f t="shared" si="10"/>
        <v>0</v>
      </c>
      <c r="K218" s="42">
        <f t="shared" si="11"/>
        <v>0</v>
      </c>
      <c r="L218" s="240"/>
    </row>
    <row r="219" spans="1:12" x14ac:dyDescent="0.25">
      <c r="A219" s="38">
        <f>Données!A219</f>
        <v>5758</v>
      </c>
      <c r="B219" s="171" t="str">
        <f>Données!B219</f>
        <v>La Praz</v>
      </c>
      <c r="C219" s="353">
        <f>VPI!R219</f>
        <v>4311.7430790337894</v>
      </c>
      <c r="D219" s="209">
        <f>(PCS!I225-PCS!F225)/C219</f>
        <v>14.60023559089802</v>
      </c>
      <c r="E219" s="522">
        <f>'Péréquation directe'!E225/C219</f>
        <v>-5.0325224078133859</v>
      </c>
      <c r="F219" s="209">
        <f>'Péréquation directe'!F225/Effort!C219</f>
        <v>-24.058165025270632</v>
      </c>
      <c r="G219" s="209">
        <f>'Péréquation directe'!G225/Effort!C219</f>
        <v>-2.4483101202976836</v>
      </c>
      <c r="H219" s="209">
        <f>'Péréquation directe'!J225/Effort!C219</f>
        <v>19.156307202306365</v>
      </c>
      <c r="I219" s="381">
        <f t="shared" si="9"/>
        <v>2.2175452398226838</v>
      </c>
      <c r="J219" s="226">
        <f t="shared" si="10"/>
        <v>0</v>
      </c>
      <c r="K219" s="42">
        <f t="shared" si="11"/>
        <v>0</v>
      </c>
      <c r="L219" s="240"/>
    </row>
    <row r="220" spans="1:12" x14ac:dyDescent="0.25">
      <c r="A220" s="38">
        <f>Données!A220</f>
        <v>5759</v>
      </c>
      <c r="B220" s="171" t="str">
        <f>Données!B220</f>
        <v>Premier</v>
      </c>
      <c r="C220" s="353">
        <f>VPI!R220</f>
        <v>5307.2435849357244</v>
      </c>
      <c r="D220" s="209">
        <f>(PCS!I226-PCS!F226)/C220</f>
        <v>14.60023559089802</v>
      </c>
      <c r="E220" s="522">
        <f>'Péréquation directe'!E226/C220</f>
        <v>-5.0931681713936499</v>
      </c>
      <c r="F220" s="209">
        <f>'Péréquation directe'!F226/Effort!C220</f>
        <v>-22.64227021092481</v>
      </c>
      <c r="G220" s="209">
        <f>'Péréquation directe'!G226/Effort!C220</f>
        <v>-10.512492013753983</v>
      </c>
      <c r="H220" s="209">
        <f>'Péréquation directe'!J226/Effort!C220</f>
        <v>19.156307202306365</v>
      </c>
      <c r="I220" s="381">
        <f t="shared" si="9"/>
        <v>-4.491387602868059</v>
      </c>
      <c r="J220" s="226">
        <f t="shared" si="10"/>
        <v>0</v>
      </c>
      <c r="K220" s="42">
        <f t="shared" si="11"/>
        <v>0</v>
      </c>
      <c r="L220" s="240"/>
    </row>
    <row r="221" spans="1:12" x14ac:dyDescent="0.25">
      <c r="A221" s="38">
        <f>Données!A221</f>
        <v>5760</v>
      </c>
      <c r="B221" s="171" t="str">
        <f>Données!B221</f>
        <v>Rances</v>
      </c>
      <c r="C221" s="353">
        <f>VPI!R221</f>
        <v>12825.206275823581</v>
      </c>
      <c r="D221" s="209">
        <f>(PCS!I227-PCS!F227)/C221</f>
        <v>14.60023559089802</v>
      </c>
      <c r="E221" s="522">
        <f>'Péréquation directe'!E227/C221</f>
        <v>-4.9596787804053024</v>
      </c>
      <c r="F221" s="209">
        <f>'Péréquation directe'!F227/Effort!C221</f>
        <v>-19.803253668935682</v>
      </c>
      <c r="G221" s="209">
        <f>'Péréquation directe'!G227/Effort!C221</f>
        <v>-11.977885917341791</v>
      </c>
      <c r="H221" s="209">
        <f>'Péréquation directe'!J227/Effort!C221</f>
        <v>19.156307202306365</v>
      </c>
      <c r="I221" s="381">
        <f t="shared" si="9"/>
        <v>-2.9842755734783886</v>
      </c>
      <c r="J221" s="226">
        <f t="shared" si="10"/>
        <v>0</v>
      </c>
      <c r="K221" s="42">
        <f t="shared" si="11"/>
        <v>0</v>
      </c>
      <c r="L221" s="240"/>
    </row>
    <row r="222" spans="1:12" x14ac:dyDescent="0.25">
      <c r="A222" s="38">
        <f>Données!A222</f>
        <v>5761</v>
      </c>
      <c r="B222" s="171" t="str">
        <f>Données!B222</f>
        <v>Romainmôtier-Envy</v>
      </c>
      <c r="C222" s="353">
        <f>VPI!R222</f>
        <v>12133.770909516334</v>
      </c>
      <c r="D222" s="209">
        <f>(PCS!I228-PCS!F228)/C222</f>
        <v>14.600235590898022</v>
      </c>
      <c r="E222" s="522">
        <f>'Péréquation directe'!E228/C222</f>
        <v>-5.3649299522262304</v>
      </c>
      <c r="F222" s="209">
        <f>'Péréquation directe'!F228/Effort!C222</f>
        <v>-26.157819002853646</v>
      </c>
      <c r="G222" s="209">
        <f>'Péréquation directe'!G228/Effort!C222</f>
        <v>-16.440962667792281</v>
      </c>
      <c r="H222" s="209">
        <f>'Péréquation directe'!J228/Effort!C222</f>
        <v>19.156307202306365</v>
      </c>
      <c r="I222" s="381">
        <f t="shared" si="9"/>
        <v>-14.207168829667765</v>
      </c>
      <c r="J222" s="226">
        <f t="shared" si="10"/>
        <v>0</v>
      </c>
      <c r="K222" s="42">
        <f t="shared" si="11"/>
        <v>0</v>
      </c>
      <c r="L222" s="240"/>
    </row>
    <row r="223" spans="1:12" x14ac:dyDescent="0.25">
      <c r="A223" s="38">
        <f>Données!A223</f>
        <v>5762</v>
      </c>
      <c r="B223" s="171" t="str">
        <f>Données!B223</f>
        <v>Sergey</v>
      </c>
      <c r="C223" s="353">
        <f>VPI!R223</f>
        <v>3771.973692411721</v>
      </c>
      <c r="D223" s="209">
        <f>(PCS!I229-PCS!F229)/C223</f>
        <v>14.60023559089802</v>
      </c>
      <c r="E223" s="522">
        <f>'Péréquation directe'!E229/C223</f>
        <v>-4.7665032194313817</v>
      </c>
      <c r="F223" s="209">
        <f>'Péréquation directe'!F229/Effort!C223</f>
        <v>-18.838704339243556</v>
      </c>
      <c r="G223" s="209">
        <f>'Péréquation directe'!G229/Effort!C223</f>
        <v>-7.1505476378271755</v>
      </c>
      <c r="H223" s="209">
        <f>'Péréquation directe'!J229/Effort!C223</f>
        <v>19.156307202306365</v>
      </c>
      <c r="I223" s="381">
        <f t="shared" si="9"/>
        <v>3.0007875967022741</v>
      </c>
      <c r="J223" s="226">
        <f t="shared" si="10"/>
        <v>0</v>
      </c>
      <c r="K223" s="42">
        <f t="shared" si="11"/>
        <v>0</v>
      </c>
      <c r="L223" s="240"/>
    </row>
    <row r="224" spans="1:12" x14ac:dyDescent="0.25">
      <c r="A224" s="38">
        <f>Données!A224</f>
        <v>5763</v>
      </c>
      <c r="B224" s="171" t="str">
        <f>Données!B224</f>
        <v>Valeyres-sous-Rances</v>
      </c>
      <c r="C224" s="353">
        <f>VPI!R224</f>
        <v>20450.878825889598</v>
      </c>
      <c r="D224" s="209">
        <f>(PCS!I230-PCS!F230)/C224</f>
        <v>14.600235590898018</v>
      </c>
      <c r="E224" s="522">
        <f>'Péréquation directe'!E230/C224</f>
        <v>-3.6923755006590642</v>
      </c>
      <c r="F224" s="209">
        <f>'Péréquation directe'!F230/Effort!C224</f>
        <v>-6.9275969835817781</v>
      </c>
      <c r="G224" s="209">
        <f>'Péréquation directe'!G230/Effort!C224</f>
        <v>-5.6468022185458242</v>
      </c>
      <c r="H224" s="209">
        <f>'Péréquation directe'!J230/Effort!C224</f>
        <v>19.156307202306365</v>
      </c>
      <c r="I224" s="381">
        <f t="shared" si="9"/>
        <v>17.489768090417716</v>
      </c>
      <c r="J224" s="226">
        <f t="shared" si="10"/>
        <v>0</v>
      </c>
      <c r="K224" s="42">
        <f t="shared" si="11"/>
        <v>0</v>
      </c>
      <c r="L224" s="240"/>
    </row>
    <row r="225" spans="1:12" x14ac:dyDescent="0.25">
      <c r="A225" s="38">
        <f>Données!A225</f>
        <v>5764</v>
      </c>
      <c r="B225" s="171" t="str">
        <f>Données!B225</f>
        <v>Vallorbe</v>
      </c>
      <c r="C225" s="353">
        <f>VPI!R225</f>
        <v>84208.757632819674</v>
      </c>
      <c r="D225" s="209">
        <f>(PCS!I231-PCS!F231)/C225</f>
        <v>14.600235590898018</v>
      </c>
      <c r="E225" s="522">
        <f>'Péréquation directe'!E231/C225</f>
        <v>-14.865948549064033</v>
      </c>
      <c r="F225" s="209">
        <f>'Péréquation directe'!F231/Effort!C225</f>
        <v>-22.963418388090496</v>
      </c>
      <c r="G225" s="209">
        <f>'Péréquation directe'!G231/Effort!C225</f>
        <v>-24.020341741630535</v>
      </c>
      <c r="H225" s="209">
        <f>'Péréquation directe'!J231/Effort!C225</f>
        <v>19.156307202306365</v>
      </c>
      <c r="I225" s="381">
        <f t="shared" si="9"/>
        <v>-28.093165885580675</v>
      </c>
      <c r="J225" s="226">
        <f t="shared" si="10"/>
        <v>0</v>
      </c>
      <c r="K225" s="42">
        <f t="shared" si="11"/>
        <v>0</v>
      </c>
      <c r="L225" s="240"/>
    </row>
    <row r="226" spans="1:12" x14ac:dyDescent="0.25">
      <c r="A226" s="38">
        <f>Données!A226</f>
        <v>5765</v>
      </c>
      <c r="B226" s="171" t="str">
        <f>Données!B226</f>
        <v>Vaulion</v>
      </c>
      <c r="C226" s="353">
        <f>VPI!R226</f>
        <v>11314.093434772476</v>
      </c>
      <c r="D226" s="209">
        <f>(PCS!I232-PCS!F232)/C226</f>
        <v>14.60023559089802</v>
      </c>
      <c r="E226" s="522">
        <f>'Péréquation directe'!E232/C226</f>
        <v>-5.5453798429150023</v>
      </c>
      <c r="F226" s="209">
        <f>'Péréquation directe'!F232/Effort!C226</f>
        <v>-27.919453424447486</v>
      </c>
      <c r="G226" s="209">
        <f>'Péréquation directe'!G232/Effort!C226</f>
        <v>-13.705196108662333</v>
      </c>
      <c r="H226" s="209">
        <f>'Péréquation directe'!J232/Effort!C226</f>
        <v>19.156307202306365</v>
      </c>
      <c r="I226" s="381">
        <f t="shared" si="9"/>
        <v>-13.41348658282044</v>
      </c>
      <c r="J226" s="226">
        <f t="shared" si="10"/>
        <v>0</v>
      </c>
      <c r="K226" s="42">
        <f t="shared" si="11"/>
        <v>0</v>
      </c>
      <c r="L226" s="240"/>
    </row>
    <row r="227" spans="1:12" x14ac:dyDescent="0.25">
      <c r="A227" s="38">
        <f>Données!A227</f>
        <v>5766</v>
      </c>
      <c r="B227" s="171" t="str">
        <f>Données!B227</f>
        <v>Vuiteboeuf</v>
      </c>
      <c r="C227" s="353">
        <f>VPI!R227</f>
        <v>15990.410165272326</v>
      </c>
      <c r="D227" s="209">
        <f>(PCS!I233-PCS!F233)/C227</f>
        <v>14.60023559089802</v>
      </c>
      <c r="E227" s="522">
        <f>'Péréquation directe'!E233/C227</f>
        <v>-4.5284938973209465</v>
      </c>
      <c r="F227" s="209">
        <f>'Péréquation directe'!F233/Effort!C227</f>
        <v>-16.259021797268844</v>
      </c>
      <c r="G227" s="209">
        <f>'Péréquation directe'!G233/Effort!C227</f>
        <v>-7.0804806029463006</v>
      </c>
      <c r="H227" s="209">
        <f>'Péréquation directe'!J233/Effort!C227</f>
        <v>19.156307202306365</v>
      </c>
      <c r="I227" s="381">
        <f t="shared" si="9"/>
        <v>5.8885464956682956</v>
      </c>
      <c r="J227" s="226">
        <f t="shared" si="10"/>
        <v>0</v>
      </c>
      <c r="K227" s="42">
        <f t="shared" si="11"/>
        <v>0</v>
      </c>
      <c r="L227" s="240"/>
    </row>
    <row r="228" spans="1:12" x14ac:dyDescent="0.25">
      <c r="A228" s="38">
        <f>Données!A228</f>
        <v>5785</v>
      </c>
      <c r="B228" s="171" t="str">
        <f>Données!B228</f>
        <v>Corcelles-le-Jorat</v>
      </c>
      <c r="C228" s="353">
        <f>VPI!R228</f>
        <v>17505.983698727712</v>
      </c>
      <c r="D228" s="209">
        <f>(PCS!I234-PCS!F234)/C228</f>
        <v>14.60023559089802</v>
      </c>
      <c r="E228" s="522">
        <f>'Péréquation directe'!E234/C228</f>
        <v>-3.1944093304542589</v>
      </c>
      <c r="F228" s="209">
        <f>'Péréquation directe'!F234/Effort!C228</f>
        <v>-4.4896322625359995</v>
      </c>
      <c r="G228" s="209">
        <f>'Péréquation directe'!G234/Effort!C228</f>
        <v>-3.7095236206753426</v>
      </c>
      <c r="H228" s="209">
        <f>'Péréquation directe'!J234/Effort!C228</f>
        <v>19.156307202306365</v>
      </c>
      <c r="I228" s="381">
        <f t="shared" si="9"/>
        <v>22.362977579538782</v>
      </c>
      <c r="J228" s="226">
        <f t="shared" si="10"/>
        <v>0</v>
      </c>
      <c r="K228" s="42">
        <f t="shared" si="11"/>
        <v>0</v>
      </c>
      <c r="L228" s="240"/>
    </row>
    <row r="229" spans="1:12" x14ac:dyDescent="0.25">
      <c r="A229" s="38">
        <f>Données!A229</f>
        <v>5790</v>
      </c>
      <c r="B229" s="171" t="str">
        <f>Données!B229</f>
        <v>Maracon</v>
      </c>
      <c r="C229" s="353">
        <f>VPI!R229</f>
        <v>13395.718975615504</v>
      </c>
      <c r="D229" s="209">
        <f>(PCS!I235-PCS!F235)/C229</f>
        <v>14.600235590898018</v>
      </c>
      <c r="E229" s="522">
        <f>'Péréquation directe'!E235/C229</f>
        <v>-4.9798560746550304</v>
      </c>
      <c r="F229" s="209">
        <f>'Péréquation directe'!F235/Effort!C229</f>
        <v>-18.947959281125616</v>
      </c>
      <c r="G229" s="209">
        <f>'Péréquation directe'!G235/Effort!C229</f>
        <v>-4.4046486981185646</v>
      </c>
      <c r="H229" s="209">
        <f>'Péréquation directe'!J235/Effort!C229</f>
        <v>19.156307202306365</v>
      </c>
      <c r="I229" s="381">
        <f t="shared" si="9"/>
        <v>5.4240787393051733</v>
      </c>
      <c r="J229" s="226">
        <f t="shared" si="10"/>
        <v>0</v>
      </c>
      <c r="K229" s="42">
        <f t="shared" si="11"/>
        <v>0</v>
      </c>
      <c r="L229" s="240"/>
    </row>
    <row r="230" spans="1:12" x14ac:dyDescent="0.25">
      <c r="A230" s="38">
        <f>Données!A230</f>
        <v>5792</v>
      </c>
      <c r="B230" s="171" t="str">
        <f>Données!B230</f>
        <v>Montpreveyres</v>
      </c>
      <c r="C230" s="353">
        <f>VPI!R230</f>
        <v>17608.366503920086</v>
      </c>
      <c r="D230" s="209">
        <f>(PCS!I236-PCS!F236)/C230</f>
        <v>14.60023559089802</v>
      </c>
      <c r="E230" s="522">
        <f>'Péréquation directe'!E236/C230</f>
        <v>-4.5982719823599174</v>
      </c>
      <c r="F230" s="209">
        <f>'Péréquation directe'!F236/Effort!C230</f>
        <v>-16.009390445273752</v>
      </c>
      <c r="G230" s="209">
        <f>'Péréquation directe'!G236/Effort!C230</f>
        <v>-10.024825467892283</v>
      </c>
      <c r="H230" s="209">
        <f>'Péréquation directe'!J236/Effort!C230</f>
        <v>19.156307202306365</v>
      </c>
      <c r="I230" s="381">
        <f t="shared" si="9"/>
        <v>3.1240548976784339</v>
      </c>
      <c r="J230" s="226">
        <f t="shared" si="10"/>
        <v>0</v>
      </c>
      <c r="K230" s="42">
        <f t="shared" si="11"/>
        <v>0</v>
      </c>
      <c r="L230" s="240"/>
    </row>
    <row r="231" spans="1:12" x14ac:dyDescent="0.25">
      <c r="A231" s="38">
        <f>Données!A231</f>
        <v>5798</v>
      </c>
      <c r="B231" s="171" t="str">
        <f>Données!B231</f>
        <v>Ropraz</v>
      </c>
      <c r="C231" s="353">
        <f>VPI!R231</f>
        <v>15757.055763710458</v>
      </c>
      <c r="D231" s="209">
        <f>(PCS!I237-PCS!F237)/C231</f>
        <v>14.60023559089802</v>
      </c>
      <c r="E231" s="522">
        <f>'Péréquation directe'!E237/C231</f>
        <v>-4.1548886961511284</v>
      </c>
      <c r="F231" s="209">
        <f>'Péréquation directe'!F237/Effort!C231</f>
        <v>-13.131947865575112</v>
      </c>
      <c r="G231" s="209">
        <f>'Péréquation directe'!G237/Effort!C231</f>
        <v>-3.6323039199716423</v>
      </c>
      <c r="H231" s="209">
        <f>'Péréquation directe'!J237/Effort!C231</f>
        <v>19.156307202306365</v>
      </c>
      <c r="I231" s="381">
        <f t="shared" si="9"/>
        <v>12.837402311506501</v>
      </c>
      <c r="J231" s="226">
        <f t="shared" si="10"/>
        <v>0</v>
      </c>
      <c r="K231" s="42">
        <f t="shared" si="11"/>
        <v>0</v>
      </c>
      <c r="L231" s="240"/>
    </row>
    <row r="232" spans="1:12" x14ac:dyDescent="0.25">
      <c r="A232" s="38">
        <f>Données!A232</f>
        <v>5799</v>
      </c>
      <c r="B232" s="171" t="str">
        <f>Données!B232</f>
        <v>Servion</v>
      </c>
      <c r="C232" s="353">
        <f>VPI!R232</f>
        <v>69379.10406939665</v>
      </c>
      <c r="D232" s="209">
        <f>(PCS!I238-PCS!F238)/C232</f>
        <v>14.60023559089802</v>
      </c>
      <c r="E232" s="522">
        <f>'Péréquation directe'!E238/C232</f>
        <v>-7.1716547012413763</v>
      </c>
      <c r="F232" s="209">
        <f>'Péréquation directe'!F238/Effort!C232</f>
        <v>-7.2592333613299234</v>
      </c>
      <c r="G232" s="209">
        <f>'Péréquation directe'!G238/Effort!C232</f>
        <v>-4.7428131279193915</v>
      </c>
      <c r="H232" s="209">
        <f>'Péréquation directe'!J238/Effort!C232</f>
        <v>19.156307202306365</v>
      </c>
      <c r="I232" s="381">
        <f t="shared" si="9"/>
        <v>14.582841602713694</v>
      </c>
      <c r="J232" s="226">
        <f t="shared" si="10"/>
        <v>0</v>
      </c>
      <c r="K232" s="42">
        <f t="shared" si="11"/>
        <v>0</v>
      </c>
      <c r="L232" s="240"/>
    </row>
    <row r="233" spans="1:12" x14ac:dyDescent="0.25">
      <c r="A233" s="38">
        <f>Données!A233</f>
        <v>5803</v>
      </c>
      <c r="B233" s="171" t="str">
        <f>Données!B233</f>
        <v>Vulliens</v>
      </c>
      <c r="C233" s="353">
        <f>VPI!R233</f>
        <v>18878.281315789478</v>
      </c>
      <c r="D233" s="209">
        <f>(PCS!I239-PCS!F239)/C233</f>
        <v>14.60023559089802</v>
      </c>
      <c r="E233" s="522">
        <f>'Péréquation directe'!E239/C233</f>
        <v>-4.0984786753701758</v>
      </c>
      <c r="F233" s="209">
        <f>'Péréquation directe'!F239/Effort!C233</f>
        <v>-12.143722637868343</v>
      </c>
      <c r="G233" s="209">
        <f>'Péréquation directe'!G239/Effort!C233</f>
        <v>-4.3438594725163755</v>
      </c>
      <c r="H233" s="209">
        <f>'Péréquation directe'!J239/Effort!C233</f>
        <v>19.156307202306365</v>
      </c>
      <c r="I233" s="381">
        <f t="shared" si="9"/>
        <v>13.17048200744949</v>
      </c>
      <c r="J233" s="226">
        <f t="shared" si="10"/>
        <v>0</v>
      </c>
      <c r="K233" s="42">
        <f t="shared" si="11"/>
        <v>0</v>
      </c>
      <c r="L233" s="240"/>
    </row>
    <row r="234" spans="1:12" x14ac:dyDescent="0.25">
      <c r="A234" s="38">
        <f>Données!A234</f>
        <v>5804</v>
      </c>
      <c r="B234" s="171" t="str">
        <f>Données!B234</f>
        <v>Jorat-Menthue</v>
      </c>
      <c r="C234" s="353">
        <f>VPI!R234</f>
        <v>46675.442411362579</v>
      </c>
      <c r="D234" s="209">
        <f>(PCS!I240-PCS!F240)/C234</f>
        <v>14.600235590898018</v>
      </c>
      <c r="E234" s="522">
        <f>'Péréquation directe'!E240/C234</f>
        <v>-7.1343338580491817</v>
      </c>
      <c r="F234" s="209">
        <f>'Péréquation directe'!F240/Effort!C234</f>
        <v>-11.612668745397437</v>
      </c>
      <c r="G234" s="209">
        <f>'Péréquation directe'!G240/Effort!C234</f>
        <v>-10.589996327554315</v>
      </c>
      <c r="H234" s="209">
        <f>'Péréquation directe'!J240/Effort!C234</f>
        <v>19.156307202306365</v>
      </c>
      <c r="I234" s="381">
        <f t="shared" si="9"/>
        <v>4.4195438622034491</v>
      </c>
      <c r="J234" s="226">
        <f t="shared" si="10"/>
        <v>0</v>
      </c>
      <c r="K234" s="42">
        <f t="shared" si="11"/>
        <v>0</v>
      </c>
      <c r="L234" s="240"/>
    </row>
    <row r="235" spans="1:12" x14ac:dyDescent="0.25">
      <c r="A235" s="38">
        <f>Données!A235</f>
        <v>5805</v>
      </c>
      <c r="B235" s="171" t="str">
        <f>Données!B235</f>
        <v>Oron</v>
      </c>
      <c r="C235" s="353">
        <f>VPI!R235</f>
        <v>172360.6832516081</v>
      </c>
      <c r="D235" s="209">
        <f>(PCS!I241-PCS!F241)/C235</f>
        <v>14.60023559089802</v>
      </c>
      <c r="E235" s="522">
        <f>'Péréquation directe'!E241/C235</f>
        <v>-14.135658694203599</v>
      </c>
      <c r="F235" s="209">
        <f>'Péréquation directe'!F241/Effort!C235</f>
        <v>-11.900315827437391</v>
      </c>
      <c r="G235" s="209">
        <f>'Péréquation directe'!G241/Effort!C235</f>
        <v>-5.2087873728127327</v>
      </c>
      <c r="H235" s="209">
        <f>'Péréquation directe'!J241/Effort!C235</f>
        <v>19.156307202306365</v>
      </c>
      <c r="I235" s="381">
        <f t="shared" si="9"/>
        <v>2.5117808987506649</v>
      </c>
      <c r="J235" s="226">
        <f t="shared" si="10"/>
        <v>0</v>
      </c>
      <c r="K235" s="42">
        <f t="shared" si="11"/>
        <v>0</v>
      </c>
      <c r="L235" s="240"/>
    </row>
    <row r="236" spans="1:12" x14ac:dyDescent="0.25">
      <c r="A236" s="38">
        <f>Données!A236</f>
        <v>5806</v>
      </c>
      <c r="B236" s="171" t="str">
        <f>Données!B236</f>
        <v>Jorat-Mézières</v>
      </c>
      <c r="C236" s="353">
        <f>VPI!R236</f>
        <v>91040.343063115521</v>
      </c>
      <c r="D236" s="209">
        <f>(PCS!I242-PCS!F242)/C236</f>
        <v>14.60023559089802</v>
      </c>
      <c r="E236" s="522">
        <f>'Péréquation directe'!E242/C236</f>
        <v>-8.8593244321863018</v>
      </c>
      <c r="F236" s="209">
        <f>'Péréquation directe'!F242/Effort!C236</f>
        <v>-10.737021801290684</v>
      </c>
      <c r="G236" s="209">
        <f>'Péréquation directe'!G242/Effort!C236</f>
        <v>-4.5426173464064963</v>
      </c>
      <c r="H236" s="209">
        <f>'Péréquation directe'!J242/Effort!C236</f>
        <v>19.156307202306365</v>
      </c>
      <c r="I236" s="381">
        <f t="shared" si="9"/>
        <v>9.6175792133209033</v>
      </c>
      <c r="J236" s="226">
        <f t="shared" si="10"/>
        <v>0</v>
      </c>
      <c r="K236" s="42">
        <f t="shared" si="11"/>
        <v>0</v>
      </c>
      <c r="L236" s="240"/>
    </row>
    <row r="237" spans="1:12" x14ac:dyDescent="0.25">
      <c r="A237" s="38">
        <f>Données!A237</f>
        <v>5812</v>
      </c>
      <c r="B237" s="171" t="str">
        <f>Données!B237</f>
        <v>Champtauroz</v>
      </c>
      <c r="C237" s="353">
        <f>VPI!R237</f>
        <v>2509.107922077922</v>
      </c>
      <c r="D237" s="209">
        <f>(PCS!I243-PCS!F243)/C237</f>
        <v>14.600235590898018</v>
      </c>
      <c r="E237" s="522">
        <f>'Péréquation directe'!E243/C237</f>
        <v>-7.1161270615739358</v>
      </c>
      <c r="F237" s="209">
        <f>'Péréquation directe'!F243/Effort!C237</f>
        <v>-39.087306779693101</v>
      </c>
      <c r="G237" s="209">
        <f>'Péréquation directe'!G243/Effort!C237</f>
        <v>-11.785205493689457</v>
      </c>
      <c r="H237" s="209">
        <f>'Péréquation directe'!J243/Effort!C237</f>
        <v>19.156307202306365</v>
      </c>
      <c r="I237" s="381">
        <f t="shared" si="9"/>
        <v>-24.232096541752114</v>
      </c>
      <c r="J237" s="226">
        <f t="shared" si="10"/>
        <v>0</v>
      </c>
      <c r="K237" s="42">
        <f t="shared" si="11"/>
        <v>0</v>
      </c>
      <c r="L237" s="240"/>
    </row>
    <row r="238" spans="1:12" x14ac:dyDescent="0.25">
      <c r="A238" s="38">
        <f>Données!A238</f>
        <v>5813</v>
      </c>
      <c r="B238" s="171" t="str">
        <f>Données!B238</f>
        <v>Chevroux</v>
      </c>
      <c r="C238" s="353">
        <f>VPI!R238</f>
        <v>15173.187804567502</v>
      </c>
      <c r="D238" s="209">
        <f>(PCS!I244-PCS!F244)/C238</f>
        <v>14.60023559089802</v>
      </c>
      <c r="E238" s="522">
        <f>'Péréquation directe'!E244/C238</f>
        <v>-4.0450967102614133</v>
      </c>
      <c r="F238" s="209">
        <f>'Péréquation directe'!F244/Effort!C238</f>
        <v>-9.492493146224545</v>
      </c>
      <c r="G238" s="209">
        <f>'Péréquation directe'!G244/Effort!C238</f>
        <v>-21.564988675227287</v>
      </c>
      <c r="H238" s="209">
        <f>'Péréquation directe'!J244/Effort!C238</f>
        <v>19.156307202306365</v>
      </c>
      <c r="I238" s="381">
        <f t="shared" si="9"/>
        <v>-1.3460357385088599</v>
      </c>
      <c r="J238" s="226">
        <f t="shared" si="10"/>
        <v>0</v>
      </c>
      <c r="K238" s="42">
        <f t="shared" si="11"/>
        <v>0</v>
      </c>
      <c r="L238" s="240"/>
    </row>
    <row r="239" spans="1:12" x14ac:dyDescent="0.25">
      <c r="A239" s="38">
        <f>Données!A239</f>
        <v>5816</v>
      </c>
      <c r="B239" s="171" t="str">
        <f>Données!B239</f>
        <v>Corcelles-près-Payerne</v>
      </c>
      <c r="C239" s="353">
        <f>VPI!R239</f>
        <v>60494.301475743108</v>
      </c>
      <c r="D239" s="209">
        <f>(PCS!I245-PCS!F245)/C239</f>
        <v>14.600235590898022</v>
      </c>
      <c r="E239" s="522">
        <f>'Péréquation directe'!E245/C239</f>
        <v>-11.697114195108545</v>
      </c>
      <c r="F239" s="209">
        <f>'Péréquation directe'!F245/Effort!C239</f>
        <v>-19.616837020403686</v>
      </c>
      <c r="G239" s="209">
        <f>'Péréquation directe'!G245/Effort!C239</f>
        <v>-5.5826405612925196</v>
      </c>
      <c r="H239" s="209">
        <f>'Péréquation directe'!J245/Effort!C239</f>
        <v>19.156307202306365</v>
      </c>
      <c r="I239" s="381">
        <f t="shared" si="9"/>
        <v>-3.1400489836003658</v>
      </c>
      <c r="J239" s="226">
        <f t="shared" si="10"/>
        <v>0</v>
      </c>
      <c r="K239" s="42">
        <f t="shared" si="11"/>
        <v>0</v>
      </c>
      <c r="L239" s="240"/>
    </row>
    <row r="240" spans="1:12" x14ac:dyDescent="0.25">
      <c r="A240" s="38">
        <f>Données!A240</f>
        <v>5817</v>
      </c>
      <c r="B240" s="171" t="str">
        <f>Données!B240</f>
        <v>Grandcour</v>
      </c>
      <c r="C240" s="353">
        <f>VPI!R240</f>
        <v>21852.23221700843</v>
      </c>
      <c r="D240" s="209">
        <f>(PCS!I246-PCS!F246)/C240</f>
        <v>14.600235590898018</v>
      </c>
      <c r="E240" s="522">
        <f>'Péréquation directe'!E246/C240</f>
        <v>-5.4869526274090541</v>
      </c>
      <c r="F240" s="209">
        <f>'Péréquation directe'!F246/Effort!C240</f>
        <v>-22.518893536904027</v>
      </c>
      <c r="G240" s="209">
        <f>'Péréquation directe'!G246/Effort!C240</f>
        <v>-6.7596381490135489</v>
      </c>
      <c r="H240" s="209">
        <f>'Péréquation directe'!J246/Effort!C240</f>
        <v>19.156307202306365</v>
      </c>
      <c r="I240" s="381">
        <f t="shared" si="9"/>
        <v>-1.0089415201222494</v>
      </c>
      <c r="J240" s="226">
        <f t="shared" si="10"/>
        <v>0</v>
      </c>
      <c r="K240" s="42">
        <f t="shared" si="11"/>
        <v>0</v>
      </c>
      <c r="L240" s="240"/>
    </row>
    <row r="241" spans="1:13" x14ac:dyDescent="0.25">
      <c r="A241" s="38">
        <f>Données!A241</f>
        <v>5819</v>
      </c>
      <c r="B241" s="171" t="str">
        <f>Données!B241</f>
        <v>Henniez</v>
      </c>
      <c r="C241" s="353">
        <f>VPI!R241</f>
        <v>11442.507547725303</v>
      </c>
      <c r="D241" s="209">
        <f>(PCS!I247-PCS!F247)/C241</f>
        <v>14.600235590898018</v>
      </c>
      <c r="E241" s="522">
        <f>'Péréquation directe'!E247/C241</f>
        <v>-4.2911581620681352</v>
      </c>
      <c r="F241" s="209">
        <f>'Péréquation directe'!F247/Effort!C241</f>
        <v>-11.37470990875169</v>
      </c>
      <c r="G241" s="209">
        <f>'Péréquation directe'!G247/Effort!C241</f>
        <v>-8.8630664468129599</v>
      </c>
      <c r="H241" s="209">
        <f>'Péréquation directe'!J247/Effort!C241</f>
        <v>19.156307202306365</v>
      </c>
      <c r="I241" s="381">
        <f t="shared" si="9"/>
        <v>9.2276082755715993</v>
      </c>
      <c r="J241" s="226">
        <f t="shared" si="10"/>
        <v>0</v>
      </c>
      <c r="K241" s="42">
        <f t="shared" si="11"/>
        <v>0</v>
      </c>
      <c r="L241" s="240"/>
    </row>
    <row r="242" spans="1:13" x14ac:dyDescent="0.25">
      <c r="A242" s="38">
        <f>Données!A242</f>
        <v>5821</v>
      </c>
      <c r="B242" s="171" t="str">
        <f>Données!B242</f>
        <v>Missy</v>
      </c>
      <c r="C242" s="353">
        <f>VPI!R242</f>
        <v>7871.5501639965696</v>
      </c>
      <c r="D242" s="209">
        <f>(PCS!I248-PCS!F248)/C242</f>
        <v>14.60023559089802</v>
      </c>
      <c r="E242" s="522">
        <f>'Péréquation directe'!E248/C242</f>
        <v>-5.7967970376072504</v>
      </c>
      <c r="F242" s="209">
        <f>'Péréquation directe'!F248/Effort!C242</f>
        <v>-23.999133351656297</v>
      </c>
      <c r="G242" s="209">
        <f>'Péréquation directe'!G248/Effort!C242</f>
        <v>-2.4597059807327959</v>
      </c>
      <c r="H242" s="209">
        <f>'Péréquation directe'!J248/Effort!C242</f>
        <v>19.156307202306365</v>
      </c>
      <c r="I242" s="381">
        <f t="shared" si="9"/>
        <v>1.5009064232080433</v>
      </c>
      <c r="J242" s="226">
        <f t="shared" si="10"/>
        <v>0</v>
      </c>
      <c r="K242" s="42">
        <f t="shared" si="11"/>
        <v>0</v>
      </c>
      <c r="L242" s="240"/>
    </row>
    <row r="243" spans="1:13" x14ac:dyDescent="0.25">
      <c r="A243" s="38">
        <f>Données!A243</f>
        <v>5822</v>
      </c>
      <c r="B243" s="171" t="str">
        <f>Données!B243</f>
        <v>Payerne</v>
      </c>
      <c r="C243" s="353">
        <f>VPI!R243</f>
        <v>237529.8930471511</v>
      </c>
      <c r="D243" s="209">
        <f>(PCS!I249-PCS!F249)/C243</f>
        <v>14.600235590898018</v>
      </c>
      <c r="E243" s="522">
        <f>'Péréquation directe'!E249/C243</f>
        <v>-21.577141431887441</v>
      </c>
      <c r="F243" s="209">
        <f>'Péréquation directe'!F249/Effort!C243</f>
        <v>-20.544964527438498</v>
      </c>
      <c r="G243" s="209">
        <f>'Péréquation directe'!G249/Effort!C243</f>
        <v>-7.179662188365338</v>
      </c>
      <c r="H243" s="209">
        <f>'Péréquation directe'!J249/Effort!C243</f>
        <v>19.156307202306365</v>
      </c>
      <c r="I243" s="381">
        <f t="shared" si="9"/>
        <v>-15.545225354486888</v>
      </c>
      <c r="J243" s="226">
        <f t="shared" si="10"/>
        <v>0</v>
      </c>
      <c r="K243" s="42">
        <f t="shared" si="11"/>
        <v>0</v>
      </c>
      <c r="L243" s="240"/>
    </row>
    <row r="244" spans="1:13" x14ac:dyDescent="0.25">
      <c r="A244" s="38">
        <f>Données!A244</f>
        <v>5827</v>
      </c>
      <c r="B244" s="171" t="str">
        <f>Données!B244</f>
        <v>Trey</v>
      </c>
      <c r="C244" s="353">
        <f>VPI!R244</f>
        <v>6158.3041346806722</v>
      </c>
      <c r="D244" s="209">
        <f>(PCS!I250-PCS!F250)/C244</f>
        <v>14.600235590898018</v>
      </c>
      <c r="E244" s="522">
        <f>'Péréquation directe'!E250/C244</f>
        <v>-6.0805988537485485</v>
      </c>
      <c r="F244" s="209">
        <f>'Péréquation directe'!F250/Effort!C244</f>
        <v>-30.734823463683508</v>
      </c>
      <c r="G244" s="209">
        <f>'Péréquation directe'!G250/Effort!C244</f>
        <v>-8.8691909326670739</v>
      </c>
      <c r="H244" s="209">
        <f>'Péréquation directe'!J250/Effort!C244</f>
        <v>19.156307202306365</v>
      </c>
      <c r="I244" s="381">
        <f t="shared" si="9"/>
        <v>-11.928070456894748</v>
      </c>
      <c r="J244" s="226">
        <f t="shared" si="10"/>
        <v>0</v>
      </c>
      <c r="K244" s="42">
        <f t="shared" si="11"/>
        <v>0</v>
      </c>
      <c r="L244" s="240"/>
    </row>
    <row r="245" spans="1:13" x14ac:dyDescent="0.25">
      <c r="A245" s="38">
        <f>Données!A245</f>
        <v>5828</v>
      </c>
      <c r="B245" s="171" t="str">
        <f>Données!B245</f>
        <v>Treytorrens (Payerne)</v>
      </c>
      <c r="C245" s="353">
        <f>VPI!R245</f>
        <v>2288.504365079365</v>
      </c>
      <c r="D245" s="209">
        <f>(PCS!I251-PCS!F251)/C245</f>
        <v>14.60023559089802</v>
      </c>
      <c r="E245" s="522">
        <f>'Péréquation directe'!E251/C245</f>
        <v>-6.1766593443823963</v>
      </c>
      <c r="F245" s="209">
        <f>'Péréquation directe'!F251/Effort!C245</f>
        <v>-36.65365924417631</v>
      </c>
      <c r="G245" s="209">
        <f>'Péréquation directe'!G251/Effort!C245</f>
        <v>-11.33156918178522</v>
      </c>
      <c r="H245" s="209">
        <f>'Péréquation directe'!J251/Effort!C245</f>
        <v>19.156307202306365</v>
      </c>
      <c r="I245" s="381">
        <f t="shared" si="9"/>
        <v>-20.405344977139542</v>
      </c>
      <c r="J245" s="226">
        <f t="shared" si="10"/>
        <v>0</v>
      </c>
      <c r="K245" s="42">
        <f t="shared" si="11"/>
        <v>0</v>
      </c>
      <c r="L245" s="240"/>
    </row>
    <row r="246" spans="1:13" x14ac:dyDescent="0.25">
      <c r="A246" s="38">
        <f>Données!A246</f>
        <v>5830</v>
      </c>
      <c r="B246" s="171" t="str">
        <f>Données!B246</f>
        <v>Villarzel</v>
      </c>
      <c r="C246" s="353">
        <f>VPI!R246</f>
        <v>12469.37329599799</v>
      </c>
      <c r="D246" s="209">
        <f>(PCS!I252-PCS!F252)/C246</f>
        <v>14.600235590898018</v>
      </c>
      <c r="E246" s="522">
        <f>'Péréquation directe'!E252/C246</f>
        <v>-4.7432312210372691</v>
      </c>
      <c r="F246" s="209">
        <f>'Péréquation directe'!F252/Effort!C246</f>
        <v>-18.153449836714096</v>
      </c>
      <c r="G246" s="209">
        <f>'Péréquation directe'!G252/Effort!C246</f>
        <v>-7.4442602703861684</v>
      </c>
      <c r="H246" s="209">
        <f>'Péréquation directe'!J252/Effort!C246</f>
        <v>19.156307202306365</v>
      </c>
      <c r="I246" s="381">
        <f t="shared" si="9"/>
        <v>3.4156014650668514</v>
      </c>
      <c r="J246" s="226">
        <f t="shared" si="10"/>
        <v>0</v>
      </c>
      <c r="K246" s="42">
        <f t="shared" si="11"/>
        <v>0</v>
      </c>
      <c r="L246" s="240"/>
    </row>
    <row r="247" spans="1:13" x14ac:dyDescent="0.25">
      <c r="A247" s="38">
        <f>Données!A247</f>
        <v>5831</v>
      </c>
      <c r="B247" s="171" t="str">
        <f>Données!B247</f>
        <v>Valbroye</v>
      </c>
      <c r="C247" s="353">
        <f>VPI!R247</f>
        <v>83737.262655956278</v>
      </c>
      <c r="D247" s="209">
        <f>(PCS!I253-PCS!F253)/C247</f>
        <v>14.60023559089802</v>
      </c>
      <c r="E247" s="522">
        <f>'Péréquation directe'!E253/C247</f>
        <v>-11.982230169763113</v>
      </c>
      <c r="F247" s="209">
        <f>'Péréquation directe'!F253/Effort!C247</f>
        <v>-17.076719923578931</v>
      </c>
      <c r="G247" s="209">
        <f>'Péréquation directe'!G253/Effort!C247</f>
        <v>-9.4058743871326964</v>
      </c>
      <c r="H247" s="209">
        <f>'Péréquation directe'!J253/Effort!C247</f>
        <v>19.156307202306365</v>
      </c>
      <c r="I247" s="381">
        <f t="shared" si="9"/>
        <v>-4.7082816872703575</v>
      </c>
      <c r="J247" s="226">
        <f t="shared" si="10"/>
        <v>0</v>
      </c>
      <c r="K247" s="42">
        <f t="shared" si="11"/>
        <v>0</v>
      </c>
      <c r="L247" s="240"/>
    </row>
    <row r="248" spans="1:13" x14ac:dyDescent="0.25">
      <c r="A248" s="38">
        <f>Données!A248</f>
        <v>5841</v>
      </c>
      <c r="B248" s="171" t="str">
        <f>Données!B248</f>
        <v>Château-d'Oex</v>
      </c>
      <c r="C248" s="353">
        <f>VPI!R248</f>
        <v>108627.58984858803</v>
      </c>
      <c r="D248" s="209">
        <f>(PCS!I254-PCS!F254)/C248</f>
        <v>14.600235590898022</v>
      </c>
      <c r="E248" s="522">
        <f>'Péréquation directe'!E254/C248</f>
        <v>-9.7891542552181949</v>
      </c>
      <c r="F248" s="209">
        <f>'Péréquation directe'!F254/Effort!C248</f>
        <v>-12.875620756053586</v>
      </c>
      <c r="G248" s="209">
        <f>'Péréquation directe'!G254/Effort!C248</f>
        <v>-19.033591869159441</v>
      </c>
      <c r="H248" s="209">
        <f>'Péréquation directe'!J254/Effort!C248</f>
        <v>19.156307202306365</v>
      </c>
      <c r="I248" s="381">
        <f t="shared" si="9"/>
        <v>-7.9418240872268342</v>
      </c>
      <c r="J248" s="226">
        <f t="shared" si="10"/>
        <v>0</v>
      </c>
      <c r="K248" s="42">
        <f t="shared" si="11"/>
        <v>0</v>
      </c>
      <c r="L248" s="240"/>
    </row>
    <row r="249" spans="1:13" x14ac:dyDescent="0.25">
      <c r="A249" s="38">
        <f>Données!A249</f>
        <v>5842</v>
      </c>
      <c r="B249" s="171" t="str">
        <f>Données!B249</f>
        <v>Rossinière</v>
      </c>
      <c r="C249" s="353">
        <f>VPI!R249</f>
        <v>14504.788146274859</v>
      </c>
      <c r="D249" s="209">
        <f>(PCS!I255-PCS!F255)/C249</f>
        <v>14.60023559089802</v>
      </c>
      <c r="E249" s="522">
        <f>'Péréquation directe'!E255/C249</f>
        <v>-4.5905364407827101</v>
      </c>
      <c r="F249" s="209">
        <f>'Péréquation directe'!F255/Effort!C249</f>
        <v>-18.597835118071465</v>
      </c>
      <c r="G249" s="209">
        <f>'Péréquation directe'!G255/Effort!C249</f>
        <v>-26.256624176903987</v>
      </c>
      <c r="H249" s="209">
        <f>'Péréquation directe'!J255/Effort!C249</f>
        <v>19.156307202306365</v>
      </c>
      <c r="I249" s="381">
        <f t="shared" si="9"/>
        <v>-15.688452942553781</v>
      </c>
      <c r="J249" s="226">
        <f t="shared" si="10"/>
        <v>0</v>
      </c>
      <c r="K249" s="42">
        <f t="shared" si="11"/>
        <v>0</v>
      </c>
      <c r="L249" s="240"/>
    </row>
    <row r="250" spans="1:13" x14ac:dyDescent="0.25">
      <c r="A250" s="38">
        <f>Données!A250</f>
        <v>5843</v>
      </c>
      <c r="B250" s="171" t="str">
        <f>Données!B250</f>
        <v>Rougemont</v>
      </c>
      <c r="C250" s="353">
        <f>VPI!R250</f>
        <v>100453.05146272083</v>
      </c>
      <c r="D250" s="209">
        <f>(PCS!I256-PCS!F256)/C250</f>
        <v>31.933624510293765</v>
      </c>
      <c r="E250" s="522">
        <f>'Péréquation directe'!E256/C250</f>
        <v>-1.065241813825617</v>
      </c>
      <c r="F250" s="209">
        <f>'Péréquation directe'!F256/Effort!C250</f>
        <v>0</v>
      </c>
      <c r="G250" s="209">
        <f>'Péréquation directe'!G256/Effort!C250</f>
        <v>-0.70549067640792484</v>
      </c>
      <c r="H250" s="209">
        <f>'Péréquation directe'!J256/Effort!C250</f>
        <v>19.156307202306365</v>
      </c>
      <c r="I250" s="381">
        <f t="shared" si="9"/>
        <v>49.319199222366585</v>
      </c>
      <c r="J250" s="226">
        <f t="shared" si="10"/>
        <v>1.3191992223665849</v>
      </c>
      <c r="K250" s="42">
        <f t="shared" si="11"/>
        <v>-132517.58737397185</v>
      </c>
      <c r="L250" s="240"/>
    </row>
    <row r="251" spans="1:13" x14ac:dyDescent="0.25">
      <c r="A251" s="38">
        <f>Données!A251</f>
        <v>5851</v>
      </c>
      <c r="B251" s="171" t="str">
        <f>Données!B251</f>
        <v>Allaman</v>
      </c>
      <c r="C251" s="353">
        <f>VPI!R251</f>
        <v>24279.81507965273</v>
      </c>
      <c r="D251" s="209">
        <f>(PCS!I257-PCS!F257)/C251</f>
        <v>16.491078561350296</v>
      </c>
      <c r="E251" s="522">
        <f>'Péréquation directe'!E257/C251</f>
        <v>-2.2623453175212584</v>
      </c>
      <c r="F251" s="209">
        <f>'Péréquation directe'!F257/Effort!C251</f>
        <v>0</v>
      </c>
      <c r="G251" s="209">
        <f>'Péréquation directe'!G257/Effort!C251</f>
        <v>0</v>
      </c>
      <c r="H251" s="209">
        <f>'Péréquation directe'!J257/Effort!C251</f>
        <v>19.156307202306365</v>
      </c>
      <c r="I251" s="381">
        <f t="shared" si="9"/>
        <v>33.385040446135406</v>
      </c>
      <c r="J251" s="226">
        <f t="shared" si="10"/>
        <v>0</v>
      </c>
      <c r="K251" s="42">
        <f t="shared" si="11"/>
        <v>0</v>
      </c>
      <c r="L251" s="240"/>
    </row>
    <row r="252" spans="1:13" x14ac:dyDescent="0.25">
      <c r="A252" s="38">
        <f>Données!A252</f>
        <v>5852</v>
      </c>
      <c r="B252" s="171" t="str">
        <f>Données!B252</f>
        <v>Bursinel</v>
      </c>
      <c r="C252" s="353">
        <f>VPI!R252</f>
        <v>40701.690718752099</v>
      </c>
      <c r="D252" s="209">
        <f>(PCS!I258-PCS!F258)/C252</f>
        <v>23.653417309841981</v>
      </c>
      <c r="E252" s="522">
        <f>'Péréquation directe'!E258/C252</f>
        <v>-1.4957864192421539</v>
      </c>
      <c r="F252" s="209">
        <f>'Péréquation directe'!F258/Effort!C252</f>
        <v>0</v>
      </c>
      <c r="G252" s="209">
        <f>'Péréquation directe'!G258/Effort!C252</f>
        <v>0</v>
      </c>
      <c r="H252" s="209">
        <f>'Péréquation directe'!J258/Effort!C252</f>
        <v>19.156307202306365</v>
      </c>
      <c r="I252" s="381">
        <f t="shared" si="9"/>
        <v>41.313938092906191</v>
      </c>
      <c r="J252" s="226">
        <f t="shared" si="10"/>
        <v>0</v>
      </c>
      <c r="K252" s="42">
        <f t="shared" si="11"/>
        <v>0</v>
      </c>
      <c r="L252" s="240"/>
    </row>
    <row r="253" spans="1:13" x14ac:dyDescent="0.25">
      <c r="A253" s="38">
        <f>Données!A253</f>
        <v>5853</v>
      </c>
      <c r="B253" s="171" t="str">
        <f>Données!B253</f>
        <v>Bursins</v>
      </c>
      <c r="C253" s="353">
        <f>VPI!R253</f>
        <v>41997.209489150475</v>
      </c>
      <c r="D253" s="209">
        <f>(PCS!I259-PCS!F259)/C253</f>
        <v>16.732584394314639</v>
      </c>
      <c r="E253" s="522">
        <f>'Péréquation directe'!E259/C253</f>
        <v>-2.2822310141531013</v>
      </c>
      <c r="F253" s="209">
        <f>'Péréquation directe'!F259/Effort!C253</f>
        <v>0</v>
      </c>
      <c r="G253" s="209">
        <f>'Péréquation directe'!G259/Effort!C253</f>
        <v>-0.10518181890819001</v>
      </c>
      <c r="H253" s="209">
        <f>'Péréquation directe'!J259/Effort!C253</f>
        <v>19.156307202306365</v>
      </c>
      <c r="I253" s="381">
        <f t="shared" si="9"/>
        <v>33.501478763559717</v>
      </c>
      <c r="J253" s="226">
        <f t="shared" si="10"/>
        <v>0</v>
      </c>
      <c r="K253" s="42">
        <f t="shared" si="11"/>
        <v>0</v>
      </c>
      <c r="L253" s="240"/>
    </row>
    <row r="254" spans="1:13" x14ac:dyDescent="0.25">
      <c r="A254" s="38">
        <f>Données!A254</f>
        <v>5854</v>
      </c>
      <c r="B254" s="171" t="str">
        <f>Données!B254</f>
        <v>Burtigny</v>
      </c>
      <c r="C254" s="353">
        <f>VPI!R254</f>
        <v>10782.892174980714</v>
      </c>
      <c r="D254" s="209">
        <f>(PCS!I260-PCS!F260)/C254</f>
        <v>14.60023559089802</v>
      </c>
      <c r="E254" s="522">
        <f>'Péréquation directe'!E260/C254</f>
        <v>-4.6456517004259892</v>
      </c>
      <c r="F254" s="209">
        <f>'Péréquation directe'!F260/Effort!C254</f>
        <v>-18.666320873504407</v>
      </c>
      <c r="G254" s="209">
        <f>'Péréquation directe'!G260/Effort!C254</f>
        <v>-3.4058096123868422</v>
      </c>
      <c r="H254" s="209">
        <f>'Péréquation directe'!J260/Effort!C254</f>
        <v>19.156307202306365</v>
      </c>
      <c r="I254" s="381">
        <f t="shared" si="9"/>
        <v>7.0387606068871449</v>
      </c>
      <c r="J254" s="226">
        <f t="shared" si="10"/>
        <v>0</v>
      </c>
      <c r="K254" s="42">
        <f t="shared" si="11"/>
        <v>0</v>
      </c>
      <c r="L254" s="240"/>
      <c r="M254" s="221"/>
    </row>
    <row r="255" spans="1:13" x14ac:dyDescent="0.25">
      <c r="A255" s="38">
        <f>Données!A255</f>
        <v>5855</v>
      </c>
      <c r="B255" s="171" t="str">
        <f>Données!B255</f>
        <v>Dully</v>
      </c>
      <c r="C255" s="353">
        <f>VPI!R255</f>
        <v>98130.783845823462</v>
      </c>
      <c r="D255" s="209">
        <f>(PCS!I261-PCS!F261)/C255</f>
        <v>29.956018460131318</v>
      </c>
      <c r="E255" s="522">
        <f>'Péréquation directe'!E261/C255</f>
        <v>-0.79351459556131254</v>
      </c>
      <c r="F255" s="209">
        <f>'Péréquation directe'!F261/Effort!C255</f>
        <v>0</v>
      </c>
      <c r="G255" s="209">
        <f>'Péréquation directe'!G261/Effort!C255</f>
        <v>0</v>
      </c>
      <c r="H255" s="209">
        <f>'Péréquation directe'!J261/Effort!C255</f>
        <v>19.156307202306365</v>
      </c>
      <c r="I255" s="381">
        <f t="shared" si="9"/>
        <v>48.318811066876371</v>
      </c>
      <c r="J255" s="226">
        <f t="shared" si="10"/>
        <v>0.31881106687637129</v>
      </c>
      <c r="K255" s="42">
        <f t="shared" si="11"/>
        <v>-31285.179891301559</v>
      </c>
      <c r="L255" s="240"/>
    </row>
    <row r="256" spans="1:13" x14ac:dyDescent="0.25">
      <c r="A256" s="38">
        <f>Données!A256</f>
        <v>5856</v>
      </c>
      <c r="B256" s="171" t="str">
        <f>Données!B256</f>
        <v>Essertines-sur-Rolle</v>
      </c>
      <c r="C256" s="353">
        <f>VPI!R256</f>
        <v>35711.178597082457</v>
      </c>
      <c r="D256" s="209">
        <f>(PCS!I262-PCS!F262)/C256</f>
        <v>15.175331370237947</v>
      </c>
      <c r="E256" s="522">
        <f>'Péréquation directe'!E262/C256</f>
        <v>-2.5693784636581953</v>
      </c>
      <c r="F256" s="209">
        <f>'Péréquation directe'!F262/Effort!C256</f>
        <v>0</v>
      </c>
      <c r="G256" s="209">
        <f>'Péréquation directe'!G262/Effort!C256</f>
        <v>0</v>
      </c>
      <c r="H256" s="209">
        <f>'Péréquation directe'!J262/Effort!C256</f>
        <v>19.156307202306365</v>
      </c>
      <c r="I256" s="381">
        <f t="shared" si="9"/>
        <v>31.762260108886117</v>
      </c>
      <c r="J256" s="226">
        <f t="shared" si="10"/>
        <v>0</v>
      </c>
      <c r="K256" s="42">
        <f t="shared" si="11"/>
        <v>0</v>
      </c>
      <c r="L256" s="240"/>
    </row>
    <row r="257" spans="1:12" x14ac:dyDescent="0.25">
      <c r="A257" s="38">
        <f>Données!A257</f>
        <v>5857</v>
      </c>
      <c r="B257" s="171" t="str">
        <f>Données!B257</f>
        <v>Gilly</v>
      </c>
      <c r="C257" s="353">
        <f>VPI!R257</f>
        <v>82138.568992248052</v>
      </c>
      <c r="D257" s="209">
        <f>(PCS!I263-PCS!F263)/C257</f>
        <v>17.382387146446586</v>
      </c>
      <c r="E257" s="522">
        <f>'Péréquation directe'!E263/C257</f>
        <v>-3.3186398706995393</v>
      </c>
      <c r="F257" s="209">
        <f>'Péréquation directe'!F263/Effort!C257</f>
        <v>0</v>
      </c>
      <c r="G257" s="209">
        <f>'Péréquation directe'!G263/Effort!C257</f>
        <v>0</v>
      </c>
      <c r="H257" s="209">
        <f>'Péréquation directe'!J263/Effort!C257</f>
        <v>19.156307202306365</v>
      </c>
      <c r="I257" s="381">
        <f t="shared" si="9"/>
        <v>33.220054478053413</v>
      </c>
      <c r="J257" s="226">
        <f t="shared" si="10"/>
        <v>0</v>
      </c>
      <c r="K257" s="42">
        <f t="shared" si="11"/>
        <v>0</v>
      </c>
      <c r="L257" s="240"/>
    </row>
    <row r="258" spans="1:12" x14ac:dyDescent="0.25">
      <c r="A258" s="38">
        <f>Données!A258</f>
        <v>5858</v>
      </c>
      <c r="B258" s="171" t="str">
        <f>Données!B258</f>
        <v>Luins</v>
      </c>
      <c r="C258" s="353">
        <f>VPI!R258</f>
        <v>40277.440146315326</v>
      </c>
      <c r="D258" s="209">
        <f>(PCS!I264-PCS!F264)/C258</f>
        <v>18.866813356220142</v>
      </c>
      <c r="E258" s="522">
        <f>'Péréquation directe'!E264/C258</f>
        <v>-1.9055894143886003</v>
      </c>
      <c r="F258" s="209">
        <f>'Péréquation directe'!F264/Effort!C258</f>
        <v>0</v>
      </c>
      <c r="G258" s="209">
        <f>'Péréquation directe'!G264/Effort!C258</f>
        <v>0</v>
      </c>
      <c r="H258" s="209">
        <f>'Péréquation directe'!J264/Effort!C258</f>
        <v>19.156307202306365</v>
      </c>
      <c r="I258" s="381">
        <f t="shared" si="9"/>
        <v>36.117531144137907</v>
      </c>
      <c r="J258" s="226">
        <f t="shared" si="10"/>
        <v>0</v>
      </c>
      <c r="K258" s="42">
        <f t="shared" si="11"/>
        <v>0</v>
      </c>
      <c r="L258" s="240"/>
    </row>
    <row r="259" spans="1:12" x14ac:dyDescent="0.25">
      <c r="A259" s="38">
        <f>Données!A259</f>
        <v>5859</v>
      </c>
      <c r="B259" s="171" t="str">
        <f>Données!B259</f>
        <v>Mont-sur-Rolle</v>
      </c>
      <c r="C259" s="353">
        <f>VPI!R259</f>
        <v>146440.66164065379</v>
      </c>
      <c r="D259" s="209">
        <f>(PCS!I265-PCS!F265)/C259</f>
        <v>16.70508281129792</v>
      </c>
      <c r="E259" s="522">
        <f>'Péréquation directe'!E265/C259</f>
        <v>-4.7490726706148561</v>
      </c>
      <c r="F259" s="209">
        <f>'Péréquation directe'!F265/Effort!C259</f>
        <v>0</v>
      </c>
      <c r="G259" s="209">
        <f>'Péréquation directe'!G265/Effort!C259</f>
        <v>0</v>
      </c>
      <c r="H259" s="209">
        <f>'Péréquation directe'!J265/Effort!C259</f>
        <v>19.156307202306365</v>
      </c>
      <c r="I259" s="381">
        <f t="shared" si="9"/>
        <v>31.112317342989428</v>
      </c>
      <c r="J259" s="226">
        <f t="shared" si="10"/>
        <v>0</v>
      </c>
      <c r="K259" s="42">
        <f t="shared" si="11"/>
        <v>0</v>
      </c>
      <c r="L259" s="240"/>
    </row>
    <row r="260" spans="1:12" x14ac:dyDescent="0.25">
      <c r="A260" s="38">
        <f>Données!A260</f>
        <v>5860</v>
      </c>
      <c r="B260" s="171" t="str">
        <f>Données!B260</f>
        <v>Perroy</v>
      </c>
      <c r="C260" s="353">
        <f>VPI!R260</f>
        <v>110194.28576674461</v>
      </c>
      <c r="D260" s="209">
        <f>(PCS!I266-PCS!F266)/C260</f>
        <v>20.512170285995484</v>
      </c>
      <c r="E260" s="522">
        <f>'Péréquation directe'!E266/C260</f>
        <v>-2.7572646506940073</v>
      </c>
      <c r="F260" s="209">
        <f>'Péréquation directe'!F266/Effort!C260</f>
        <v>0</v>
      </c>
      <c r="G260" s="209">
        <f>'Péréquation directe'!G266/Effort!C260</f>
        <v>0</v>
      </c>
      <c r="H260" s="209">
        <f>'Péréquation directe'!J266/Effort!C260</f>
        <v>19.156307202306365</v>
      </c>
      <c r="I260" s="381">
        <f t="shared" si="9"/>
        <v>36.911212837607842</v>
      </c>
      <c r="J260" s="226">
        <f t="shared" si="10"/>
        <v>0</v>
      </c>
      <c r="K260" s="42">
        <f t="shared" si="11"/>
        <v>0</v>
      </c>
      <c r="L260" s="240"/>
    </row>
    <row r="261" spans="1:12" x14ac:dyDescent="0.25">
      <c r="A261" s="38">
        <f>Données!A261</f>
        <v>5861</v>
      </c>
      <c r="B261" s="171" t="str">
        <f>Données!B261</f>
        <v>Rolle</v>
      </c>
      <c r="C261" s="353">
        <f>VPI!R261</f>
        <v>663825.23287759279</v>
      </c>
      <c r="D261" s="209">
        <f>(PCS!I267-PCS!F267)/C261</f>
        <v>26.995487720945128</v>
      </c>
      <c r="E261" s="522">
        <f>'Péréquation directe'!E267/C261</f>
        <v>-3.8558826425794233</v>
      </c>
      <c r="F261" s="209">
        <f>'Péréquation directe'!F267/Effort!C261</f>
        <v>0</v>
      </c>
      <c r="G261" s="209">
        <f>'Péréquation directe'!G267/Effort!C261</f>
        <v>0</v>
      </c>
      <c r="H261" s="209">
        <f>'Péréquation directe'!J267/Effort!C261</f>
        <v>19.156307202306365</v>
      </c>
      <c r="I261" s="381">
        <f t="shared" si="9"/>
        <v>42.29591228067207</v>
      </c>
      <c r="J261" s="226">
        <f t="shared" si="10"/>
        <v>0</v>
      </c>
      <c r="K261" s="42">
        <f t="shared" si="11"/>
        <v>0</v>
      </c>
      <c r="L261" s="240"/>
    </row>
    <row r="262" spans="1:12" x14ac:dyDescent="0.25">
      <c r="A262" s="38">
        <f>Données!A262</f>
        <v>5862</v>
      </c>
      <c r="B262" s="171" t="str">
        <f>Données!B262</f>
        <v>Tartegnin</v>
      </c>
      <c r="C262" s="353">
        <f>VPI!R262</f>
        <v>8093.970937390457</v>
      </c>
      <c r="D262" s="209">
        <f>(PCS!I268-PCS!F268)/C262</f>
        <v>14.60023559089802</v>
      </c>
      <c r="E262" s="522">
        <f>'Péréquation directe'!E268/C262</f>
        <v>-3.6153546484255994</v>
      </c>
      <c r="F262" s="209">
        <f>'Péréquation directe'!F268/Effort!C262</f>
        <v>-8.6349187447079405</v>
      </c>
      <c r="G262" s="209">
        <f>'Péréquation directe'!G268/Effort!C262</f>
        <v>0</v>
      </c>
      <c r="H262" s="209">
        <f>'Péréquation directe'!J268/Effort!C262</f>
        <v>19.156307202306365</v>
      </c>
      <c r="I262" s="381">
        <f t="shared" si="9"/>
        <v>21.506269400070845</v>
      </c>
      <c r="J262" s="226">
        <f t="shared" si="10"/>
        <v>0</v>
      </c>
      <c r="K262" s="42">
        <f t="shared" si="11"/>
        <v>0</v>
      </c>
      <c r="L262" s="240"/>
    </row>
    <row r="263" spans="1:12" x14ac:dyDescent="0.25">
      <c r="A263" s="38">
        <f>Données!A263</f>
        <v>5863</v>
      </c>
      <c r="B263" s="171" t="str">
        <f>Données!B263</f>
        <v>Vinzel</v>
      </c>
      <c r="C263" s="353">
        <f>VPI!R263</f>
        <v>21922.221840386148</v>
      </c>
      <c r="D263" s="209">
        <f>(PCS!I269-PCS!F269)/C263</f>
        <v>17.315171846675103</v>
      </c>
      <c r="E263" s="522">
        <f>'Péréquation directe'!E269/C263</f>
        <v>-2.1775929649791896</v>
      </c>
      <c r="F263" s="209">
        <f>'Péréquation directe'!F269/Effort!C263</f>
        <v>0</v>
      </c>
      <c r="G263" s="209">
        <f>'Péréquation directe'!G269/Effort!C263</f>
        <v>0</v>
      </c>
      <c r="H263" s="209">
        <f>'Péréquation directe'!J269/Effort!C263</f>
        <v>19.156307202306365</v>
      </c>
      <c r="I263" s="381">
        <f t="shared" ref="I263:I306" si="12">SUM(D263:H263)</f>
        <v>34.293886084002281</v>
      </c>
      <c r="J263" s="226">
        <f t="shared" ref="J263:J305" si="13">IF(I263&gt;J$5,I263-J$5,0)</f>
        <v>0</v>
      </c>
      <c r="K263" s="42">
        <f t="shared" ref="K263:K305" si="14">-J263*C263</f>
        <v>0</v>
      </c>
      <c r="L263" s="240"/>
    </row>
    <row r="264" spans="1:12" x14ac:dyDescent="0.25">
      <c r="A264" s="38">
        <f>Données!A264</f>
        <v>5871</v>
      </c>
      <c r="B264" s="171" t="str">
        <f>Données!B264</f>
        <v>L'Abbaye</v>
      </c>
      <c r="C264" s="353">
        <f>VPI!R264</f>
        <v>49484.284679945325</v>
      </c>
      <c r="D264" s="209">
        <f>(PCS!I270-PCS!F270)/C264</f>
        <v>14.60023559089802</v>
      </c>
      <c r="E264" s="522">
        <f>'Péréquation directe'!E270/C264</f>
        <v>-5.8243050552431948</v>
      </c>
      <c r="F264" s="209">
        <f>'Péréquation directe'!F270/Effort!C264</f>
        <v>-8.9994741664552578</v>
      </c>
      <c r="G264" s="209">
        <f>'Péréquation directe'!G270/Effort!C264</f>
        <v>-7.0682246733997749</v>
      </c>
      <c r="H264" s="209">
        <f>'Péréquation directe'!J270/Effort!C264</f>
        <v>19.156307202306365</v>
      </c>
      <c r="I264" s="381">
        <f t="shared" si="12"/>
        <v>11.864538898106158</v>
      </c>
      <c r="J264" s="226">
        <f t="shared" si="13"/>
        <v>0</v>
      </c>
      <c r="K264" s="42">
        <f t="shared" si="14"/>
        <v>0</v>
      </c>
      <c r="L264" s="240"/>
    </row>
    <row r="265" spans="1:12" x14ac:dyDescent="0.25">
      <c r="A265" s="38">
        <f>Données!A265</f>
        <v>5872</v>
      </c>
      <c r="B265" s="171" t="str">
        <f>Données!B265</f>
        <v>Le Chenit</v>
      </c>
      <c r="C265" s="353">
        <f>VPI!R265</f>
        <v>234098.82523259622</v>
      </c>
      <c r="D265" s="209">
        <f>(PCS!I271-PCS!F271)/C265</f>
        <v>15.841963246683427</v>
      </c>
      <c r="E265" s="522">
        <f>'Péréquation directe'!E271/C265</f>
        <v>-6.8856455284364415</v>
      </c>
      <c r="F265" s="209">
        <f>'Péréquation directe'!F271/Effort!C265</f>
        <v>0</v>
      </c>
      <c r="G265" s="209">
        <f>'Péréquation directe'!G271/Effort!C265</f>
        <v>-6.5709414737626277</v>
      </c>
      <c r="H265" s="209">
        <f>'Péréquation directe'!J271/Effort!C265</f>
        <v>19.156307202306365</v>
      </c>
      <c r="I265" s="381">
        <f t="shared" si="12"/>
        <v>21.541683446790724</v>
      </c>
      <c r="J265" s="226">
        <f t="shared" si="13"/>
        <v>0</v>
      </c>
      <c r="K265" s="42">
        <f t="shared" si="14"/>
        <v>0</v>
      </c>
      <c r="L265" s="240"/>
    </row>
    <row r="266" spans="1:12" x14ac:dyDescent="0.25">
      <c r="A266" s="38">
        <f>Données!A266</f>
        <v>5873</v>
      </c>
      <c r="B266" s="171" t="str">
        <f>Données!B266</f>
        <v>Le Lieu</v>
      </c>
      <c r="C266" s="353">
        <f>VPI!R266</f>
        <v>30412.639654224466</v>
      </c>
      <c r="D266" s="209">
        <f>(PCS!I272-PCS!F272)/C266</f>
        <v>14.60023559089802</v>
      </c>
      <c r="E266" s="522">
        <f>'Péréquation directe'!E272/C266</f>
        <v>-3.6204236492092798</v>
      </c>
      <c r="F266" s="209">
        <f>'Péréquation directe'!F272/Effort!C266</f>
        <v>-6.8164967555064147</v>
      </c>
      <c r="G266" s="209">
        <f>'Péréquation directe'!G272/Effort!C266</f>
        <v>-22.797114627887265</v>
      </c>
      <c r="H266" s="209">
        <f>'Péréquation directe'!J272/Effort!C266</f>
        <v>19.156307202306365</v>
      </c>
      <c r="I266" s="381">
        <f t="shared" si="12"/>
        <v>0.52250776060142812</v>
      </c>
      <c r="J266" s="226">
        <f t="shared" si="13"/>
        <v>0</v>
      </c>
      <c r="K266" s="42">
        <f t="shared" si="14"/>
        <v>0</v>
      </c>
      <c r="L266" s="240"/>
    </row>
    <row r="267" spans="1:12" x14ac:dyDescent="0.25">
      <c r="A267" s="38">
        <f>Données!A267</f>
        <v>5882</v>
      </c>
      <c r="B267" s="171" t="str">
        <f>Données!B267</f>
        <v>Chardonne</v>
      </c>
      <c r="C267" s="353">
        <f>VPI!R267</f>
        <v>178990.25503852809</v>
      </c>
      <c r="D267" s="209">
        <f>(PCS!I273-PCS!F273)/C267</f>
        <v>17.638834546488358</v>
      </c>
      <c r="E267" s="522">
        <f>'Péréquation directe'!E273/C267</f>
        <v>-4.8297931935281895</v>
      </c>
      <c r="F267" s="209">
        <f>'Péréquation directe'!F273/Effort!C267</f>
        <v>0</v>
      </c>
      <c r="G267" s="209">
        <f>'Péréquation directe'!G273/Effort!C267</f>
        <v>-2.1488961490447545</v>
      </c>
      <c r="H267" s="209">
        <f>'Péréquation directe'!J273/Effort!C267</f>
        <v>19.156307202306365</v>
      </c>
      <c r="I267" s="381">
        <f t="shared" si="12"/>
        <v>29.816452406221778</v>
      </c>
      <c r="J267" s="226">
        <f t="shared" si="13"/>
        <v>0</v>
      </c>
      <c r="K267" s="42">
        <f t="shared" si="14"/>
        <v>0</v>
      </c>
      <c r="L267" s="240"/>
    </row>
    <row r="268" spans="1:12" x14ac:dyDescent="0.25">
      <c r="A268" s="38">
        <f>Données!A268</f>
        <v>5883</v>
      </c>
      <c r="B268" s="171" t="str">
        <f>Données!B268</f>
        <v>Corseaux</v>
      </c>
      <c r="C268" s="353">
        <f>VPI!R268</f>
        <v>167834.94979180559</v>
      </c>
      <c r="D268" s="209">
        <f>(PCS!I274-PCS!F274)/C268</f>
        <v>21.43076409863815</v>
      </c>
      <c r="E268" s="522">
        <f>'Péréquation directe'!E274/C268</f>
        <v>-3.4507175457473984</v>
      </c>
      <c r="F268" s="209">
        <f>'Péréquation directe'!F274/Effort!C268</f>
        <v>0</v>
      </c>
      <c r="G268" s="209">
        <f>'Péréquation directe'!G274/Effort!C268</f>
        <v>0</v>
      </c>
      <c r="H268" s="209">
        <f>'Péréquation directe'!J274/Effort!C268</f>
        <v>19.156307202306365</v>
      </c>
      <c r="I268" s="381">
        <f t="shared" si="12"/>
        <v>37.136353755197121</v>
      </c>
      <c r="J268" s="226">
        <f t="shared" si="13"/>
        <v>0</v>
      </c>
      <c r="K268" s="42">
        <f t="shared" si="14"/>
        <v>0</v>
      </c>
      <c r="L268" s="240"/>
    </row>
    <row r="269" spans="1:12" x14ac:dyDescent="0.25">
      <c r="A269" s="38">
        <f>Données!A269</f>
        <v>5884</v>
      </c>
      <c r="B269" s="171" t="str">
        <f>Données!B269</f>
        <v>Corsier-sur-Vevey</v>
      </c>
      <c r="C269" s="353">
        <f>VPI!R269</f>
        <v>122060.78000997694</v>
      </c>
      <c r="D269" s="209">
        <f>(PCS!I275-PCS!F275)/C269</f>
        <v>14.600235590898022</v>
      </c>
      <c r="E269" s="522">
        <f>'Péréquation directe'!E275/C269</f>
        <v>-8.4111376318978692</v>
      </c>
      <c r="F269" s="209">
        <f>'Péréquation directe'!F275/Effort!C269</f>
        <v>-5.1117513783288402</v>
      </c>
      <c r="G269" s="209">
        <f>'Péréquation directe'!G275/Effort!C269</f>
        <v>-10.807548664135295</v>
      </c>
      <c r="H269" s="209">
        <f>'Péréquation directe'!J275/Effort!C269</f>
        <v>19.156307202306365</v>
      </c>
      <c r="I269" s="381">
        <f t="shared" si="12"/>
        <v>9.4261051188423828</v>
      </c>
      <c r="J269" s="226">
        <f t="shared" si="13"/>
        <v>0</v>
      </c>
      <c r="K269" s="42">
        <f t="shared" si="14"/>
        <v>0</v>
      </c>
      <c r="L269" s="240"/>
    </row>
    <row r="270" spans="1:12" x14ac:dyDescent="0.25">
      <c r="A270" s="38">
        <f>Données!A270</f>
        <v>5885</v>
      </c>
      <c r="B270" s="171" t="str">
        <f>Données!B270</f>
        <v>Jongny</v>
      </c>
      <c r="C270" s="353">
        <f>VPI!R270</f>
        <v>85101.147065913159</v>
      </c>
      <c r="D270" s="209">
        <f>(PCS!I276-PCS!F276)/C270</f>
        <v>15.906017702533047</v>
      </c>
      <c r="E270" s="522">
        <f>'Péréquation directe'!E276/C270</f>
        <v>-4.1903858189224241</v>
      </c>
      <c r="F270" s="209">
        <f>'Péréquation directe'!F276/Effort!C270</f>
        <v>0</v>
      </c>
      <c r="G270" s="209">
        <f>'Péréquation directe'!G276/Effort!C270</f>
        <v>-0.86551850526141538</v>
      </c>
      <c r="H270" s="209">
        <f>'Péréquation directe'!J276/Effort!C270</f>
        <v>19.156307202306365</v>
      </c>
      <c r="I270" s="381">
        <f t="shared" si="12"/>
        <v>30.006420580655572</v>
      </c>
      <c r="J270" s="226">
        <f t="shared" si="13"/>
        <v>0</v>
      </c>
      <c r="K270" s="42">
        <f t="shared" si="14"/>
        <v>0</v>
      </c>
      <c r="L270" s="240"/>
    </row>
    <row r="271" spans="1:12" x14ac:dyDescent="0.25">
      <c r="A271" s="38">
        <f>Données!A271</f>
        <v>5886</v>
      </c>
      <c r="B271" s="171" t="str">
        <f>Données!B271</f>
        <v>Montreux</v>
      </c>
      <c r="C271" s="353">
        <f>VPI!R271</f>
        <v>1096049.6436560636</v>
      </c>
      <c r="D271" s="209">
        <f>(PCS!I277-PCS!F277)/C271</f>
        <v>14.600235590898018</v>
      </c>
      <c r="E271" s="522">
        <f>'Péréquation directe'!E277/C271</f>
        <v>-19.470695709896226</v>
      </c>
      <c r="F271" s="209">
        <f>'Péréquation directe'!F277/Effort!C271</f>
        <v>-1.7363099810400053</v>
      </c>
      <c r="G271" s="209">
        <f>'Péréquation directe'!G277/Effort!C271</f>
        <v>-5.775964794992567</v>
      </c>
      <c r="H271" s="209">
        <f>'Péréquation directe'!J277/Effort!C271</f>
        <v>19.156307202306365</v>
      </c>
      <c r="I271" s="381">
        <f t="shared" si="12"/>
        <v>6.773572307275586</v>
      </c>
      <c r="J271" s="226">
        <f t="shared" si="13"/>
        <v>0</v>
      </c>
      <c r="K271" s="42">
        <f t="shared" si="14"/>
        <v>0</v>
      </c>
      <c r="L271" s="240"/>
    </row>
    <row r="272" spans="1:12" x14ac:dyDescent="0.25">
      <c r="A272" s="38">
        <f>Données!A272</f>
        <v>5889</v>
      </c>
      <c r="B272" s="171" t="str">
        <f>Données!B272</f>
        <v>La Tour-de-Peilz</v>
      </c>
      <c r="C272" s="353">
        <f>VPI!R272</f>
        <v>674464.00637600874</v>
      </c>
      <c r="D272" s="209">
        <f>(PCS!I278-PCS!F278)/C272</f>
        <v>16.852917896681696</v>
      </c>
      <c r="E272" s="522">
        <f>'Péréquation directe'!E278/C272</f>
        <v>-10.093592131186124</v>
      </c>
      <c r="F272" s="209">
        <f>'Péréquation directe'!F278/Effort!C272</f>
        <v>0</v>
      </c>
      <c r="G272" s="209">
        <f>'Péréquation directe'!G278/Effort!C272</f>
        <v>-0.21766166964602243</v>
      </c>
      <c r="H272" s="209">
        <f>'Péréquation directe'!J278/Effort!C272</f>
        <v>19.156307202306365</v>
      </c>
      <c r="I272" s="381">
        <f t="shared" si="12"/>
        <v>25.697971298155913</v>
      </c>
      <c r="J272" s="226">
        <f t="shared" si="13"/>
        <v>0</v>
      </c>
      <c r="K272" s="42">
        <f t="shared" si="14"/>
        <v>0</v>
      </c>
      <c r="L272" s="240"/>
    </row>
    <row r="273" spans="1:12" x14ac:dyDescent="0.25">
      <c r="A273" s="38">
        <f>Données!A273</f>
        <v>5890</v>
      </c>
      <c r="B273" s="171" t="str">
        <f>Données!B273</f>
        <v>Vevey</v>
      </c>
      <c r="C273" s="353">
        <f>VPI!R273</f>
        <v>858874.45047675935</v>
      </c>
      <c r="D273" s="209">
        <f>(PCS!I279-PCS!F279)/C273</f>
        <v>14.60023559089802</v>
      </c>
      <c r="E273" s="522">
        <f>'Péréquation directe'!E279/C273</f>
        <v>-17.0862383826456</v>
      </c>
      <c r="F273" s="209">
        <f>'Péréquation directe'!F279/Effort!C273</f>
        <v>-1.4047580532861603</v>
      </c>
      <c r="G273" s="209">
        <f>'Péréquation directe'!G279/Effort!C273</f>
        <v>-4.3537056493690951</v>
      </c>
      <c r="H273" s="209">
        <f>'Péréquation directe'!J279/Effort!C273</f>
        <v>19.156307202306365</v>
      </c>
      <c r="I273" s="381">
        <f t="shared" si="12"/>
        <v>10.911840707903529</v>
      </c>
      <c r="J273" s="226">
        <f t="shared" si="13"/>
        <v>0</v>
      </c>
      <c r="K273" s="42">
        <f t="shared" si="14"/>
        <v>0</v>
      </c>
      <c r="L273" s="240"/>
    </row>
    <row r="274" spans="1:12" x14ac:dyDescent="0.25">
      <c r="A274" s="38">
        <f>Données!A274</f>
        <v>5891</v>
      </c>
      <c r="B274" s="171" t="str">
        <f>Données!B274</f>
        <v>Veytaux</v>
      </c>
      <c r="C274" s="353">
        <f>VPI!R274</f>
        <v>43940.417859726374</v>
      </c>
      <c r="D274" s="209">
        <f>(PCS!I280-PCS!F280)/C274</f>
        <v>14.600235590898022</v>
      </c>
      <c r="E274" s="522">
        <f>'Péréquation directe'!E280/C274</f>
        <v>-2.6977037349684343</v>
      </c>
      <c r="F274" s="209">
        <f>'Péréquation directe'!F280/Effort!C274</f>
        <v>-8.7708629361561458E-2</v>
      </c>
      <c r="G274" s="209">
        <f>'Péréquation directe'!G280/Effort!C274</f>
        <v>-10.405856423726197</v>
      </c>
      <c r="H274" s="209">
        <f>'Péréquation directe'!J280/Effort!C274</f>
        <v>19.156307202306365</v>
      </c>
      <c r="I274" s="381">
        <f t="shared" si="12"/>
        <v>20.565274005148197</v>
      </c>
      <c r="J274" s="226">
        <f t="shared" si="13"/>
        <v>0</v>
      </c>
      <c r="K274" s="42">
        <f t="shared" si="14"/>
        <v>0</v>
      </c>
      <c r="L274" s="240"/>
    </row>
    <row r="275" spans="1:12" x14ac:dyDescent="0.25">
      <c r="A275" s="38">
        <f>Données!A275</f>
        <v>5892</v>
      </c>
      <c r="B275" s="171" t="str">
        <f>Données!B275</f>
        <v>Blonay-Saint-Légier</v>
      </c>
      <c r="C275" s="353">
        <f>VPI!R275</f>
        <v>693176.17061999615</v>
      </c>
      <c r="D275" s="209">
        <f>(PCS!I281-PCS!F281)/C275</f>
        <v>18.013449527549355</v>
      </c>
      <c r="E275" s="522">
        <f>'Péréquation directe'!E281/C275</f>
        <v>-9.3752819378954122</v>
      </c>
      <c r="F275" s="209">
        <f>'Péréquation directe'!F281/Effort!C275</f>
        <v>0</v>
      </c>
      <c r="G275" s="209">
        <f>'Péréquation directe'!G281/Effort!C275</f>
        <v>-2.7064726512987649</v>
      </c>
      <c r="H275" s="209">
        <f>'Péréquation directe'!J281/Effort!C275</f>
        <v>19.156307202306365</v>
      </c>
      <c r="I275" s="381">
        <f t="shared" si="12"/>
        <v>25.088002140661544</v>
      </c>
      <c r="J275" s="226">
        <f t="shared" si="13"/>
        <v>0</v>
      </c>
      <c r="K275" s="42">
        <f t="shared" si="14"/>
        <v>0</v>
      </c>
      <c r="L275" s="240"/>
    </row>
    <row r="276" spans="1:12" x14ac:dyDescent="0.25">
      <c r="A276" s="38">
        <f>Données!A276</f>
        <v>5902</v>
      </c>
      <c r="B276" s="171" t="str">
        <f>Données!B276</f>
        <v>Belmont-sur-Yverdon</v>
      </c>
      <c r="C276" s="353">
        <f>VPI!R276</f>
        <v>11718.07192496429</v>
      </c>
      <c r="D276" s="209">
        <f>(PCS!I282-PCS!F282)/C276</f>
        <v>14.60023559089802</v>
      </c>
      <c r="E276" s="522">
        <f>'Péréquation directe'!E282/C276</f>
        <v>-4.1902464818756702</v>
      </c>
      <c r="F276" s="209">
        <f>'Péréquation directe'!F282/Effort!C276</f>
        <v>-10.97105693262259</v>
      </c>
      <c r="G276" s="209">
        <f>'Péréquation directe'!G282/Effort!C276</f>
        <v>-0.37492909110046885</v>
      </c>
      <c r="H276" s="209">
        <f>'Péréquation directe'!J282/Effort!C276</f>
        <v>19.156307202306365</v>
      </c>
      <c r="I276" s="381">
        <f t="shared" si="12"/>
        <v>18.220310287605656</v>
      </c>
      <c r="J276" s="226">
        <f t="shared" si="13"/>
        <v>0</v>
      </c>
      <c r="K276" s="42">
        <f t="shared" si="14"/>
        <v>0</v>
      </c>
      <c r="L276" s="240"/>
    </row>
    <row r="277" spans="1:12" x14ac:dyDescent="0.25">
      <c r="A277" s="38">
        <f>Données!A277</f>
        <v>5903</v>
      </c>
      <c r="B277" s="171" t="str">
        <f>Données!B277</f>
        <v>Bioley-Magnoux</v>
      </c>
      <c r="C277" s="353">
        <f>VPI!R277</f>
        <v>5023.7843849206347</v>
      </c>
      <c r="D277" s="209">
        <f>(PCS!I283-PCS!F283)/C277</f>
        <v>14.60023559089802</v>
      </c>
      <c r="E277" s="522">
        <f>'Péréquation directe'!E283/C277</f>
        <v>-5.6767188806154651</v>
      </c>
      <c r="F277" s="209">
        <f>'Péréquation directe'!F283/Effort!C277</f>
        <v>-23.072904866773108</v>
      </c>
      <c r="G277" s="209">
        <f>'Péréquation directe'!G283/Effort!C277</f>
        <v>-27.665937618455622</v>
      </c>
      <c r="H277" s="209">
        <f>'Péréquation directe'!J283/Effort!C277</f>
        <v>19.156307202306365</v>
      </c>
      <c r="I277" s="381">
        <f t="shared" si="12"/>
        <v>-22.659018572639809</v>
      </c>
      <c r="J277" s="226">
        <f t="shared" si="13"/>
        <v>0</v>
      </c>
      <c r="K277" s="42">
        <f t="shared" si="14"/>
        <v>0</v>
      </c>
      <c r="L277" s="240"/>
    </row>
    <row r="278" spans="1:12" x14ac:dyDescent="0.25">
      <c r="A278" s="38">
        <f>Données!A278</f>
        <v>5904</v>
      </c>
      <c r="B278" s="171" t="str">
        <f>Données!B278</f>
        <v>Chamblon</v>
      </c>
      <c r="C278" s="353">
        <f>VPI!R278</f>
        <v>21692.89514545034</v>
      </c>
      <c r="D278" s="209">
        <f>(PCS!I284-PCS!F284)/C278</f>
        <v>14.60023559089802</v>
      </c>
      <c r="E278" s="522">
        <f>'Péréquation directe'!E284/C278</f>
        <v>-3.1951763602685426</v>
      </c>
      <c r="F278" s="209">
        <f>'Péréquation directe'!F284/Effort!C278</f>
        <v>-3.303476856335783</v>
      </c>
      <c r="G278" s="209">
        <f>'Péréquation directe'!G284/Effort!C278</f>
        <v>0</v>
      </c>
      <c r="H278" s="209">
        <f>'Péréquation directe'!J284/Effort!C278</f>
        <v>19.156307202306365</v>
      </c>
      <c r="I278" s="381">
        <f t="shared" si="12"/>
        <v>27.257889576600061</v>
      </c>
      <c r="J278" s="226">
        <f t="shared" si="13"/>
        <v>0</v>
      </c>
      <c r="K278" s="42">
        <f t="shared" si="14"/>
        <v>0</v>
      </c>
      <c r="L278" s="240"/>
    </row>
    <row r="279" spans="1:12" x14ac:dyDescent="0.25">
      <c r="A279" s="38">
        <f>Données!A279</f>
        <v>5905</v>
      </c>
      <c r="B279" s="171" t="str">
        <f>Données!B279</f>
        <v>Champvent</v>
      </c>
      <c r="C279" s="353">
        <f>VPI!R279</f>
        <v>21633.757449586756</v>
      </c>
      <c r="D279" s="209">
        <f>(PCS!I285-PCS!F285)/C279</f>
        <v>14.600235590898016</v>
      </c>
      <c r="E279" s="522">
        <f>'Péréquation directe'!E285/C279</f>
        <v>-3.9891266689968834</v>
      </c>
      <c r="F279" s="209">
        <f>'Péréquation directe'!F285/Effort!C279</f>
        <v>-9.7782013201488063</v>
      </c>
      <c r="G279" s="209">
        <f>'Péréquation directe'!G285/Effort!C279</f>
        <v>-4.1148517778255815</v>
      </c>
      <c r="H279" s="209">
        <f>'Péréquation directe'!J285/Effort!C279</f>
        <v>19.156307202306365</v>
      </c>
      <c r="I279" s="381">
        <f t="shared" si="12"/>
        <v>15.874363026233111</v>
      </c>
      <c r="J279" s="226">
        <f t="shared" si="13"/>
        <v>0</v>
      </c>
      <c r="K279" s="42">
        <f t="shared" si="14"/>
        <v>0</v>
      </c>
      <c r="L279" s="240"/>
    </row>
    <row r="280" spans="1:12" x14ac:dyDescent="0.25">
      <c r="A280" s="38">
        <f>Données!A280</f>
        <v>5907</v>
      </c>
      <c r="B280" s="171" t="str">
        <f>Données!B280</f>
        <v>Chavannes-le-Chêne</v>
      </c>
      <c r="C280" s="353">
        <f>VPI!R280</f>
        <v>9890.8899187559018</v>
      </c>
      <c r="D280" s="209">
        <f>(PCS!I286-PCS!F286)/C280</f>
        <v>14.600235590898022</v>
      </c>
      <c r="E280" s="522">
        <f>'Péréquation directe'!E286/C280</f>
        <v>-4.0617219072888782</v>
      </c>
      <c r="F280" s="209">
        <f>'Péréquation directe'!F286/Effort!C280</f>
        <v>-11.51860906476634</v>
      </c>
      <c r="G280" s="209">
        <f>'Péréquation directe'!G286/Effort!C280</f>
        <v>-4.9008644202524643</v>
      </c>
      <c r="H280" s="209">
        <f>'Péréquation directe'!J286/Effort!C280</f>
        <v>19.156307202306365</v>
      </c>
      <c r="I280" s="381">
        <f t="shared" si="12"/>
        <v>13.275347400896704</v>
      </c>
      <c r="J280" s="226">
        <f t="shared" si="13"/>
        <v>0</v>
      </c>
      <c r="K280" s="42">
        <f t="shared" si="14"/>
        <v>0</v>
      </c>
      <c r="L280" s="240"/>
    </row>
    <row r="281" spans="1:12" x14ac:dyDescent="0.25">
      <c r="A281" s="38">
        <f>Données!A281</f>
        <v>5908</v>
      </c>
      <c r="B281" s="171" t="str">
        <f>Données!B281</f>
        <v>Chêne-Pâquier</v>
      </c>
      <c r="C281" s="353">
        <f>VPI!R281</f>
        <v>6502.346088577403</v>
      </c>
      <c r="D281" s="209">
        <f>(PCS!I287-PCS!F287)/C281</f>
        <v>14.60023559089802</v>
      </c>
      <c r="E281" s="522">
        <f>'Péréquation directe'!E287/C281</f>
        <v>-2.7459520827527393</v>
      </c>
      <c r="F281" s="209">
        <f>'Péréquation directe'!F287/Effort!C281</f>
        <v>-0.56137455572537198</v>
      </c>
      <c r="G281" s="209">
        <f>'Péréquation directe'!G287/Effort!C281</f>
        <v>-1.034586646408227</v>
      </c>
      <c r="H281" s="209">
        <f>'Péréquation directe'!J287/Effort!C281</f>
        <v>19.156307202306365</v>
      </c>
      <c r="I281" s="381">
        <f t="shared" si="12"/>
        <v>29.414629508318047</v>
      </c>
      <c r="J281" s="226">
        <f t="shared" si="13"/>
        <v>0</v>
      </c>
      <c r="K281" s="42">
        <f t="shared" si="14"/>
        <v>0</v>
      </c>
      <c r="L281" s="240"/>
    </row>
    <row r="282" spans="1:12" x14ac:dyDescent="0.25">
      <c r="A282" s="38">
        <f>Données!A282</f>
        <v>5909</v>
      </c>
      <c r="B282" s="171" t="str">
        <f>Données!B282</f>
        <v>Cheseaux-Noréaz</v>
      </c>
      <c r="C282" s="353">
        <f>VPI!R282</f>
        <v>39252.843107523055</v>
      </c>
      <c r="D282" s="209">
        <f>(PCS!I288-PCS!F288)/C282</f>
        <v>16.320655394713039</v>
      </c>
      <c r="E282" s="522">
        <f>'Péréquation directe'!E288/C282</f>
        <v>-2.3407101215903663</v>
      </c>
      <c r="F282" s="209">
        <f>'Péréquation directe'!F288/Effort!C282</f>
        <v>0</v>
      </c>
      <c r="G282" s="209">
        <f>'Péréquation directe'!G288/Effort!C282</f>
        <v>-0.72312446966221322</v>
      </c>
      <c r="H282" s="209">
        <f>'Péréquation directe'!J288/Effort!C282</f>
        <v>19.156307202306365</v>
      </c>
      <c r="I282" s="381">
        <f t="shared" si="12"/>
        <v>32.413128005766822</v>
      </c>
      <c r="J282" s="226">
        <f t="shared" si="13"/>
        <v>0</v>
      </c>
      <c r="K282" s="42">
        <f t="shared" si="14"/>
        <v>0</v>
      </c>
      <c r="L282" s="240"/>
    </row>
    <row r="283" spans="1:12" x14ac:dyDescent="0.25">
      <c r="A283" s="38">
        <f>Données!A283</f>
        <v>5910</v>
      </c>
      <c r="B283" s="171" t="str">
        <f>Données!B283</f>
        <v>Cronay</v>
      </c>
      <c r="C283" s="353">
        <f>VPI!R283</f>
        <v>9974.6879714090483</v>
      </c>
      <c r="D283" s="209">
        <f>(PCS!I289-PCS!F289)/C283</f>
        <v>14.60023559089802</v>
      </c>
      <c r="E283" s="522">
        <f>'Péréquation directe'!E289/C283</f>
        <v>-4.8853285342133788</v>
      </c>
      <c r="F283" s="209">
        <f>'Péréquation directe'!F289/Effort!C283</f>
        <v>-19.407042504033875</v>
      </c>
      <c r="G283" s="209">
        <f>'Péréquation directe'!G289/Effort!C283</f>
        <v>-10.059247615623907</v>
      </c>
      <c r="H283" s="209">
        <f>'Péréquation directe'!J289/Effort!C283</f>
        <v>19.156307202306365</v>
      </c>
      <c r="I283" s="381">
        <f t="shared" si="12"/>
        <v>-0.59507586066677476</v>
      </c>
      <c r="J283" s="226">
        <f t="shared" si="13"/>
        <v>0</v>
      </c>
      <c r="K283" s="42">
        <f t="shared" si="14"/>
        <v>0</v>
      </c>
      <c r="L283" s="240"/>
    </row>
    <row r="284" spans="1:12" x14ac:dyDescent="0.25">
      <c r="A284" s="38">
        <f>Données!A284</f>
        <v>5911</v>
      </c>
      <c r="B284" s="171" t="str">
        <f>Données!B284</f>
        <v>Cuarny</v>
      </c>
      <c r="C284" s="353">
        <f>VPI!R284</f>
        <v>6938.982891321557</v>
      </c>
      <c r="D284" s="209">
        <f>(PCS!I290-PCS!F290)/C284</f>
        <v>14.60023559089802</v>
      </c>
      <c r="E284" s="522">
        <f>'Péréquation directe'!E290/C284</f>
        <v>-4.1813891141652544</v>
      </c>
      <c r="F284" s="209">
        <f>'Péréquation directe'!F290/Effort!C284</f>
        <v>-13.19683855657437</v>
      </c>
      <c r="G284" s="209">
        <f>'Péréquation directe'!G290/Effort!C284</f>
        <v>-1.2282946387199163</v>
      </c>
      <c r="H284" s="209">
        <f>'Péréquation directe'!J290/Effort!C284</f>
        <v>19.156307202306362</v>
      </c>
      <c r="I284" s="381">
        <f t="shared" si="12"/>
        <v>15.150020483744841</v>
      </c>
      <c r="J284" s="226">
        <f t="shared" si="13"/>
        <v>0</v>
      </c>
      <c r="K284" s="42">
        <f t="shared" si="14"/>
        <v>0</v>
      </c>
      <c r="L284" s="240"/>
    </row>
    <row r="285" spans="1:12" x14ac:dyDescent="0.25">
      <c r="A285" s="38">
        <f>Données!A285</f>
        <v>5912</v>
      </c>
      <c r="B285" s="171" t="str">
        <f>Données!B285</f>
        <v>Démoret</v>
      </c>
      <c r="C285" s="353">
        <f>VPI!R285</f>
        <v>4068.1026902439612</v>
      </c>
      <c r="D285" s="209">
        <f>(PCS!I291-PCS!F291)/C285</f>
        <v>14.60023559089802</v>
      </c>
      <c r="E285" s="522">
        <f>'Péréquation directe'!E291/C285</f>
        <v>-4.8157698488410405</v>
      </c>
      <c r="F285" s="209">
        <f>'Péréquation directe'!F291/Effort!C285</f>
        <v>-20.796666732842482</v>
      </c>
      <c r="G285" s="209">
        <f>'Péréquation directe'!G291/Effort!C285</f>
        <v>-2.6824354774738048</v>
      </c>
      <c r="H285" s="209">
        <f>'Péréquation directe'!J291/Effort!C285</f>
        <v>19.156307202306365</v>
      </c>
      <c r="I285" s="381">
        <f t="shared" si="12"/>
        <v>5.4616707340470594</v>
      </c>
      <c r="J285" s="226">
        <f t="shared" si="13"/>
        <v>0</v>
      </c>
      <c r="K285" s="42">
        <f t="shared" si="14"/>
        <v>0</v>
      </c>
      <c r="L285" s="240"/>
    </row>
    <row r="286" spans="1:12" x14ac:dyDescent="0.25">
      <c r="A286" s="38">
        <f>Données!A286</f>
        <v>5913</v>
      </c>
      <c r="B286" s="171" t="str">
        <f>Données!B286</f>
        <v>Donneloye</v>
      </c>
      <c r="C286" s="353">
        <f>VPI!R286</f>
        <v>19877.397448309883</v>
      </c>
      <c r="D286" s="209">
        <f>(PCS!I292-PCS!F292)/C286</f>
        <v>14.600235590898022</v>
      </c>
      <c r="E286" s="522">
        <f>'Péréquation directe'!E292/C286</f>
        <v>-5.1712502224276413</v>
      </c>
      <c r="F286" s="209">
        <f>'Péréquation directe'!F292/Effort!C286</f>
        <v>-19.710257075347421</v>
      </c>
      <c r="G286" s="209">
        <f>'Péréquation directe'!G292/Effort!C286</f>
        <v>-2.1611137642951754</v>
      </c>
      <c r="H286" s="209">
        <f>'Péréquation directe'!J292/Effort!C286</f>
        <v>19.156307202306365</v>
      </c>
      <c r="I286" s="381">
        <f t="shared" si="12"/>
        <v>6.7139217311341497</v>
      </c>
      <c r="J286" s="226">
        <f t="shared" si="13"/>
        <v>0</v>
      </c>
      <c r="K286" s="42">
        <f t="shared" si="14"/>
        <v>0</v>
      </c>
      <c r="L286" s="240"/>
    </row>
    <row r="287" spans="1:12" x14ac:dyDescent="0.25">
      <c r="A287" s="38">
        <f>Données!A287</f>
        <v>5914</v>
      </c>
      <c r="B287" s="171" t="str">
        <f>Données!B287</f>
        <v>Ependes</v>
      </c>
      <c r="C287" s="353">
        <f>VPI!R287</f>
        <v>10654.485759200121</v>
      </c>
      <c r="D287" s="209">
        <f>(PCS!I293-PCS!F293)/C287</f>
        <v>14.60023559089802</v>
      </c>
      <c r="E287" s="522">
        <f>'Péréquation directe'!E293/C287</f>
        <v>-4.5154368812350745</v>
      </c>
      <c r="F287" s="209">
        <f>'Péréquation directe'!F293/Effort!C287</f>
        <v>-14.709565812532546</v>
      </c>
      <c r="G287" s="209">
        <f>'Péréquation directe'!G293/Effort!C287</f>
        <v>-6.0683333373992063</v>
      </c>
      <c r="H287" s="209">
        <f>'Péréquation directe'!J293/Effort!C287</f>
        <v>19.156307202306365</v>
      </c>
      <c r="I287" s="381">
        <f t="shared" si="12"/>
        <v>8.463206762037558</v>
      </c>
      <c r="J287" s="226">
        <f t="shared" si="13"/>
        <v>0</v>
      </c>
      <c r="K287" s="42">
        <f t="shared" si="14"/>
        <v>0</v>
      </c>
      <c r="L287" s="240"/>
    </row>
    <row r="288" spans="1:12" x14ac:dyDescent="0.25">
      <c r="A288" s="38">
        <f>Données!A288</f>
        <v>5919</v>
      </c>
      <c r="B288" s="171" t="str">
        <f>Données!B288</f>
        <v>Mathod</v>
      </c>
      <c r="C288" s="353">
        <f>VPI!R288</f>
        <v>21548.298328397002</v>
      </c>
      <c r="D288" s="209">
        <f>(PCS!I294-PCS!F294)/C288</f>
        <v>14.60023559089802</v>
      </c>
      <c r="E288" s="522">
        <f>'Péréquation directe'!E294/C288</f>
        <v>-3.7460067237030885</v>
      </c>
      <c r="F288" s="209">
        <f>'Péréquation directe'!F294/Effort!C288</f>
        <v>-8.1802662666917918</v>
      </c>
      <c r="G288" s="209">
        <f>'Péréquation directe'!G294/Effort!C288</f>
        <v>-9.6873756269897928</v>
      </c>
      <c r="H288" s="209">
        <f>'Péréquation directe'!J294/Effort!C288</f>
        <v>19.156307202306365</v>
      </c>
      <c r="I288" s="381">
        <f t="shared" si="12"/>
        <v>12.142894175819713</v>
      </c>
      <c r="J288" s="226">
        <f t="shared" si="13"/>
        <v>0</v>
      </c>
      <c r="K288" s="42">
        <f t="shared" si="14"/>
        <v>0</v>
      </c>
      <c r="L288" s="240"/>
    </row>
    <row r="289" spans="1:12" x14ac:dyDescent="0.25">
      <c r="A289" s="38">
        <f>Données!A289</f>
        <v>5921</v>
      </c>
      <c r="B289" s="171" t="str">
        <f>Données!B289</f>
        <v>Molondin</v>
      </c>
      <c r="C289" s="353">
        <f>VPI!R289</f>
        <v>5680.8817283950611</v>
      </c>
      <c r="D289" s="209">
        <f>(PCS!I295-PCS!F295)/C289</f>
        <v>14.600235590898022</v>
      </c>
      <c r="E289" s="522">
        <f>'Péréquation directe'!E295/C289</f>
        <v>-5.5002868158755094</v>
      </c>
      <c r="F289" s="209">
        <f>'Péréquation directe'!F295/Effort!C289</f>
        <v>-27.479234656215361</v>
      </c>
      <c r="G289" s="209">
        <f>'Péréquation directe'!G295/Effort!C289</f>
        <v>-11.320881472016321</v>
      </c>
      <c r="H289" s="209">
        <f>'Péréquation directe'!J295/Effort!C289</f>
        <v>19.156307202306365</v>
      </c>
      <c r="I289" s="381">
        <f t="shared" si="12"/>
        <v>-10.543860150902805</v>
      </c>
      <c r="J289" s="226">
        <f t="shared" si="13"/>
        <v>0</v>
      </c>
      <c r="K289" s="42">
        <f t="shared" si="14"/>
        <v>0</v>
      </c>
      <c r="L289" s="240"/>
    </row>
    <row r="290" spans="1:12" x14ac:dyDescent="0.25">
      <c r="A290" s="38">
        <f>Données!A290</f>
        <v>5922</v>
      </c>
      <c r="B290" s="171" t="str">
        <f>Données!B290</f>
        <v>Montagny-près-Yverdon</v>
      </c>
      <c r="C290" s="353">
        <f>VPI!R290</f>
        <v>33186.709071572135</v>
      </c>
      <c r="D290" s="209">
        <f>(PCS!I296-PCS!F296)/C290</f>
        <v>14.60023559089802</v>
      </c>
      <c r="E290" s="522">
        <f>'Péréquation directe'!E296/C290</f>
        <v>-2.7536189596493186</v>
      </c>
      <c r="F290" s="209">
        <f>'Péréquation directe'!F296/Effort!C290</f>
        <v>-0.40869840168257004</v>
      </c>
      <c r="G290" s="209">
        <f>'Péréquation directe'!G296/Effort!C290</f>
        <v>-4.7992630190319172</v>
      </c>
      <c r="H290" s="209">
        <f>'Péréquation directe'!J296/Effort!C290</f>
        <v>19.156307202306365</v>
      </c>
      <c r="I290" s="381">
        <f t="shared" si="12"/>
        <v>25.794962412840579</v>
      </c>
      <c r="J290" s="226">
        <f t="shared" si="13"/>
        <v>0</v>
      </c>
      <c r="K290" s="42">
        <f t="shared" si="14"/>
        <v>0</v>
      </c>
      <c r="L290" s="240"/>
    </row>
    <row r="291" spans="1:12" x14ac:dyDescent="0.25">
      <c r="A291" s="38">
        <f>Données!A291</f>
        <v>5923</v>
      </c>
      <c r="B291" s="171" t="str">
        <f>Données!B291</f>
        <v>Oppens</v>
      </c>
      <c r="C291" s="353">
        <f>VPI!R291</f>
        <v>4798.3716723042917</v>
      </c>
      <c r="D291" s="209">
        <f>(PCS!I297-PCS!F297)/C291</f>
        <v>14.60023559089802</v>
      </c>
      <c r="E291" s="522">
        <f>'Péréquation directe'!E297/C291</f>
        <v>-5.1940092227898251</v>
      </c>
      <c r="F291" s="209">
        <f>'Péréquation directe'!F297/Effort!C291</f>
        <v>-24.489212614732221</v>
      </c>
      <c r="G291" s="209">
        <f>'Péréquation directe'!G297/Effort!C291</f>
        <v>-12.311466315317093</v>
      </c>
      <c r="H291" s="209">
        <f>'Péréquation directe'!J297/Effort!C291</f>
        <v>19.156307202306365</v>
      </c>
      <c r="I291" s="381">
        <f t="shared" si="12"/>
        <v>-8.2381453596347534</v>
      </c>
      <c r="J291" s="226">
        <f t="shared" si="13"/>
        <v>0</v>
      </c>
      <c r="K291" s="42">
        <f t="shared" si="14"/>
        <v>0</v>
      </c>
      <c r="L291" s="240"/>
    </row>
    <row r="292" spans="1:12" x14ac:dyDescent="0.25">
      <c r="A292" s="38">
        <f>Données!A292</f>
        <v>5924</v>
      </c>
      <c r="B292" s="171" t="str">
        <f>Données!B292</f>
        <v>Orges</v>
      </c>
      <c r="C292" s="353">
        <f>VPI!R292</f>
        <v>12515.741993747673</v>
      </c>
      <c r="D292" s="209">
        <f>(PCS!I298-PCS!F298)/C292</f>
        <v>14.60023559089802</v>
      </c>
      <c r="E292" s="522">
        <f>'Péréquation directe'!E298/C292</f>
        <v>-3.3981149178938739</v>
      </c>
      <c r="F292" s="209">
        <f>'Péréquation directe'!F298/Effort!C292</f>
        <v>-5.8064049150704031</v>
      </c>
      <c r="G292" s="209">
        <f>'Péréquation directe'!G298/Effort!C292</f>
        <v>0</v>
      </c>
      <c r="H292" s="209">
        <f>'Péréquation directe'!J298/Effort!C292</f>
        <v>19.156307202306365</v>
      </c>
      <c r="I292" s="381">
        <f t="shared" si="12"/>
        <v>24.552022960240109</v>
      </c>
      <c r="J292" s="226">
        <f t="shared" si="13"/>
        <v>0</v>
      </c>
      <c r="K292" s="42">
        <f t="shared" si="14"/>
        <v>0</v>
      </c>
      <c r="L292" s="240"/>
    </row>
    <row r="293" spans="1:12" x14ac:dyDescent="0.25">
      <c r="A293" s="38">
        <f>Données!A293</f>
        <v>5925</v>
      </c>
      <c r="B293" s="171" t="str">
        <f>Données!B293</f>
        <v>Orzens</v>
      </c>
      <c r="C293" s="353">
        <f>VPI!R293</f>
        <v>5885.1778481012652</v>
      </c>
      <c r="D293" s="209">
        <f>(PCS!I299-PCS!F299)/C293</f>
        <v>14.600235590898018</v>
      </c>
      <c r="E293" s="522">
        <f>'Péréquation directe'!E299/C293</f>
        <v>-4.234840027538465</v>
      </c>
      <c r="F293" s="209">
        <f>'Péréquation directe'!F299/Effort!C293</f>
        <v>-14.387653760880296</v>
      </c>
      <c r="G293" s="209">
        <f>'Péréquation directe'!G299/Effort!C293</f>
        <v>-1.9479529457236546</v>
      </c>
      <c r="H293" s="209">
        <f>'Péréquation directe'!J299/Effort!C293</f>
        <v>19.156307202306365</v>
      </c>
      <c r="I293" s="381">
        <f t="shared" si="12"/>
        <v>13.186096059061967</v>
      </c>
      <c r="J293" s="226">
        <f t="shared" si="13"/>
        <v>0</v>
      </c>
      <c r="K293" s="42">
        <f t="shared" si="14"/>
        <v>0</v>
      </c>
      <c r="L293" s="240"/>
    </row>
    <row r="294" spans="1:12" x14ac:dyDescent="0.25">
      <c r="A294" s="38">
        <f>Données!A294</f>
        <v>5926</v>
      </c>
      <c r="B294" s="171" t="str">
        <f>Données!B294</f>
        <v>Pomy</v>
      </c>
      <c r="C294" s="353">
        <f>VPI!R294</f>
        <v>27361.56181889947</v>
      </c>
      <c r="D294" s="209">
        <f>(PCS!I300-PCS!F300)/C294</f>
        <v>14.60023559089802</v>
      </c>
      <c r="E294" s="522">
        <f>'Péréquation directe'!E300/C294</f>
        <v>-3.6389426004450858</v>
      </c>
      <c r="F294" s="209">
        <f>'Péréquation directe'!F300/Effort!C294</f>
        <v>-7.1515513134241822</v>
      </c>
      <c r="G294" s="209">
        <f>'Péréquation directe'!G300/Effort!C294</f>
        <v>-0.54634884592380506</v>
      </c>
      <c r="H294" s="209">
        <f>'Péréquation directe'!J300/Effort!C294</f>
        <v>19.156307202306365</v>
      </c>
      <c r="I294" s="381">
        <f t="shared" si="12"/>
        <v>22.419700033411313</v>
      </c>
      <c r="J294" s="226">
        <f t="shared" si="13"/>
        <v>0</v>
      </c>
      <c r="K294" s="42">
        <f t="shared" si="14"/>
        <v>0</v>
      </c>
      <c r="L294" s="240"/>
    </row>
    <row r="295" spans="1:12" x14ac:dyDescent="0.25">
      <c r="A295" s="38">
        <f>Données!A295</f>
        <v>5928</v>
      </c>
      <c r="B295" s="171" t="str">
        <f>Données!B295</f>
        <v>Rovray</v>
      </c>
      <c r="C295" s="353">
        <f>VPI!R295</f>
        <v>5562.4200865991261</v>
      </c>
      <c r="D295" s="209">
        <f>(PCS!I301-PCS!F301)/C295</f>
        <v>14.60023559089802</v>
      </c>
      <c r="E295" s="522">
        <f>'Péréquation directe'!E301/C295</f>
        <v>-4.5474394630153299</v>
      </c>
      <c r="F295" s="209">
        <f>'Péréquation directe'!F301/Effort!C295</f>
        <v>-14.163373458256167</v>
      </c>
      <c r="G295" s="209">
        <f>'Péréquation directe'!G301/Effort!C295</f>
        <v>0</v>
      </c>
      <c r="H295" s="209">
        <f>'Péréquation directe'!J301/Effort!C295</f>
        <v>19.156307202306365</v>
      </c>
      <c r="I295" s="381">
        <f t="shared" si="12"/>
        <v>15.045729871932888</v>
      </c>
      <c r="J295" s="226">
        <f t="shared" si="13"/>
        <v>0</v>
      </c>
      <c r="K295" s="42">
        <f t="shared" si="14"/>
        <v>0</v>
      </c>
      <c r="L295" s="240"/>
    </row>
    <row r="296" spans="1:12" x14ac:dyDescent="0.25">
      <c r="A296" s="38">
        <f>Données!A296</f>
        <v>5929</v>
      </c>
      <c r="B296" s="171" t="str">
        <f>Données!B296</f>
        <v>Suchy</v>
      </c>
      <c r="C296" s="353">
        <f>VPI!R296</f>
        <v>19817.928233868191</v>
      </c>
      <c r="D296" s="209">
        <f>(PCS!I302-PCS!F302)/C296</f>
        <v>14.600235590898022</v>
      </c>
      <c r="E296" s="522">
        <f>'Péréquation directe'!E302/C296</f>
        <v>-4.1043664747176347</v>
      </c>
      <c r="F296" s="209">
        <f>'Péréquation directe'!F302/Effort!C296</f>
        <v>-10.344908527723351</v>
      </c>
      <c r="G296" s="209">
        <f>'Péréquation directe'!G302/Effort!C296</f>
        <v>-0.69925592933151925</v>
      </c>
      <c r="H296" s="209">
        <f>'Péréquation directe'!J302/Effort!C296</f>
        <v>19.156307202306365</v>
      </c>
      <c r="I296" s="381">
        <f t="shared" si="12"/>
        <v>18.608011861431883</v>
      </c>
      <c r="J296" s="226">
        <f t="shared" si="13"/>
        <v>0</v>
      </c>
      <c r="K296" s="42">
        <f t="shared" si="14"/>
        <v>0</v>
      </c>
      <c r="L296" s="240"/>
    </row>
    <row r="297" spans="1:12" x14ac:dyDescent="0.25">
      <c r="A297" s="38">
        <f>Données!A297</f>
        <v>5930</v>
      </c>
      <c r="B297" s="171" t="str">
        <f>Données!B297</f>
        <v>Suscévaz</v>
      </c>
      <c r="C297" s="353">
        <f>VPI!R297</f>
        <v>5767.7688822867358</v>
      </c>
      <c r="D297" s="209">
        <f>(PCS!I303-PCS!F303)/C297</f>
        <v>14.600235590898022</v>
      </c>
      <c r="E297" s="522">
        <f>'Péréquation directe'!E303/C297</f>
        <v>-4.3855378271747689</v>
      </c>
      <c r="F297" s="209">
        <f>'Péréquation directe'!F303/Effort!C297</f>
        <v>-13.113319370136454</v>
      </c>
      <c r="G297" s="209">
        <f>'Péréquation directe'!G303/Effort!C297</f>
        <v>-5.9826963855187776</v>
      </c>
      <c r="H297" s="209">
        <f>'Péréquation directe'!J303/Effort!C297</f>
        <v>19.156307202306365</v>
      </c>
      <c r="I297" s="381">
        <f t="shared" si="12"/>
        <v>10.274989210374386</v>
      </c>
      <c r="J297" s="226">
        <f t="shared" si="13"/>
        <v>0</v>
      </c>
      <c r="K297" s="42">
        <f t="shared" si="14"/>
        <v>0</v>
      </c>
      <c r="L297" s="240"/>
    </row>
    <row r="298" spans="1:12" x14ac:dyDescent="0.25">
      <c r="A298" s="38">
        <f>Données!A298</f>
        <v>5931</v>
      </c>
      <c r="B298" s="171" t="str">
        <f>Données!B298</f>
        <v>Treycovagnes</v>
      </c>
      <c r="C298" s="353">
        <f>VPI!R298</f>
        <v>15378.452365711239</v>
      </c>
      <c r="D298" s="209">
        <f>(PCS!I304-PCS!F304)/C298</f>
        <v>14.60023559089802</v>
      </c>
      <c r="E298" s="522">
        <f>'Péréquation directe'!E304/C298</f>
        <v>-3.9104762302800395</v>
      </c>
      <c r="F298" s="209">
        <f>'Péréquation directe'!F304/Effort!C298</f>
        <v>-10.252722986745379</v>
      </c>
      <c r="G298" s="209">
        <f>'Péréquation directe'!G304/Effort!C298</f>
        <v>-2.0787713253260165</v>
      </c>
      <c r="H298" s="209">
        <f>'Péréquation directe'!J304/Effort!C298</f>
        <v>19.156307202306365</v>
      </c>
      <c r="I298" s="381">
        <f t="shared" si="12"/>
        <v>17.51457225085295</v>
      </c>
      <c r="J298" s="226">
        <f t="shared" si="13"/>
        <v>0</v>
      </c>
      <c r="K298" s="42">
        <f t="shared" si="14"/>
        <v>0</v>
      </c>
      <c r="L298" s="240"/>
    </row>
    <row r="299" spans="1:12" x14ac:dyDescent="0.25">
      <c r="A299" s="38">
        <f>Données!A299</f>
        <v>5932</v>
      </c>
      <c r="B299" s="171" t="str">
        <f>Données!B299</f>
        <v>Ursins</v>
      </c>
      <c r="C299" s="353">
        <f>VPI!R299</f>
        <v>6819.2739438524613</v>
      </c>
      <c r="D299" s="209">
        <f>(PCS!I305-PCS!F305)/C299</f>
        <v>14.60023559089802</v>
      </c>
      <c r="E299" s="522">
        <f>'Péréquation directe'!E305/C299</f>
        <v>-4.3275227866282302</v>
      </c>
      <c r="F299" s="209">
        <f>'Péréquation directe'!F305/Effort!C299</f>
        <v>-13.743291709161872</v>
      </c>
      <c r="G299" s="209">
        <f>'Péréquation directe'!G305/Effort!C299</f>
        <v>-3.1669125950834354</v>
      </c>
      <c r="H299" s="209">
        <f>'Péréquation directe'!J305/Effort!C299</f>
        <v>19.156307202306365</v>
      </c>
      <c r="I299" s="381">
        <f t="shared" si="12"/>
        <v>12.51881570233085</v>
      </c>
      <c r="J299" s="226">
        <f t="shared" si="13"/>
        <v>0</v>
      </c>
      <c r="K299" s="42">
        <f t="shared" si="14"/>
        <v>0</v>
      </c>
      <c r="L299" s="240"/>
    </row>
    <row r="300" spans="1:12" x14ac:dyDescent="0.25">
      <c r="A300" s="38">
        <f>Données!A300</f>
        <v>5933</v>
      </c>
      <c r="B300" s="171" t="str">
        <f>Données!B300</f>
        <v>Valeyres-sous-Montagny</v>
      </c>
      <c r="C300" s="353">
        <f>VPI!R300</f>
        <v>22563.405559232429</v>
      </c>
      <c r="D300" s="209">
        <f>(PCS!I306-PCS!F306)/C300</f>
        <v>14.600235590898022</v>
      </c>
      <c r="E300" s="522">
        <f>'Péréquation directe'!E306/C300</f>
        <v>-3.9236847429097379</v>
      </c>
      <c r="F300" s="209">
        <f>'Péréquation directe'!F306/Effort!C300</f>
        <v>-9.1569895455639294</v>
      </c>
      <c r="G300" s="209">
        <f>'Péréquation directe'!G306/Effort!C300</f>
        <v>-8.27354346641261</v>
      </c>
      <c r="H300" s="209">
        <f>'Péréquation directe'!J306/Effort!C300</f>
        <v>19.156307202306365</v>
      </c>
      <c r="I300" s="381">
        <f t="shared" si="12"/>
        <v>12.402325038318111</v>
      </c>
      <c r="J300" s="226">
        <f t="shared" si="13"/>
        <v>0</v>
      </c>
      <c r="K300" s="42">
        <f t="shared" si="14"/>
        <v>0</v>
      </c>
      <c r="L300" s="240"/>
    </row>
    <row r="301" spans="1:12" x14ac:dyDescent="0.25">
      <c r="A301" s="38">
        <f>Données!A301</f>
        <v>5934</v>
      </c>
      <c r="B301" s="171" t="str">
        <f>Données!B301</f>
        <v>Valeyres-sous-Ursins</v>
      </c>
      <c r="C301" s="353">
        <f>VPI!R301</f>
        <v>7577.6382278481005</v>
      </c>
      <c r="D301" s="209">
        <f>(PCS!I307-PCS!F307)/C301</f>
        <v>14.60023559089802</v>
      </c>
      <c r="E301" s="522">
        <f>'Péréquation directe'!E307/C301</f>
        <v>-3.9435170132311561</v>
      </c>
      <c r="F301" s="209">
        <f>'Péréquation directe'!F307/Effort!C301</f>
        <v>-11.682337119150166</v>
      </c>
      <c r="G301" s="209">
        <f>'Péréquation directe'!G307/Effort!C301</f>
        <v>-0.73908534040749019</v>
      </c>
      <c r="H301" s="209">
        <f>'Péréquation directe'!J307/Effort!C301</f>
        <v>19.156307202306365</v>
      </c>
      <c r="I301" s="381">
        <f t="shared" si="12"/>
        <v>17.391603320415573</v>
      </c>
      <c r="J301" s="226">
        <f t="shared" si="13"/>
        <v>0</v>
      </c>
      <c r="K301" s="42">
        <f t="shared" si="14"/>
        <v>0</v>
      </c>
      <c r="L301" s="240"/>
    </row>
    <row r="302" spans="1:12" x14ac:dyDescent="0.25">
      <c r="A302" s="38">
        <f>Données!A302</f>
        <v>5935</v>
      </c>
      <c r="B302" s="171" t="str">
        <f>Données!B302</f>
        <v>Villars-Epeney</v>
      </c>
      <c r="C302" s="353">
        <f>VPI!R302</f>
        <v>3928.0620213791694</v>
      </c>
      <c r="D302" s="209">
        <f>(PCS!I308-PCS!F308)/C302</f>
        <v>14.600235590898018</v>
      </c>
      <c r="E302" s="522">
        <f>'Péréquation directe'!E308/C302</f>
        <v>-3.1881854904254445</v>
      </c>
      <c r="F302" s="209">
        <f>'Péréquation directe'!F308/Effort!C302</f>
        <v>-2.6926986610239343</v>
      </c>
      <c r="G302" s="209">
        <f>'Péréquation directe'!G308/Effort!C302</f>
        <v>-1.3069303529385579</v>
      </c>
      <c r="H302" s="209">
        <f>'Péréquation directe'!J308/Effort!C302</f>
        <v>19.156307202306365</v>
      </c>
      <c r="I302" s="381">
        <f t="shared" si="12"/>
        <v>26.568728288816445</v>
      </c>
      <c r="J302" s="226">
        <f t="shared" si="13"/>
        <v>0</v>
      </c>
      <c r="K302" s="42">
        <f t="shared" si="14"/>
        <v>0</v>
      </c>
      <c r="L302" s="240"/>
    </row>
    <row r="303" spans="1:12" x14ac:dyDescent="0.25">
      <c r="A303" s="38">
        <f>Données!A303</f>
        <v>5937</v>
      </c>
      <c r="B303" s="171" t="str">
        <f>Données!B303</f>
        <v>Vugelles-La Mothe</v>
      </c>
      <c r="C303" s="353">
        <f>VPI!R303</f>
        <v>3185.9394172567995</v>
      </c>
      <c r="D303" s="209">
        <f>(PCS!I309-PCS!F309)/C303</f>
        <v>14.60023559089802</v>
      </c>
      <c r="E303" s="522">
        <f>'Péréquation directe'!E309/C303</f>
        <v>-5.3708387891271823</v>
      </c>
      <c r="F303" s="209">
        <f>'Péréquation directe'!F309/Effort!C303</f>
        <v>-19.578717952742561</v>
      </c>
      <c r="G303" s="209">
        <f>'Péréquation directe'!G309/Effort!C303</f>
        <v>-7.3700895900067795</v>
      </c>
      <c r="H303" s="209">
        <f>'Péréquation directe'!J309/Effort!C303</f>
        <v>19.156307202306365</v>
      </c>
      <c r="I303" s="381">
        <f t="shared" si="12"/>
        <v>1.4368964613278621</v>
      </c>
      <c r="J303" s="226">
        <f t="shared" si="13"/>
        <v>0</v>
      </c>
      <c r="K303" s="42">
        <f t="shared" si="14"/>
        <v>0</v>
      </c>
      <c r="L303" s="240"/>
    </row>
    <row r="304" spans="1:12" x14ac:dyDescent="0.25">
      <c r="A304" s="38">
        <f>Données!A304</f>
        <v>5938</v>
      </c>
      <c r="B304" s="171" t="str">
        <f>Données!B304</f>
        <v>Yverdon-les-Bains</v>
      </c>
      <c r="C304" s="353">
        <f>VPI!R304</f>
        <v>794891.37980729085</v>
      </c>
      <c r="D304" s="209">
        <f>(PCS!I310-PCS!F310)/C304</f>
        <v>14.600235590898016</v>
      </c>
      <c r="E304" s="522">
        <f>'Péréquation directe'!E310/C304</f>
        <v>-31.827968714342305</v>
      </c>
      <c r="F304" s="209">
        <f>'Péréquation directe'!F310/Effort!C304</f>
        <v>-16.665754304320597</v>
      </c>
      <c r="G304" s="209">
        <f>'Péréquation directe'!G310/Effort!C304</f>
        <v>-13.826320174488133</v>
      </c>
      <c r="H304" s="209">
        <f>'Péréquation directe'!J310/Effort!C304</f>
        <v>19.156307202306365</v>
      </c>
      <c r="I304" s="381">
        <f t="shared" si="12"/>
        <v>-28.563500399946648</v>
      </c>
      <c r="J304" s="226">
        <f t="shared" si="13"/>
        <v>0</v>
      </c>
      <c r="K304" s="42">
        <f t="shared" si="14"/>
        <v>0</v>
      </c>
      <c r="L304" s="240"/>
    </row>
    <row r="305" spans="1:14" x14ac:dyDescent="0.25">
      <c r="A305" s="38">
        <f>Données!A305</f>
        <v>5939</v>
      </c>
      <c r="B305" s="171" t="str">
        <f>Données!B305</f>
        <v>Yvonand</v>
      </c>
      <c r="C305" s="353">
        <f>VPI!R305</f>
        <v>92828.645169819079</v>
      </c>
      <c r="D305" s="211">
        <f>(PCS!I311-PCS!F311)/C305</f>
        <v>14.60023559089802</v>
      </c>
      <c r="E305" s="522">
        <f>'Péréquation directe'!E311/C305</f>
        <v>-11.310957769458497</v>
      </c>
      <c r="F305" s="209">
        <f>'Péréquation directe'!F311/Effort!C305</f>
        <v>-14.798805296314049</v>
      </c>
      <c r="G305" s="209">
        <f>'Péréquation directe'!G311/Effort!C305</f>
        <v>-6.3634198691911434</v>
      </c>
      <c r="H305" s="209">
        <f>'Péréquation directe'!J311/Effort!C305</f>
        <v>19.156307202306365</v>
      </c>
      <c r="I305" s="381">
        <f t="shared" si="12"/>
        <v>1.2833598582406971</v>
      </c>
      <c r="J305" s="226">
        <f t="shared" si="13"/>
        <v>0</v>
      </c>
      <c r="K305" s="42">
        <f t="shared" si="14"/>
        <v>0</v>
      </c>
      <c r="L305" s="240"/>
    </row>
    <row r="306" spans="1:14" x14ac:dyDescent="0.25">
      <c r="A306" s="25"/>
      <c r="B306" s="175">
        <f>COUNTA(B6:B305)</f>
        <v>300</v>
      </c>
      <c r="C306" s="61">
        <f>SUM(C6:C305)</f>
        <v>37643741.933631986</v>
      </c>
      <c r="D306" s="62">
        <f>(PCS!I312-PCS!F312)/C306</f>
        <v>17.684835314026657</v>
      </c>
      <c r="E306" s="62">
        <f>'Péréquation directe'!E312/C306</f>
        <v>-11.482842705085531</v>
      </c>
      <c r="F306" s="62">
        <f>'Péréquation directe'!F312/Effort!C306</f>
        <v>-3.4346858515956114</v>
      </c>
      <c r="G306" s="62">
        <f>'Péréquation directe'!G312/Effort!C306</f>
        <v>-4.2381562902401964</v>
      </c>
      <c r="H306" s="62">
        <f>'Péréquation directe'!J312/Effort!C306</f>
        <v>19.156307202306365</v>
      </c>
      <c r="I306" s="351">
        <f t="shared" si="12"/>
        <v>17.685457669411683</v>
      </c>
      <c r="J306" s="430">
        <f t="shared" ref="J306" si="15">IF(I306&gt;J$5,J$5-I306,0)</f>
        <v>0</v>
      </c>
      <c r="K306" s="30">
        <f>SUM(K6:K305)</f>
        <v>-3447930.2066927585</v>
      </c>
      <c r="L306" s="13"/>
      <c r="M306" s="10"/>
      <c r="N306" s="10"/>
    </row>
    <row r="307" spans="1:14" x14ac:dyDescent="0.25">
      <c r="I307" s="5"/>
    </row>
    <row r="310" spans="1:14" x14ac:dyDescent="0.25">
      <c r="H310" s="23"/>
      <c r="I310" s="23"/>
    </row>
    <row r="312" spans="1:14" x14ac:dyDescent="0.25">
      <c r="I312" s="23"/>
    </row>
  </sheetData>
  <sheetProtection sheet="1" objects="1" scenarios="1"/>
  <mergeCells count="10">
    <mergeCell ref="C4:C5"/>
    <mergeCell ref="B4:B5"/>
    <mergeCell ref="A4:A5"/>
    <mergeCell ref="K4:K5"/>
    <mergeCell ref="I4:I5"/>
    <mergeCell ref="E4:E5"/>
    <mergeCell ref="D4:D5"/>
    <mergeCell ref="F4:F5"/>
    <mergeCell ref="H4:H5"/>
    <mergeCell ref="G4:G5"/>
  </mergeCells>
  <phoneticPr fontId="0" type="noConversion"/>
  <conditionalFormatting sqref="D6:I306">
    <cfRule type="cellIs" dxfId="10" priority="5" operator="lessThan">
      <formula>0</formula>
    </cfRule>
    <cfRule type="cellIs" dxfId="9" priority="6" operator="greaterThan">
      <formula>0</formula>
    </cfRule>
  </conditionalFormatting>
  <conditionalFormatting sqref="J5">
    <cfRule type="cellIs" dxfId="8" priority="1" operator="lessThan">
      <formula>0</formula>
    </cfRule>
    <cfRule type="cellIs" dxfId="7" priority="2" operator="greaterThan">
      <formula>0</formula>
    </cfRule>
  </conditionalFormatting>
  <hyperlinks>
    <hyperlink ref="C1" location="DT!A1" display="← Précédent" xr:uid="{0324FF71-E272-4507-A06C-68FB6D7F6A39}"/>
    <hyperlink ref="E1" location="Aide!A1" display="Suivant →" xr:uid="{714C2376-5506-440A-A3BB-74D004A26952}"/>
    <hyperlink ref="D1" location="'Table des matières'!A1" display="Table des             matières" xr:uid="{F4DD9665-E693-4988-9116-9650F129F802}"/>
  </hyperlinks>
  <printOptions horizontalCentered="1"/>
  <pageMargins left="0" right="0" top="0" bottom="0" header="0.51181102362204722" footer="0.51181102362204722"/>
  <pageSetup paperSize="9" scale="64" orientation="portrait" horizontalDpi="4294967292" verticalDpi="4294967292"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theme="6" tint="0.39997558519241921"/>
  </sheetPr>
  <dimension ref="A1:Y308"/>
  <sheetViews>
    <sheetView workbookViewId="0">
      <pane ySplit="5" topLeftCell="A6" activePane="bottomLeft" state="frozen"/>
      <selection pane="bottomLeft"/>
    </sheetView>
  </sheetViews>
  <sheetFormatPr baseColWidth="10" defaultColWidth="10.75" defaultRowHeight="15" x14ac:dyDescent="0.25"/>
  <cols>
    <col min="1" max="1" width="7.25" style="11" customWidth="1"/>
    <col min="2" max="2" width="22.75" style="11" customWidth="1"/>
    <col min="3" max="3" width="16" style="11" customWidth="1"/>
    <col min="4" max="4" width="13.375" style="11" customWidth="1"/>
    <col min="5" max="6" width="13" style="11" customWidth="1"/>
    <col min="7" max="7" width="24.375" style="11" customWidth="1"/>
    <col min="8" max="8" width="9.875" style="11" bestFit="1" customWidth="1"/>
    <col min="9" max="9" width="10" style="11" customWidth="1"/>
    <col min="10" max="10" width="12.875" style="11" customWidth="1"/>
    <col min="11" max="14" width="12.125" style="11" customWidth="1"/>
    <col min="15" max="17" width="8.125" style="11" customWidth="1"/>
    <col min="18" max="16384" width="10.75" style="11"/>
  </cols>
  <sheetData>
    <row r="1" spans="1:25" s="295" customFormat="1" ht="26.25" x14ac:dyDescent="0.4">
      <c r="A1" s="282" t="s">
        <v>406</v>
      </c>
      <c r="B1" s="287"/>
      <c r="C1" s="415" t="s">
        <v>409</v>
      </c>
      <c r="D1" s="306" t="s">
        <v>401</v>
      </c>
      <c r="E1" s="511" t="s">
        <v>410</v>
      </c>
      <c r="G1" s="291"/>
      <c r="H1" s="291"/>
      <c r="I1" s="291"/>
      <c r="J1" s="291"/>
      <c r="L1" s="298"/>
      <c r="N1" s="289"/>
      <c r="O1" s="289"/>
      <c r="P1" s="289"/>
      <c r="Q1" s="289"/>
      <c r="R1" s="289"/>
      <c r="Y1" s="289"/>
    </row>
    <row r="2" spans="1:25" s="33" customFormat="1" ht="15.75" x14ac:dyDescent="0.25">
      <c r="A2" s="360" t="str">
        <f>Paramètres!B4</f>
        <v>Acomptes 2022</v>
      </c>
      <c r="B2" s="32"/>
      <c r="C2" s="222"/>
      <c r="D2" s="222"/>
      <c r="E2" s="222"/>
      <c r="F2" s="222"/>
      <c r="G2" s="222"/>
      <c r="H2" s="222"/>
      <c r="I2" s="222"/>
      <c r="J2" s="222"/>
      <c r="L2" s="43"/>
      <c r="N2" s="220"/>
      <c r="O2" s="220"/>
      <c r="P2" s="220"/>
      <c r="Q2" s="220"/>
      <c r="R2" s="220"/>
      <c r="Y2" s="220"/>
    </row>
    <row r="4" spans="1:25" ht="45" customHeight="1" x14ac:dyDescent="0.25">
      <c r="A4" s="638" t="s">
        <v>44</v>
      </c>
      <c r="B4" s="638" t="s">
        <v>84</v>
      </c>
      <c r="C4" s="638" t="s">
        <v>417</v>
      </c>
      <c r="D4" s="638" t="s">
        <v>439</v>
      </c>
      <c r="E4" s="508" t="s">
        <v>431</v>
      </c>
      <c r="F4" s="509" t="s">
        <v>515</v>
      </c>
      <c r="G4" s="638" t="s">
        <v>549</v>
      </c>
      <c r="H4" s="508" t="s">
        <v>437</v>
      </c>
      <c r="I4" s="638" t="s">
        <v>443</v>
      </c>
    </row>
    <row r="5" spans="1:25" x14ac:dyDescent="0.25">
      <c r="A5" s="639"/>
      <c r="B5" s="640"/>
      <c r="C5" s="639"/>
      <c r="D5" s="639"/>
      <c r="E5" s="525" t="s">
        <v>501</v>
      </c>
      <c r="F5" s="484" t="s">
        <v>502</v>
      </c>
      <c r="G5" s="640"/>
      <c r="H5" s="351">
        <f>-Paramètres!B44</f>
        <v>-8</v>
      </c>
      <c r="I5" s="639"/>
    </row>
    <row r="6" spans="1:25" x14ac:dyDescent="0.25">
      <c r="A6" s="36">
        <f>Données!A6</f>
        <v>5401</v>
      </c>
      <c r="B6" s="171" t="str">
        <f>Données!B6</f>
        <v>Aigle</v>
      </c>
      <c r="C6" s="352">
        <f>VPI!R6</f>
        <v>283957.57045177044</v>
      </c>
      <c r="D6" s="523">
        <f>Effort!I6</f>
        <v>-9.0063651531624558</v>
      </c>
      <c r="E6" s="210">
        <f>PCS!F12/Aide!C6</f>
        <v>3.8619080951259868</v>
      </c>
      <c r="F6" s="521">
        <f>Effort!G6</f>
        <v>-11.133865508218703</v>
      </c>
      <c r="G6" s="431">
        <f>D6+E6-F6</f>
        <v>5.9894084501822338</v>
      </c>
      <c r="H6" s="226">
        <f>IF(G6&lt;H$5,G6-H$5,0)</f>
        <v>0</v>
      </c>
      <c r="I6" s="64">
        <f t="shared" ref="I6:I69" si="0">-H6*C6</f>
        <v>0</v>
      </c>
      <c r="J6" s="29"/>
    </row>
    <row r="7" spans="1:25" x14ac:dyDescent="0.25">
      <c r="A7" s="38">
        <f>Données!A7</f>
        <v>5402</v>
      </c>
      <c r="B7" s="171" t="str">
        <f>Données!B7</f>
        <v>Bex</v>
      </c>
      <c r="C7" s="353">
        <f>VPI!R7</f>
        <v>178942.44507064961</v>
      </c>
      <c r="D7" s="524">
        <f>Effort!I7</f>
        <v>-17.798388290487516</v>
      </c>
      <c r="E7" s="209">
        <f>PCS!F13/Aide!C7</f>
        <v>3.4560149759652266</v>
      </c>
      <c r="F7" s="522">
        <f>Effort!G7</f>
        <v>-11.489571381241502</v>
      </c>
      <c r="G7" s="381">
        <f t="shared" ref="G7:G70" si="1">D7+E7-F7</f>
        <v>-2.8528019332807872</v>
      </c>
      <c r="H7" s="226">
        <f t="shared" ref="H7:H70" si="2">IF(G7&lt;H$5,G7-H$5,0)</f>
        <v>0</v>
      </c>
      <c r="I7" s="42">
        <f t="shared" si="0"/>
        <v>0</v>
      </c>
      <c r="J7" s="29"/>
    </row>
    <row r="8" spans="1:25" x14ac:dyDescent="0.25">
      <c r="A8" s="38">
        <f>Données!A8</f>
        <v>5403</v>
      </c>
      <c r="B8" s="171" t="str">
        <f>Données!B8</f>
        <v>Chessel</v>
      </c>
      <c r="C8" s="353">
        <f>VPI!R8</f>
        <v>10796.246764670586</v>
      </c>
      <c r="D8" s="524">
        <f>Effort!I8</f>
        <v>7.4960962479869089</v>
      </c>
      <c r="E8" s="209">
        <f>PCS!F14/Aide!C8</f>
        <v>5.4404619753791037</v>
      </c>
      <c r="F8" s="522">
        <f>Effort!G8</f>
        <v>-1.4934203237402102</v>
      </c>
      <c r="G8" s="381">
        <f t="shared" si="1"/>
        <v>14.429978547106224</v>
      </c>
      <c r="H8" s="226">
        <f t="shared" si="2"/>
        <v>0</v>
      </c>
      <c r="I8" s="42">
        <f t="shared" si="0"/>
        <v>0</v>
      </c>
      <c r="J8" s="29"/>
    </row>
    <row r="9" spans="1:25" x14ac:dyDescent="0.25">
      <c r="A9" s="38">
        <f>Données!A9</f>
        <v>5404</v>
      </c>
      <c r="B9" s="171" t="str">
        <f>Données!B9</f>
        <v>Corbeyrier</v>
      </c>
      <c r="C9" s="353">
        <f>VPI!R9</f>
        <v>11266.447111519699</v>
      </c>
      <c r="D9" s="524">
        <f>Effort!I9</f>
        <v>-0.92783910223159083</v>
      </c>
      <c r="E9" s="209">
        <f>PCS!F15/Aide!C9</f>
        <v>5.3617391003623833</v>
      </c>
      <c r="F9" s="522">
        <f>Effort!G9</f>
        <v>-11.763533852808811</v>
      </c>
      <c r="G9" s="381">
        <f t="shared" si="1"/>
        <v>16.197433850939603</v>
      </c>
      <c r="H9" s="226">
        <f t="shared" si="2"/>
        <v>0</v>
      </c>
      <c r="I9" s="42">
        <f t="shared" si="0"/>
        <v>0</v>
      </c>
      <c r="J9" s="29"/>
    </row>
    <row r="10" spans="1:25" x14ac:dyDescent="0.25">
      <c r="A10" s="38">
        <f>Données!A10</f>
        <v>5405</v>
      </c>
      <c r="B10" s="171" t="str">
        <f>Données!B10</f>
        <v>Gryon</v>
      </c>
      <c r="C10" s="353">
        <f>VPI!R10</f>
        <v>68176.099678718238</v>
      </c>
      <c r="D10" s="524">
        <f>Effort!I10</f>
        <v>18.403633857301447</v>
      </c>
      <c r="E10" s="209">
        <f>PCS!F16/Aide!C10</f>
        <v>6.2011697939941239</v>
      </c>
      <c r="F10" s="522">
        <f>Effort!G10</f>
        <v>-12.590635222208839</v>
      </c>
      <c r="G10" s="381">
        <f t="shared" si="1"/>
        <v>37.195438873504408</v>
      </c>
      <c r="H10" s="226">
        <f t="shared" si="2"/>
        <v>0</v>
      </c>
      <c r="I10" s="42">
        <f t="shared" si="0"/>
        <v>0</v>
      </c>
      <c r="J10" s="29"/>
    </row>
    <row r="11" spans="1:25" x14ac:dyDescent="0.25">
      <c r="A11" s="38">
        <f>Données!A11</f>
        <v>5406</v>
      </c>
      <c r="B11" s="171" t="str">
        <f>Données!B11</f>
        <v>Lavey-Morcles</v>
      </c>
      <c r="C11" s="353">
        <f>VPI!R11</f>
        <v>21824.791081856485</v>
      </c>
      <c r="D11" s="524">
        <f>Effort!I11</f>
        <v>-5.9997477270307797E-2</v>
      </c>
      <c r="E11" s="209">
        <f>PCS!F17/Aide!C11</f>
        <v>4.8218770848847123</v>
      </c>
      <c r="F11" s="522">
        <f>Effort!G11</f>
        <v>-8.0848155446562657</v>
      </c>
      <c r="G11" s="381">
        <f t="shared" si="1"/>
        <v>12.846695152270669</v>
      </c>
      <c r="H11" s="226">
        <f t="shared" si="2"/>
        <v>0</v>
      </c>
      <c r="I11" s="42">
        <f t="shared" si="0"/>
        <v>0</v>
      </c>
      <c r="J11" s="29"/>
    </row>
    <row r="12" spans="1:25" x14ac:dyDescent="0.25">
      <c r="A12" s="38">
        <f>Données!A12</f>
        <v>5407</v>
      </c>
      <c r="B12" s="171" t="str">
        <f>Données!B12</f>
        <v>Leysin</v>
      </c>
      <c r="C12" s="353">
        <f>VPI!R12</f>
        <v>90748.112777121743</v>
      </c>
      <c r="D12" s="524">
        <f>Effort!I12</f>
        <v>-18.48814368826207</v>
      </c>
      <c r="E12" s="209">
        <f>PCS!F18/Aide!C12</f>
        <v>4.3436405225098511</v>
      </c>
      <c r="F12" s="522">
        <f>Effort!G12</f>
        <v>-18.926905873765378</v>
      </c>
      <c r="G12" s="381">
        <f t="shared" si="1"/>
        <v>4.7824027080131586</v>
      </c>
      <c r="H12" s="226">
        <f t="shared" si="2"/>
        <v>0</v>
      </c>
      <c r="I12" s="42">
        <f t="shared" si="0"/>
        <v>0</v>
      </c>
      <c r="J12" s="29"/>
    </row>
    <row r="13" spans="1:25" x14ac:dyDescent="0.25">
      <c r="A13" s="38">
        <f>Données!A13</f>
        <v>5408</v>
      </c>
      <c r="B13" s="171" t="str">
        <f>Données!B13</f>
        <v>Noville</v>
      </c>
      <c r="C13" s="353">
        <f>VPI!R13</f>
        <v>43666.640444665623</v>
      </c>
      <c r="D13" s="524">
        <f>Effort!I13</f>
        <v>21.26348696484251</v>
      </c>
      <c r="E13" s="209">
        <f>PCS!F19/Aide!C13</f>
        <v>3.5262017739862581</v>
      </c>
      <c r="F13" s="522">
        <f>Effort!G13</f>
        <v>-2.4631200363307606</v>
      </c>
      <c r="G13" s="381">
        <f t="shared" si="1"/>
        <v>27.252808775159529</v>
      </c>
      <c r="H13" s="226">
        <f t="shared" si="2"/>
        <v>0</v>
      </c>
      <c r="I13" s="42">
        <f t="shared" si="0"/>
        <v>0</v>
      </c>
      <c r="J13" s="29"/>
    </row>
    <row r="14" spans="1:25" x14ac:dyDescent="0.25">
      <c r="A14" s="38">
        <f>Données!A14</f>
        <v>5409</v>
      </c>
      <c r="B14" s="171" t="str">
        <f>Données!B14</f>
        <v>Ollon</v>
      </c>
      <c r="C14" s="353">
        <f>VPI!R14</f>
        <v>388986.52146492567</v>
      </c>
      <c r="D14" s="524">
        <f>Effort!I14</f>
        <v>19.209456207935538</v>
      </c>
      <c r="E14" s="209">
        <f>PCS!F20/Aide!C14</f>
        <v>4.4948668617497445</v>
      </c>
      <c r="F14" s="522">
        <f>Effort!G14</f>
        <v>-7.1395635243422362</v>
      </c>
      <c r="G14" s="381">
        <f t="shared" si="1"/>
        <v>30.84388659402752</v>
      </c>
      <c r="H14" s="226">
        <f t="shared" si="2"/>
        <v>0</v>
      </c>
      <c r="I14" s="42">
        <f t="shared" si="0"/>
        <v>0</v>
      </c>
      <c r="J14" s="29"/>
    </row>
    <row r="15" spans="1:25" x14ac:dyDescent="0.25">
      <c r="A15" s="38">
        <f>Données!A15</f>
        <v>5410</v>
      </c>
      <c r="B15" s="171" t="str">
        <f>Données!B15</f>
        <v>Ormont-Dessous</v>
      </c>
      <c r="C15" s="353">
        <f>VPI!R15</f>
        <v>39516.146697267235</v>
      </c>
      <c r="D15" s="524">
        <f>Effort!I15</f>
        <v>-0.21838884581859475</v>
      </c>
      <c r="E15" s="209">
        <f>PCS!F21/Aide!C15</f>
        <v>5.5571484912820805</v>
      </c>
      <c r="F15" s="522">
        <f>Effort!G15</f>
        <v>-20.282658527757562</v>
      </c>
      <c r="G15" s="381">
        <f t="shared" si="1"/>
        <v>25.621418173221048</v>
      </c>
      <c r="H15" s="226">
        <f t="shared" si="2"/>
        <v>0</v>
      </c>
      <c r="I15" s="42">
        <f t="shared" si="0"/>
        <v>0</v>
      </c>
      <c r="J15" s="29"/>
    </row>
    <row r="16" spans="1:25" x14ac:dyDescent="0.25">
      <c r="A16" s="38">
        <f>Données!A16</f>
        <v>5411</v>
      </c>
      <c r="B16" s="171" t="str">
        <f>Données!B16</f>
        <v>Ormont-Dessus</v>
      </c>
      <c r="C16" s="353">
        <f>VPI!R16</f>
        <v>68020.566453850552</v>
      </c>
      <c r="D16" s="524">
        <f>Effort!I16</f>
        <v>15.977058431961872</v>
      </c>
      <c r="E16" s="209">
        <f>PCS!F22/Aide!C16</f>
        <v>6.8110372958203094</v>
      </c>
      <c r="F16" s="522">
        <f>Effort!G16</f>
        <v>-13.652487399771415</v>
      </c>
      <c r="G16" s="381">
        <f t="shared" si="1"/>
        <v>36.440583127553595</v>
      </c>
      <c r="H16" s="226">
        <f t="shared" si="2"/>
        <v>0</v>
      </c>
      <c r="I16" s="42">
        <f t="shared" si="0"/>
        <v>0</v>
      </c>
      <c r="J16" s="29"/>
    </row>
    <row r="17" spans="1:10" x14ac:dyDescent="0.25">
      <c r="A17" s="38">
        <f>Données!A17</f>
        <v>5412</v>
      </c>
      <c r="B17" s="171" t="str">
        <f>Données!B17</f>
        <v>Rennaz</v>
      </c>
      <c r="C17" s="353">
        <f>VPI!R17</f>
        <v>24252.718750309756</v>
      </c>
      <c r="D17" s="524">
        <f>Effort!I17</f>
        <v>12.360981579920381</v>
      </c>
      <c r="E17" s="209">
        <f>PCS!F23/Aide!C17</f>
        <v>12.492459221551414</v>
      </c>
      <c r="F17" s="522">
        <f>Effort!G17</f>
        <v>-3.6769237854733374</v>
      </c>
      <c r="G17" s="381">
        <f t="shared" si="1"/>
        <v>28.530364586945133</v>
      </c>
      <c r="H17" s="226">
        <f t="shared" si="2"/>
        <v>0</v>
      </c>
      <c r="I17" s="42">
        <f t="shared" si="0"/>
        <v>0</v>
      </c>
      <c r="J17" s="29"/>
    </row>
    <row r="18" spans="1:10" x14ac:dyDescent="0.25">
      <c r="A18" s="38">
        <f>Données!A18</f>
        <v>5413</v>
      </c>
      <c r="B18" s="171" t="str">
        <f>Données!B18</f>
        <v>Roche</v>
      </c>
      <c r="C18" s="353">
        <f>VPI!R18</f>
        <v>47951.627432220594</v>
      </c>
      <c r="D18" s="524">
        <f>Effort!I18</f>
        <v>10.129320106015928</v>
      </c>
      <c r="E18" s="209">
        <f>PCS!F24/Aide!C18</f>
        <v>4.6463147745073812</v>
      </c>
      <c r="F18" s="522">
        <f>Effort!G18</f>
        <v>0</v>
      </c>
      <c r="G18" s="381">
        <f t="shared" si="1"/>
        <v>14.77563488052331</v>
      </c>
      <c r="H18" s="226">
        <f t="shared" si="2"/>
        <v>0</v>
      </c>
      <c r="I18" s="42">
        <f t="shared" si="0"/>
        <v>0</v>
      </c>
      <c r="J18" s="29"/>
    </row>
    <row r="19" spans="1:10" x14ac:dyDescent="0.25">
      <c r="A19" s="38">
        <f>Données!A19</f>
        <v>5414</v>
      </c>
      <c r="B19" s="171" t="str">
        <f>Données!B19</f>
        <v>Villeneuve</v>
      </c>
      <c r="C19" s="353">
        <f>VPI!R19</f>
        <v>159309.32612133506</v>
      </c>
      <c r="D19" s="524">
        <f>Effort!I19</f>
        <v>-8.6570926036389189</v>
      </c>
      <c r="E19" s="209">
        <f>PCS!F25/Aide!C19</f>
        <v>5.5241862571794602</v>
      </c>
      <c r="F19" s="522">
        <f>Effort!G19</f>
        <v>-15.329809045962227</v>
      </c>
      <c r="G19" s="381">
        <f t="shared" si="1"/>
        <v>12.196902699502768</v>
      </c>
      <c r="H19" s="226">
        <f t="shared" si="2"/>
        <v>0</v>
      </c>
      <c r="I19" s="42">
        <f t="shared" si="0"/>
        <v>0</v>
      </c>
      <c r="J19" s="29"/>
    </row>
    <row r="20" spans="1:10" x14ac:dyDescent="0.25">
      <c r="A20" s="38">
        <f>Données!A20</f>
        <v>5415</v>
      </c>
      <c r="B20" s="171" t="str">
        <f>Données!B20</f>
        <v>Yvorne</v>
      </c>
      <c r="C20" s="353">
        <f>VPI!R20</f>
        <v>38141.091526902295</v>
      </c>
      <c r="D20" s="524">
        <f>Effort!I20</f>
        <v>19.169107497189742</v>
      </c>
      <c r="E20" s="209">
        <f>PCS!F26/Aide!C20</f>
        <v>4.8058526293279131</v>
      </c>
      <c r="F20" s="522">
        <f>Effort!G20</f>
        <v>-4.6671942271985394</v>
      </c>
      <c r="G20" s="381">
        <f t="shared" si="1"/>
        <v>28.642154353716194</v>
      </c>
      <c r="H20" s="226">
        <f t="shared" si="2"/>
        <v>0</v>
      </c>
      <c r="I20" s="42">
        <f t="shared" si="0"/>
        <v>0</v>
      </c>
      <c r="J20" s="29"/>
    </row>
    <row r="21" spans="1:10" x14ac:dyDescent="0.25">
      <c r="A21" s="38">
        <f>Données!A21</f>
        <v>5422</v>
      </c>
      <c r="B21" s="171" t="str">
        <f>Données!B21</f>
        <v>Aubonne</v>
      </c>
      <c r="C21" s="353">
        <f>VPI!R21</f>
        <v>257139.62131053992</v>
      </c>
      <c r="D21" s="524">
        <f>Effort!I21</f>
        <v>34.870713216727452</v>
      </c>
      <c r="E21" s="209">
        <f>PCS!F27/Aide!C21</f>
        <v>3.4386258931764129</v>
      </c>
      <c r="F21" s="522">
        <f>Effort!G21</f>
        <v>0</v>
      </c>
      <c r="G21" s="381">
        <f t="shared" si="1"/>
        <v>38.309339109903867</v>
      </c>
      <c r="H21" s="226">
        <f t="shared" si="2"/>
        <v>0</v>
      </c>
      <c r="I21" s="42">
        <f t="shared" si="0"/>
        <v>0</v>
      </c>
      <c r="J21" s="29"/>
    </row>
    <row r="22" spans="1:10" x14ac:dyDescent="0.25">
      <c r="A22" s="38">
        <f>Données!A22</f>
        <v>5423</v>
      </c>
      <c r="B22" s="171" t="str">
        <f>Données!B22</f>
        <v>Ballens</v>
      </c>
      <c r="C22" s="353">
        <f>VPI!R22</f>
        <v>17113.568875479887</v>
      </c>
      <c r="D22" s="524">
        <f>Effort!I22</f>
        <v>10.531390554451088</v>
      </c>
      <c r="E22" s="209">
        <f>PCS!F28/Aide!C22</f>
        <v>2.2675019034515591</v>
      </c>
      <c r="F22" s="522">
        <f>Effort!G22</f>
        <v>-8.1601424639484978</v>
      </c>
      <c r="G22" s="381">
        <f t="shared" si="1"/>
        <v>20.959034921851142</v>
      </c>
      <c r="H22" s="226">
        <f t="shared" si="2"/>
        <v>0</v>
      </c>
      <c r="I22" s="42">
        <f t="shared" si="0"/>
        <v>0</v>
      </c>
      <c r="J22" s="29"/>
    </row>
    <row r="23" spans="1:10" x14ac:dyDescent="0.25">
      <c r="A23" s="38">
        <f>Données!A23</f>
        <v>5424</v>
      </c>
      <c r="B23" s="171" t="str">
        <f>Données!B23</f>
        <v>Berolle</v>
      </c>
      <c r="C23" s="353">
        <f>VPI!R23</f>
        <v>9114.6527235419599</v>
      </c>
      <c r="D23" s="524">
        <f>Effort!I23</f>
        <v>11.051183857160236</v>
      </c>
      <c r="E23" s="209">
        <f>PCS!F29/Aide!C23</f>
        <v>2.4092360582517709</v>
      </c>
      <c r="F23" s="522">
        <f>Effort!G23</f>
        <v>-5.1099679901626507</v>
      </c>
      <c r="G23" s="381">
        <f t="shared" si="1"/>
        <v>18.570387905574659</v>
      </c>
      <c r="H23" s="226">
        <f t="shared" si="2"/>
        <v>0</v>
      </c>
      <c r="I23" s="42">
        <f t="shared" si="0"/>
        <v>0</v>
      </c>
      <c r="J23" s="29"/>
    </row>
    <row r="24" spans="1:10" x14ac:dyDescent="0.25">
      <c r="A24" s="38">
        <f>Données!A24</f>
        <v>5425</v>
      </c>
      <c r="B24" s="171" t="str">
        <f>Données!B24</f>
        <v>Bière</v>
      </c>
      <c r="C24" s="353">
        <f>VPI!R24</f>
        <v>40150.134165172873</v>
      </c>
      <c r="D24" s="524">
        <f>Effort!I24</f>
        <v>-6.1733490874127774</v>
      </c>
      <c r="E24" s="209">
        <f>PCS!F30/Aide!C24</f>
        <v>3.5763231676708331</v>
      </c>
      <c r="F24" s="522">
        <f>Effort!G24</f>
        <v>-14.849404784859852</v>
      </c>
      <c r="G24" s="381">
        <f t="shared" si="1"/>
        <v>12.252378865117908</v>
      </c>
      <c r="H24" s="226">
        <f t="shared" si="2"/>
        <v>0</v>
      </c>
      <c r="I24" s="42">
        <f t="shared" si="0"/>
        <v>0</v>
      </c>
      <c r="J24" s="29"/>
    </row>
    <row r="25" spans="1:10" x14ac:dyDescent="0.25">
      <c r="A25" s="38">
        <f>Données!A25</f>
        <v>5426</v>
      </c>
      <c r="B25" s="171" t="str">
        <f>Données!B25</f>
        <v>Bougy-Villars</v>
      </c>
      <c r="C25" s="353">
        <f>VPI!R25</f>
        <v>55602.19681468232</v>
      </c>
      <c r="D25" s="524">
        <f>Effort!I25</f>
        <v>47.825483116671613</v>
      </c>
      <c r="E25" s="209">
        <f>PCS!F31/Aide!C25</f>
        <v>2.595396463937798</v>
      </c>
      <c r="F25" s="522">
        <f>Effort!G25</f>
        <v>0</v>
      </c>
      <c r="G25" s="381">
        <f t="shared" si="1"/>
        <v>50.420879580609409</v>
      </c>
      <c r="H25" s="226">
        <f t="shared" si="2"/>
        <v>0</v>
      </c>
      <c r="I25" s="42">
        <f t="shared" si="0"/>
        <v>0</v>
      </c>
      <c r="J25" s="29"/>
    </row>
    <row r="26" spans="1:10" x14ac:dyDescent="0.25">
      <c r="A26" s="38">
        <f>Données!A26</f>
        <v>5427</v>
      </c>
      <c r="B26" s="171" t="str">
        <f>Données!B26</f>
        <v>Féchy</v>
      </c>
      <c r="C26" s="353">
        <f>VPI!R26</f>
        <v>77005.502299275147</v>
      </c>
      <c r="D26" s="524">
        <f>Effort!I26</f>
        <v>42.284316190511603</v>
      </c>
      <c r="E26" s="209">
        <f>PCS!F32/Aide!C26</f>
        <v>1.3296445960714653</v>
      </c>
      <c r="F26" s="522">
        <f>Effort!G26</f>
        <v>0</v>
      </c>
      <c r="G26" s="381">
        <f t="shared" si="1"/>
        <v>43.613960786583071</v>
      </c>
      <c r="H26" s="226">
        <f t="shared" si="2"/>
        <v>0</v>
      </c>
      <c r="I26" s="42">
        <f t="shared" si="0"/>
        <v>0</v>
      </c>
      <c r="J26" s="29"/>
    </row>
    <row r="27" spans="1:10" x14ac:dyDescent="0.25">
      <c r="A27" s="38">
        <f>Données!A27</f>
        <v>5428</v>
      </c>
      <c r="B27" s="171" t="str">
        <f>Données!B27</f>
        <v>Gimel</v>
      </c>
      <c r="C27" s="353">
        <f>VPI!R27</f>
        <v>70160.017528660552</v>
      </c>
      <c r="D27" s="524">
        <f>Effort!I27</f>
        <v>10.446781904290228</v>
      </c>
      <c r="E27" s="209">
        <f>PCS!F33/Aide!C27</f>
        <v>7.0230838354439484</v>
      </c>
      <c r="F27" s="522">
        <f>Effort!G27</f>
        <v>-3.5817498417654519</v>
      </c>
      <c r="G27" s="381">
        <f t="shared" si="1"/>
        <v>21.051615581499625</v>
      </c>
      <c r="H27" s="226">
        <f t="shared" si="2"/>
        <v>0</v>
      </c>
      <c r="I27" s="42">
        <f t="shared" si="0"/>
        <v>0</v>
      </c>
      <c r="J27" s="29"/>
    </row>
    <row r="28" spans="1:10" x14ac:dyDescent="0.25">
      <c r="A28" s="38">
        <f>Données!A28</f>
        <v>5429</v>
      </c>
      <c r="B28" s="171" t="str">
        <f>Données!B28</f>
        <v>Longirod</v>
      </c>
      <c r="C28" s="353">
        <f>VPI!R28</f>
        <v>16136.097907481106</v>
      </c>
      <c r="D28" s="524">
        <f>Effort!I28</f>
        <v>12.427769772178257</v>
      </c>
      <c r="E28" s="209">
        <f>PCS!F34/Aide!C28</f>
        <v>2.8930011622176108</v>
      </c>
      <c r="F28" s="522">
        <f>Effort!G28</f>
        <v>-7.6079786964843858</v>
      </c>
      <c r="G28" s="381">
        <f t="shared" si="1"/>
        <v>22.928749630880255</v>
      </c>
      <c r="H28" s="226">
        <f t="shared" si="2"/>
        <v>0</v>
      </c>
      <c r="I28" s="42">
        <f t="shared" si="0"/>
        <v>0</v>
      </c>
      <c r="J28" s="29"/>
    </row>
    <row r="29" spans="1:10" x14ac:dyDescent="0.25">
      <c r="A29" s="38">
        <f>Données!A29</f>
        <v>5430</v>
      </c>
      <c r="B29" s="171" t="str">
        <f>Données!B29</f>
        <v>Marchissy</v>
      </c>
      <c r="C29" s="353">
        <f>VPI!R29</f>
        <v>14848.61677419355</v>
      </c>
      <c r="D29" s="524">
        <f>Effort!I29</f>
        <v>-6.9396544009282479</v>
      </c>
      <c r="E29" s="209">
        <f>PCS!F35/Aide!C29</f>
        <v>2.9603642998179129</v>
      </c>
      <c r="F29" s="522">
        <f>Effort!G29</f>
        <v>-24.783442280884113</v>
      </c>
      <c r="G29" s="381">
        <f t="shared" si="1"/>
        <v>20.80415217977378</v>
      </c>
      <c r="H29" s="226">
        <f t="shared" si="2"/>
        <v>0</v>
      </c>
      <c r="I29" s="42">
        <f t="shared" si="0"/>
        <v>0</v>
      </c>
      <c r="J29" s="29"/>
    </row>
    <row r="30" spans="1:10" x14ac:dyDescent="0.25">
      <c r="A30" s="38">
        <f>Données!A30</f>
        <v>5431</v>
      </c>
      <c r="B30" s="171" t="str">
        <f>Données!B30</f>
        <v>Mollens</v>
      </c>
      <c r="C30" s="353">
        <f>VPI!R30</f>
        <v>9333.1487396041775</v>
      </c>
      <c r="D30" s="524">
        <f>Effort!I30</f>
        <v>7.5854170809330519</v>
      </c>
      <c r="E30" s="209">
        <f>PCS!F36/Aide!C30</f>
        <v>9.284838634605876</v>
      </c>
      <c r="F30" s="522">
        <f>Effort!G30</f>
        <v>-7.9462460180203989</v>
      </c>
      <c r="G30" s="381">
        <f t="shared" si="1"/>
        <v>24.816501733559328</v>
      </c>
      <c r="H30" s="226">
        <f t="shared" si="2"/>
        <v>0</v>
      </c>
      <c r="I30" s="42">
        <f t="shared" si="0"/>
        <v>0</v>
      </c>
      <c r="J30" s="29"/>
    </row>
    <row r="31" spans="1:10" x14ac:dyDescent="0.25">
      <c r="A31" s="38">
        <f>Données!A31</f>
        <v>5434</v>
      </c>
      <c r="B31" s="171" t="str">
        <f>Données!B31</f>
        <v>Saint-George</v>
      </c>
      <c r="C31" s="353">
        <f>VPI!R31</f>
        <v>40791.515913403804</v>
      </c>
      <c r="D31" s="524">
        <f>Effort!I31</f>
        <v>24.577284424181155</v>
      </c>
      <c r="E31" s="209">
        <f>PCS!F37/Aide!C31</f>
        <v>2.8201717299307076</v>
      </c>
      <c r="F31" s="522">
        <f>Effort!G31</f>
        <v>-1.3473662803222108</v>
      </c>
      <c r="G31" s="381">
        <f t="shared" si="1"/>
        <v>28.74482243443407</v>
      </c>
      <c r="H31" s="226">
        <f t="shared" si="2"/>
        <v>0</v>
      </c>
      <c r="I31" s="42">
        <f t="shared" si="0"/>
        <v>0</v>
      </c>
      <c r="J31" s="29"/>
    </row>
    <row r="32" spans="1:10" x14ac:dyDescent="0.25">
      <c r="A32" s="38">
        <f>Données!A32</f>
        <v>5435</v>
      </c>
      <c r="B32" s="171" t="str">
        <f>Données!B32</f>
        <v>Saint-Livres</v>
      </c>
      <c r="C32" s="353">
        <f>VPI!R32</f>
        <v>26337.98545829628</v>
      </c>
      <c r="D32" s="524">
        <f>Effort!I32</f>
        <v>25.247707235564839</v>
      </c>
      <c r="E32" s="209">
        <f>PCS!F38/Aide!C32</f>
        <v>2.6468032306564044</v>
      </c>
      <c r="F32" s="522">
        <f>Effort!G32</f>
        <v>-1.5393294720440212</v>
      </c>
      <c r="G32" s="381">
        <f t="shared" si="1"/>
        <v>29.433839938265262</v>
      </c>
      <c r="H32" s="226">
        <f t="shared" si="2"/>
        <v>0</v>
      </c>
      <c r="I32" s="42">
        <f t="shared" si="0"/>
        <v>0</v>
      </c>
      <c r="J32" s="29"/>
    </row>
    <row r="33" spans="1:10" x14ac:dyDescent="0.25">
      <c r="A33" s="38">
        <f>Données!A33</f>
        <v>5436</v>
      </c>
      <c r="B33" s="171" t="str">
        <f>Données!B33</f>
        <v>Saint-Oyens</v>
      </c>
      <c r="C33" s="353">
        <f>VPI!R33</f>
        <v>16753.686386728143</v>
      </c>
      <c r="D33" s="524">
        <f>Effort!I33</f>
        <v>23.253636269635507</v>
      </c>
      <c r="E33" s="209">
        <f>PCS!F39/Aide!C33</f>
        <v>1.8450405055025452</v>
      </c>
      <c r="F33" s="522">
        <f>Effort!G33</f>
        <v>0</v>
      </c>
      <c r="G33" s="381">
        <f t="shared" si="1"/>
        <v>25.098676775138053</v>
      </c>
      <c r="H33" s="226">
        <f t="shared" si="2"/>
        <v>0</v>
      </c>
      <c r="I33" s="42">
        <f t="shared" si="0"/>
        <v>0</v>
      </c>
      <c r="J33" s="29"/>
    </row>
    <row r="34" spans="1:10" x14ac:dyDescent="0.25">
      <c r="A34" s="38">
        <f>Données!A34</f>
        <v>5437</v>
      </c>
      <c r="B34" s="171" t="str">
        <f>Données!B34</f>
        <v>Saubraz</v>
      </c>
      <c r="C34" s="353">
        <f>VPI!R34</f>
        <v>13378.426818540998</v>
      </c>
      <c r="D34" s="524">
        <f>Effort!I34</f>
        <v>16.955566739422153</v>
      </c>
      <c r="E34" s="209">
        <f>PCS!F40/Aide!C34</f>
        <v>4.0198523136866831</v>
      </c>
      <c r="F34" s="522">
        <f>Effort!G34</f>
        <v>-1.120231794965892</v>
      </c>
      <c r="G34" s="381">
        <f t="shared" si="1"/>
        <v>22.09565084807473</v>
      </c>
      <c r="H34" s="226">
        <f t="shared" si="2"/>
        <v>0</v>
      </c>
      <c r="I34" s="42">
        <f t="shared" si="0"/>
        <v>0</v>
      </c>
      <c r="J34" s="29"/>
    </row>
    <row r="35" spans="1:10" x14ac:dyDescent="0.25">
      <c r="A35" s="38">
        <f>Données!A35</f>
        <v>5451</v>
      </c>
      <c r="B35" s="171" t="str">
        <f>Données!B35</f>
        <v>Avenches</v>
      </c>
      <c r="C35" s="353">
        <f>VPI!R35</f>
        <v>128992.08671525712</v>
      </c>
      <c r="D35" s="524">
        <f>Effort!I35</f>
        <v>0.38345314153963983</v>
      </c>
      <c r="E35" s="209">
        <f>PCS!F41/Aide!C35</f>
        <v>3.6633251467828853</v>
      </c>
      <c r="F35" s="522">
        <f>Effort!G35</f>
        <v>-10.652114518788824</v>
      </c>
      <c r="G35" s="381">
        <f t="shared" si="1"/>
        <v>14.698892807111349</v>
      </c>
      <c r="H35" s="226">
        <f t="shared" si="2"/>
        <v>0</v>
      </c>
      <c r="I35" s="42">
        <f t="shared" si="0"/>
        <v>0</v>
      </c>
      <c r="J35" s="29"/>
    </row>
    <row r="36" spans="1:10" x14ac:dyDescent="0.25">
      <c r="A36" s="38">
        <f>Données!A36</f>
        <v>5456</v>
      </c>
      <c r="B36" s="171" t="str">
        <f>Données!B36</f>
        <v>Cudrefin</v>
      </c>
      <c r="C36" s="353">
        <f>VPI!R36</f>
        <v>64212.312252410848</v>
      </c>
      <c r="D36" s="524">
        <f>Effort!I36</f>
        <v>20.07388994364528</v>
      </c>
      <c r="E36" s="209">
        <f>PCS!F42/Aide!C36</f>
        <v>2.8438495452738337</v>
      </c>
      <c r="F36" s="522">
        <f>Effort!G36</f>
        <v>-3.6409781595547055</v>
      </c>
      <c r="G36" s="381">
        <f t="shared" si="1"/>
        <v>26.55871764847382</v>
      </c>
      <c r="H36" s="226">
        <f t="shared" si="2"/>
        <v>0</v>
      </c>
      <c r="I36" s="42">
        <f t="shared" si="0"/>
        <v>0</v>
      </c>
      <c r="J36" s="29"/>
    </row>
    <row r="37" spans="1:10" x14ac:dyDescent="0.25">
      <c r="A37" s="38">
        <f>Données!A37</f>
        <v>5458</v>
      </c>
      <c r="B37" s="171" t="str">
        <f>Données!B37</f>
        <v>Faoug</v>
      </c>
      <c r="C37" s="353">
        <f>VPI!R37</f>
        <v>32193.574318729454</v>
      </c>
      <c r="D37" s="524">
        <f>Effort!I37</f>
        <v>22.494096581027488</v>
      </c>
      <c r="E37" s="209">
        <f>PCS!F43/Aide!C37</f>
        <v>2.5654433143184923</v>
      </c>
      <c r="F37" s="522">
        <f>Effort!G37</f>
        <v>-3.2824035952461998</v>
      </c>
      <c r="G37" s="381">
        <f t="shared" si="1"/>
        <v>28.341943490592183</v>
      </c>
      <c r="H37" s="226">
        <f t="shared" si="2"/>
        <v>0</v>
      </c>
      <c r="I37" s="42">
        <f t="shared" si="0"/>
        <v>0</v>
      </c>
      <c r="J37" s="29"/>
    </row>
    <row r="38" spans="1:10" x14ac:dyDescent="0.25">
      <c r="A38" s="38">
        <f>Données!A38</f>
        <v>5464</v>
      </c>
      <c r="B38" s="171" t="str">
        <f>Données!B38</f>
        <v>Vully-les-Lacs</v>
      </c>
      <c r="C38" s="353">
        <f>VPI!R38</f>
        <v>111582.51347109246</v>
      </c>
      <c r="D38" s="524">
        <f>Effort!I38</f>
        <v>14.669905556744563</v>
      </c>
      <c r="E38" s="209">
        <f>PCS!F44/Aide!C38</f>
        <v>2.0829049532049813</v>
      </c>
      <c r="F38" s="522">
        <f>Effort!G38</f>
        <v>-3.1507281762793862</v>
      </c>
      <c r="G38" s="381">
        <f t="shared" si="1"/>
        <v>19.903538686228931</v>
      </c>
      <c r="H38" s="226">
        <f t="shared" si="2"/>
        <v>0</v>
      </c>
      <c r="I38" s="42">
        <f t="shared" si="0"/>
        <v>0</v>
      </c>
      <c r="J38" s="29"/>
    </row>
    <row r="39" spans="1:10" x14ac:dyDescent="0.25">
      <c r="A39" s="38">
        <f>Données!A39</f>
        <v>5471</v>
      </c>
      <c r="B39" s="171" t="str">
        <f>Données!B39</f>
        <v>Bettens</v>
      </c>
      <c r="C39" s="353">
        <f>VPI!R39</f>
        <v>20380.173113086941</v>
      </c>
      <c r="D39" s="524">
        <f>Effort!I39</f>
        <v>20.170342734186328</v>
      </c>
      <c r="E39" s="209">
        <f>PCS!F45/Aide!C39</f>
        <v>1.7314990311510148</v>
      </c>
      <c r="F39" s="522">
        <f>Effort!G39</f>
        <v>-1.0845693605656694</v>
      </c>
      <c r="G39" s="381">
        <f t="shared" si="1"/>
        <v>22.986411125903011</v>
      </c>
      <c r="H39" s="226">
        <f t="shared" si="2"/>
        <v>0</v>
      </c>
      <c r="I39" s="42">
        <f t="shared" si="0"/>
        <v>0</v>
      </c>
      <c r="J39" s="29"/>
    </row>
    <row r="40" spans="1:10" x14ac:dyDescent="0.25">
      <c r="A40" s="38">
        <f>Données!A40</f>
        <v>5472</v>
      </c>
      <c r="B40" s="171" t="str">
        <f>Données!B40</f>
        <v>Bournens</v>
      </c>
      <c r="C40" s="353">
        <f>VPI!R40</f>
        <v>20138.784507874909</v>
      </c>
      <c r="D40" s="524">
        <f>Effort!I40</f>
        <v>27.405912721586766</v>
      </c>
      <c r="E40" s="209">
        <f>PCS!F46/Aide!C40</f>
        <v>4.3289144370113402</v>
      </c>
      <c r="F40" s="522">
        <f>Effort!G40</f>
        <v>-0.77731412305308401</v>
      </c>
      <c r="G40" s="381">
        <f t="shared" si="1"/>
        <v>32.512141281651189</v>
      </c>
      <c r="H40" s="226">
        <f t="shared" si="2"/>
        <v>0</v>
      </c>
      <c r="I40" s="42">
        <f t="shared" si="0"/>
        <v>0</v>
      </c>
      <c r="J40" s="29"/>
    </row>
    <row r="41" spans="1:10" x14ac:dyDescent="0.25">
      <c r="A41" s="38">
        <f>Données!A41</f>
        <v>5473</v>
      </c>
      <c r="B41" s="171" t="str">
        <f>Données!B41</f>
        <v>Boussens</v>
      </c>
      <c r="C41" s="353">
        <f>VPI!R41</f>
        <v>37766.597979852122</v>
      </c>
      <c r="D41" s="524">
        <f>Effort!I41</f>
        <v>26.447062094538492</v>
      </c>
      <c r="E41" s="209">
        <f>PCS!F47/Aide!C41</f>
        <v>1.2848704303704404</v>
      </c>
      <c r="F41" s="522">
        <f>Effort!G41</f>
        <v>0</v>
      </c>
      <c r="G41" s="381">
        <f t="shared" si="1"/>
        <v>27.731932524908931</v>
      </c>
      <c r="H41" s="226">
        <f t="shared" si="2"/>
        <v>0</v>
      </c>
      <c r="I41" s="42">
        <f t="shared" si="0"/>
        <v>0</v>
      </c>
      <c r="J41" s="29"/>
    </row>
    <row r="42" spans="1:10" x14ac:dyDescent="0.25">
      <c r="A42" s="38">
        <f>Données!A42</f>
        <v>5474</v>
      </c>
      <c r="B42" s="171" t="str">
        <f>Données!B42</f>
        <v>La Chaux (Cossonay)</v>
      </c>
      <c r="C42" s="353">
        <f>VPI!R42</f>
        <v>13181.653644203574</v>
      </c>
      <c r="D42" s="524">
        <f>Effort!I42</f>
        <v>4.440854142613194</v>
      </c>
      <c r="E42" s="209">
        <f>PCS!F48/Aide!C42</f>
        <v>4.1174811192119796</v>
      </c>
      <c r="F42" s="522">
        <f>Effort!G42</f>
        <v>-16.882144239363676</v>
      </c>
      <c r="G42" s="381">
        <f t="shared" si="1"/>
        <v>25.44047950118885</v>
      </c>
      <c r="H42" s="226">
        <f t="shared" si="2"/>
        <v>0</v>
      </c>
      <c r="I42" s="42">
        <f t="shared" si="0"/>
        <v>0</v>
      </c>
      <c r="J42" s="29"/>
    </row>
    <row r="43" spans="1:10" x14ac:dyDescent="0.25">
      <c r="A43" s="38">
        <f>Données!A43</f>
        <v>5475</v>
      </c>
      <c r="B43" s="171" t="str">
        <f>Données!B43</f>
        <v>Chavannes-le-Veyron</v>
      </c>
      <c r="C43" s="353">
        <f>VPI!R43</f>
        <v>3874.542905998469</v>
      </c>
      <c r="D43" s="524">
        <f>Effort!I43</f>
        <v>1.6022813891647374</v>
      </c>
      <c r="E43" s="209">
        <f>PCS!F49/Aide!C43</f>
        <v>3.0362033110505573</v>
      </c>
      <c r="F43" s="522">
        <f>Effort!G43</f>
        <v>-8.0680705164251147</v>
      </c>
      <c r="G43" s="381">
        <f t="shared" si="1"/>
        <v>12.70655521664041</v>
      </c>
      <c r="H43" s="226">
        <f t="shared" si="2"/>
        <v>0</v>
      </c>
      <c r="I43" s="42">
        <f t="shared" si="0"/>
        <v>0</v>
      </c>
      <c r="J43" s="29"/>
    </row>
    <row r="44" spans="1:10" x14ac:dyDescent="0.25">
      <c r="A44" s="38">
        <f>Données!A44</f>
        <v>5476</v>
      </c>
      <c r="B44" s="171" t="str">
        <f>Données!B44</f>
        <v>Chevilly</v>
      </c>
      <c r="C44" s="353">
        <f>VPI!R44</f>
        <v>11841.851486486486</v>
      </c>
      <c r="D44" s="524">
        <f>Effort!I44</f>
        <v>24.905101347941347</v>
      </c>
      <c r="E44" s="209">
        <f>PCS!F50/Aide!C44</f>
        <v>0.55865841651108683</v>
      </c>
      <c r="F44" s="522">
        <f>Effort!G44</f>
        <v>-0.36836396657338816</v>
      </c>
      <c r="G44" s="381">
        <f t="shared" si="1"/>
        <v>25.83212373102582</v>
      </c>
      <c r="H44" s="226">
        <f t="shared" si="2"/>
        <v>0</v>
      </c>
      <c r="I44" s="42">
        <f t="shared" si="0"/>
        <v>0</v>
      </c>
      <c r="J44" s="29"/>
    </row>
    <row r="45" spans="1:10" x14ac:dyDescent="0.25">
      <c r="A45" s="38">
        <f>Données!A45</f>
        <v>5477</v>
      </c>
      <c r="B45" s="171" t="str">
        <f>Données!B45</f>
        <v>Cossonay</v>
      </c>
      <c r="C45" s="353">
        <f>VPI!R45</f>
        <v>119044.37813513582</v>
      </c>
      <c r="D45" s="524">
        <f>Effort!I45</f>
        <v>2.304470058013333</v>
      </c>
      <c r="E45" s="209">
        <f>PCS!F51/Aide!C45</f>
        <v>6.1466144933729847</v>
      </c>
      <c r="F45" s="522">
        <f>Effort!G45</f>
        <v>-7.1816787536046691</v>
      </c>
      <c r="G45" s="381">
        <f t="shared" si="1"/>
        <v>15.632763304990988</v>
      </c>
      <c r="H45" s="226">
        <f t="shared" si="2"/>
        <v>0</v>
      </c>
      <c r="I45" s="42">
        <f t="shared" si="0"/>
        <v>0</v>
      </c>
      <c r="J45" s="29"/>
    </row>
    <row r="46" spans="1:10" x14ac:dyDescent="0.25">
      <c r="A46" s="38">
        <f>Données!A46</f>
        <v>5479</v>
      </c>
      <c r="B46" s="171" t="str">
        <f>Données!B46</f>
        <v>Cuarnens</v>
      </c>
      <c r="C46" s="353">
        <f>VPI!R46</f>
        <v>18064.580944641726</v>
      </c>
      <c r="D46" s="524">
        <f>Effort!I46</f>
        <v>16.924246580074211</v>
      </c>
      <c r="E46" s="209">
        <f>PCS!F52/Aide!C46</f>
        <v>4.6335663836601713</v>
      </c>
      <c r="F46" s="522">
        <f>Effort!G46</f>
        <v>-4.9946953599513915</v>
      </c>
      <c r="G46" s="381">
        <f t="shared" si="1"/>
        <v>26.552508323685771</v>
      </c>
      <c r="H46" s="226">
        <f t="shared" si="2"/>
        <v>0</v>
      </c>
      <c r="I46" s="42">
        <f t="shared" si="0"/>
        <v>0</v>
      </c>
      <c r="J46" s="29"/>
    </row>
    <row r="47" spans="1:10" x14ac:dyDescent="0.25">
      <c r="A47" s="38">
        <f>Données!A47</f>
        <v>5480</v>
      </c>
      <c r="B47" s="171" t="str">
        <f>Données!B47</f>
        <v>Daillens</v>
      </c>
      <c r="C47" s="353">
        <f>VPI!R47</f>
        <v>40967.735913324992</v>
      </c>
      <c r="D47" s="524">
        <f>Effort!I47</f>
        <v>16.569789128145704</v>
      </c>
      <c r="E47" s="209">
        <f>PCS!F53/Aide!C47</f>
        <v>4.06423863286631</v>
      </c>
      <c r="F47" s="522">
        <f>Effort!G47</f>
        <v>-10.600722125305332</v>
      </c>
      <c r="G47" s="381">
        <f t="shared" si="1"/>
        <v>31.234749886317346</v>
      </c>
      <c r="H47" s="226">
        <f t="shared" si="2"/>
        <v>0</v>
      </c>
      <c r="I47" s="42">
        <f t="shared" si="0"/>
        <v>0</v>
      </c>
      <c r="J47" s="29"/>
    </row>
    <row r="48" spans="1:10" x14ac:dyDescent="0.25">
      <c r="A48" s="38">
        <f>Données!A48</f>
        <v>5481</v>
      </c>
      <c r="B48" s="171" t="str">
        <f>Données!B48</f>
        <v>Dizy</v>
      </c>
      <c r="C48" s="353">
        <f>VPI!R48</f>
        <v>8106.5312898245948</v>
      </c>
      <c r="D48" s="524">
        <f>Effort!I48</f>
        <v>20.559005808094259</v>
      </c>
      <c r="E48" s="209">
        <f>PCS!F54/Aide!C48</f>
        <v>0.47329429355511909</v>
      </c>
      <c r="F48" s="522">
        <f>Effort!G48</f>
        <v>-3.5718189723633258</v>
      </c>
      <c r="G48" s="381">
        <f t="shared" si="1"/>
        <v>24.604119074012704</v>
      </c>
      <c r="H48" s="226">
        <f t="shared" si="2"/>
        <v>0</v>
      </c>
      <c r="I48" s="42">
        <f t="shared" si="0"/>
        <v>0</v>
      </c>
      <c r="J48" s="29"/>
    </row>
    <row r="49" spans="1:10" x14ac:dyDescent="0.25">
      <c r="A49" s="38">
        <f>Données!A49</f>
        <v>5482</v>
      </c>
      <c r="B49" s="171" t="str">
        <f>Données!B49</f>
        <v>Eclépens</v>
      </c>
      <c r="C49" s="353">
        <f>VPI!R49</f>
        <v>70435.439965635131</v>
      </c>
      <c r="D49" s="524">
        <f>Effort!I49</f>
        <v>32.939709131488542</v>
      </c>
      <c r="E49" s="209">
        <f>PCS!F55/Aide!C49</f>
        <v>2.1888260380742808</v>
      </c>
      <c r="F49" s="522">
        <f>Effort!G49</f>
        <v>0</v>
      </c>
      <c r="G49" s="381">
        <f t="shared" si="1"/>
        <v>35.128535169562824</v>
      </c>
      <c r="H49" s="226">
        <f t="shared" si="2"/>
        <v>0</v>
      </c>
      <c r="I49" s="42">
        <f t="shared" si="0"/>
        <v>0</v>
      </c>
      <c r="J49" s="29"/>
    </row>
    <row r="50" spans="1:10" x14ac:dyDescent="0.25">
      <c r="A50" s="38">
        <f>Données!A50</f>
        <v>5483</v>
      </c>
      <c r="B50" s="171" t="str">
        <f>Données!B50</f>
        <v>Ferreyres</v>
      </c>
      <c r="C50" s="353">
        <f>VPI!R50</f>
        <v>10817.678140952161</v>
      </c>
      <c r="D50" s="524">
        <f>Effort!I50</f>
        <v>21.755547321963512</v>
      </c>
      <c r="E50" s="209">
        <f>PCS!F56/Aide!C50</f>
        <v>0.8872837474858688</v>
      </c>
      <c r="F50" s="522">
        <f>Effort!G50</f>
        <v>0</v>
      </c>
      <c r="G50" s="381">
        <f t="shared" si="1"/>
        <v>22.642831069449379</v>
      </c>
      <c r="H50" s="226">
        <f t="shared" si="2"/>
        <v>0</v>
      </c>
      <c r="I50" s="42">
        <f t="shared" si="0"/>
        <v>0</v>
      </c>
      <c r="J50" s="29"/>
    </row>
    <row r="51" spans="1:10" x14ac:dyDescent="0.25">
      <c r="A51" s="38">
        <f>Données!A51</f>
        <v>5484</v>
      </c>
      <c r="B51" s="171" t="str">
        <f>Données!B51</f>
        <v>Gollion</v>
      </c>
      <c r="C51" s="353">
        <f>VPI!R51</f>
        <v>34968.588815884439</v>
      </c>
      <c r="D51" s="524">
        <f>Effort!I51</f>
        <v>17.100706633796435</v>
      </c>
      <c r="E51" s="209">
        <f>PCS!F57/Aide!C51</f>
        <v>3.2138321506686047</v>
      </c>
      <c r="F51" s="522">
        <f>Effort!G51</f>
        <v>-6.2294271192845239</v>
      </c>
      <c r="G51" s="381">
        <f t="shared" si="1"/>
        <v>26.543965903749562</v>
      </c>
      <c r="H51" s="226">
        <f t="shared" si="2"/>
        <v>0</v>
      </c>
      <c r="I51" s="42">
        <f t="shared" si="0"/>
        <v>0</v>
      </c>
      <c r="J51" s="29"/>
    </row>
    <row r="52" spans="1:10" x14ac:dyDescent="0.25">
      <c r="A52" s="38">
        <f>Données!A52</f>
        <v>5485</v>
      </c>
      <c r="B52" s="171" t="str">
        <f>Données!B52</f>
        <v>Grancy</v>
      </c>
      <c r="C52" s="353">
        <f>VPI!R52</f>
        <v>14538.346948228997</v>
      </c>
      <c r="D52" s="524">
        <f>Effort!I52</f>
        <v>21.754919910809171</v>
      </c>
      <c r="E52" s="209">
        <f>PCS!F58/Aide!C52</f>
        <v>5.593264164734058</v>
      </c>
      <c r="F52" s="522">
        <f>Effort!G52</f>
        <v>-2.8726036218678677</v>
      </c>
      <c r="G52" s="381">
        <f t="shared" si="1"/>
        <v>30.220787697411097</v>
      </c>
      <c r="H52" s="226">
        <f t="shared" si="2"/>
        <v>0</v>
      </c>
      <c r="I52" s="42">
        <f t="shared" si="0"/>
        <v>0</v>
      </c>
      <c r="J52" s="29"/>
    </row>
    <row r="53" spans="1:10" x14ac:dyDescent="0.25">
      <c r="A53" s="38">
        <f>Données!A53</f>
        <v>5486</v>
      </c>
      <c r="B53" s="171" t="str">
        <f>Données!B53</f>
        <v>L'Isle</v>
      </c>
      <c r="C53" s="353">
        <f>VPI!R53</f>
        <v>37453.794062170404</v>
      </c>
      <c r="D53" s="524">
        <f>Effort!I53</f>
        <v>15.576923100770351</v>
      </c>
      <c r="E53" s="209">
        <f>PCS!F59/Aide!C53</f>
        <v>1.9286186302006412</v>
      </c>
      <c r="F53" s="522">
        <f>Effort!G53</f>
        <v>-7.2336500710884142</v>
      </c>
      <c r="G53" s="381">
        <f t="shared" si="1"/>
        <v>24.739191802059409</v>
      </c>
      <c r="H53" s="226">
        <f t="shared" si="2"/>
        <v>0</v>
      </c>
      <c r="I53" s="42">
        <f t="shared" si="0"/>
        <v>0</v>
      </c>
      <c r="J53" s="29"/>
    </row>
    <row r="54" spans="1:10" x14ac:dyDescent="0.25">
      <c r="A54" s="38">
        <f>Données!A54</f>
        <v>5487</v>
      </c>
      <c r="B54" s="171" t="str">
        <f>Données!B54</f>
        <v>Lussery-Villars</v>
      </c>
      <c r="C54" s="353">
        <f>VPI!R54</f>
        <v>12890.529066666668</v>
      </c>
      <c r="D54" s="524">
        <f>Effort!I54</f>
        <v>12.254576771725521</v>
      </c>
      <c r="E54" s="209">
        <f>PCS!F60/Aide!C54</f>
        <v>1.2036395030613067</v>
      </c>
      <c r="F54" s="522">
        <f>Effort!G54</f>
        <v>-2.6103913521294513</v>
      </c>
      <c r="G54" s="381">
        <f t="shared" si="1"/>
        <v>16.068607626916279</v>
      </c>
      <c r="H54" s="226">
        <f t="shared" si="2"/>
        <v>0</v>
      </c>
      <c r="I54" s="42">
        <f t="shared" si="0"/>
        <v>0</v>
      </c>
      <c r="J54" s="29"/>
    </row>
    <row r="55" spans="1:10" x14ac:dyDescent="0.25">
      <c r="A55" s="38">
        <f>Données!A55</f>
        <v>5488</v>
      </c>
      <c r="B55" s="171" t="str">
        <f>Données!B55</f>
        <v>Mauraz</v>
      </c>
      <c r="C55" s="353">
        <f>VPI!R55</f>
        <v>1631.9031355919719</v>
      </c>
      <c r="D55" s="524">
        <f>Effort!I55</f>
        <v>14.163234934138559</v>
      </c>
      <c r="E55" s="209">
        <f>PCS!F61/Aide!C55</f>
        <v>0</v>
      </c>
      <c r="F55" s="522">
        <f>Effort!G55</f>
        <v>0</v>
      </c>
      <c r="G55" s="381">
        <f t="shared" si="1"/>
        <v>14.163234934138559</v>
      </c>
      <c r="H55" s="226">
        <f t="shared" si="2"/>
        <v>0</v>
      </c>
      <c r="I55" s="42">
        <f t="shared" si="0"/>
        <v>0</v>
      </c>
      <c r="J55" s="29"/>
    </row>
    <row r="56" spans="1:10" x14ac:dyDescent="0.25">
      <c r="A56" s="38">
        <f>Données!A56</f>
        <v>5489</v>
      </c>
      <c r="B56" s="171" t="str">
        <f>Données!B56</f>
        <v>Mex</v>
      </c>
      <c r="C56" s="353">
        <f>VPI!R56</f>
        <v>57470.761557418853</v>
      </c>
      <c r="D56" s="524">
        <f>Effort!I56</f>
        <v>38.025081074910872</v>
      </c>
      <c r="E56" s="209">
        <f>PCS!F62/Aide!C56</f>
        <v>5.3318065864475059</v>
      </c>
      <c r="F56" s="522">
        <f>Effort!G56</f>
        <v>-5.3547730159469197E-2</v>
      </c>
      <c r="G56" s="381">
        <f t="shared" si="1"/>
        <v>43.410435391517851</v>
      </c>
      <c r="H56" s="226">
        <f t="shared" si="2"/>
        <v>0</v>
      </c>
      <c r="I56" s="42">
        <f t="shared" si="0"/>
        <v>0</v>
      </c>
      <c r="J56" s="29"/>
    </row>
    <row r="57" spans="1:10" x14ac:dyDescent="0.25">
      <c r="A57" s="38">
        <f>Données!A57</f>
        <v>5490</v>
      </c>
      <c r="B57" s="171" t="str">
        <f>Données!B57</f>
        <v>Moiry</v>
      </c>
      <c r="C57" s="353">
        <f>VPI!R57</f>
        <v>8655.6964066779783</v>
      </c>
      <c r="D57" s="524">
        <f>Effort!I57</f>
        <v>10.815733360351867</v>
      </c>
      <c r="E57" s="209">
        <f>PCS!F63/Aide!C57</f>
        <v>2.2905349342779462</v>
      </c>
      <c r="F57" s="522">
        <f>Effort!G57</f>
        <v>-2.6706194942440207</v>
      </c>
      <c r="G57" s="381">
        <f t="shared" si="1"/>
        <v>15.776887788873834</v>
      </c>
      <c r="H57" s="226">
        <f t="shared" si="2"/>
        <v>0</v>
      </c>
      <c r="I57" s="42">
        <f t="shared" si="0"/>
        <v>0</v>
      </c>
      <c r="J57" s="29"/>
    </row>
    <row r="58" spans="1:10" x14ac:dyDescent="0.25">
      <c r="A58" s="38">
        <f>Données!A58</f>
        <v>5491</v>
      </c>
      <c r="B58" s="171" t="str">
        <f>Données!B58</f>
        <v>Mont-la-Ville</v>
      </c>
      <c r="C58" s="353">
        <f>VPI!R58</f>
        <v>14318.599966826661</v>
      </c>
      <c r="D58" s="524">
        <f>Effort!I58</f>
        <v>10.643019927075379</v>
      </c>
      <c r="E58" s="209">
        <f>PCS!F64/Aide!C58</f>
        <v>3.2875731642101726</v>
      </c>
      <c r="F58" s="522">
        <f>Effort!G58</f>
        <v>-5.4825646628102609</v>
      </c>
      <c r="G58" s="381">
        <f t="shared" si="1"/>
        <v>19.413157754095813</v>
      </c>
      <c r="H58" s="226">
        <f t="shared" si="2"/>
        <v>0</v>
      </c>
      <c r="I58" s="42">
        <f t="shared" si="0"/>
        <v>0</v>
      </c>
      <c r="J58" s="29"/>
    </row>
    <row r="59" spans="1:10" x14ac:dyDescent="0.25">
      <c r="A59" s="38">
        <f>Données!A59</f>
        <v>5492</v>
      </c>
      <c r="B59" s="171" t="str">
        <f>Données!B59</f>
        <v>Montricher</v>
      </c>
      <c r="C59" s="353">
        <f>VPI!R59</f>
        <v>157142.15514628743</v>
      </c>
      <c r="D59" s="524">
        <f>Effort!I59</f>
        <v>52.491576506897893</v>
      </c>
      <c r="E59" s="209">
        <f>PCS!F65/Aide!C59</f>
        <v>1.0309127735278316</v>
      </c>
      <c r="F59" s="522">
        <f>Effort!G59</f>
        <v>-1.3205710679422813</v>
      </c>
      <c r="G59" s="381">
        <f t="shared" si="1"/>
        <v>54.843060348368006</v>
      </c>
      <c r="H59" s="226">
        <f t="shared" si="2"/>
        <v>0</v>
      </c>
      <c r="I59" s="42">
        <f t="shared" si="0"/>
        <v>0</v>
      </c>
      <c r="J59" s="29"/>
    </row>
    <row r="60" spans="1:10" x14ac:dyDescent="0.25">
      <c r="A60" s="38">
        <f>Données!A60</f>
        <v>5493</v>
      </c>
      <c r="B60" s="171" t="str">
        <f>Données!B60</f>
        <v>Orny</v>
      </c>
      <c r="C60" s="353">
        <f>VPI!R60</f>
        <v>12876.853954456508</v>
      </c>
      <c r="D60" s="524">
        <f>Effort!I60</f>
        <v>15.32693708489896</v>
      </c>
      <c r="E60" s="209">
        <f>PCS!F66/Aide!C60</f>
        <v>6.4656879929266893</v>
      </c>
      <c r="F60" s="522">
        <f>Effort!G60</f>
        <v>0</v>
      </c>
      <c r="G60" s="381">
        <f t="shared" si="1"/>
        <v>21.792625077825647</v>
      </c>
      <c r="H60" s="226">
        <f t="shared" si="2"/>
        <v>0</v>
      </c>
      <c r="I60" s="42">
        <f t="shared" si="0"/>
        <v>0</v>
      </c>
      <c r="J60" s="29"/>
    </row>
    <row r="61" spans="1:10" x14ac:dyDescent="0.25">
      <c r="A61" s="38">
        <f>Données!A61</f>
        <v>5495</v>
      </c>
      <c r="B61" s="171" t="str">
        <f>Données!B61</f>
        <v>Penthalaz</v>
      </c>
      <c r="C61" s="353">
        <f>VPI!R61</f>
        <v>93343.047382121076</v>
      </c>
      <c r="D61" s="524">
        <f>Effort!I61</f>
        <v>4.5104440463291215</v>
      </c>
      <c r="E61" s="209">
        <f>PCS!F67/Aide!C61</f>
        <v>3.0911248678095546</v>
      </c>
      <c r="F61" s="522">
        <f>Effort!G61</f>
        <v>-6.5492742400476587</v>
      </c>
      <c r="G61" s="381">
        <f t="shared" si="1"/>
        <v>14.150843154186335</v>
      </c>
      <c r="H61" s="226">
        <f t="shared" si="2"/>
        <v>0</v>
      </c>
      <c r="I61" s="42">
        <f t="shared" si="0"/>
        <v>0</v>
      </c>
      <c r="J61" s="29"/>
    </row>
    <row r="62" spans="1:10" x14ac:dyDescent="0.25">
      <c r="A62" s="38">
        <f>Données!A62</f>
        <v>5496</v>
      </c>
      <c r="B62" s="171" t="str">
        <f>Données!B62</f>
        <v>Penthaz</v>
      </c>
      <c r="C62" s="353">
        <f>VPI!R62</f>
        <v>60111.570435586618</v>
      </c>
      <c r="D62" s="524">
        <f>Effort!I62</f>
        <v>15.111145115294688</v>
      </c>
      <c r="E62" s="209">
        <f>PCS!F68/Aide!C62</f>
        <v>2.995540104761576</v>
      </c>
      <c r="F62" s="522">
        <f>Effort!G62</f>
        <v>-3.4448871637512304</v>
      </c>
      <c r="G62" s="381">
        <f t="shared" si="1"/>
        <v>21.551572383807493</v>
      </c>
      <c r="H62" s="226">
        <f t="shared" si="2"/>
        <v>0</v>
      </c>
      <c r="I62" s="42">
        <f t="shared" si="0"/>
        <v>0</v>
      </c>
      <c r="J62" s="29"/>
    </row>
    <row r="63" spans="1:10" x14ac:dyDescent="0.25">
      <c r="A63" s="38">
        <f>Données!A63</f>
        <v>5497</v>
      </c>
      <c r="B63" s="171" t="str">
        <f>Données!B63</f>
        <v>Pompaples</v>
      </c>
      <c r="C63" s="353">
        <f>VPI!R63</f>
        <v>20415.356363636369</v>
      </c>
      <c r="D63" s="524">
        <f>Effort!I63</f>
        <v>7.7408531081352656</v>
      </c>
      <c r="E63" s="209">
        <f>PCS!F69/Aide!C63</f>
        <v>3.9331620555506959</v>
      </c>
      <c r="F63" s="522">
        <f>Effort!G63</f>
        <v>-4.9345629840496157</v>
      </c>
      <c r="G63" s="381">
        <f t="shared" si="1"/>
        <v>16.608578147735578</v>
      </c>
      <c r="H63" s="226">
        <f t="shared" si="2"/>
        <v>0</v>
      </c>
      <c r="I63" s="42">
        <f t="shared" si="0"/>
        <v>0</v>
      </c>
      <c r="J63" s="29"/>
    </row>
    <row r="64" spans="1:10" x14ac:dyDescent="0.25">
      <c r="A64" s="38">
        <f>Données!A64</f>
        <v>5498</v>
      </c>
      <c r="B64" s="171" t="str">
        <f>Données!B64</f>
        <v>La Sarraz</v>
      </c>
      <c r="C64" s="353">
        <f>VPI!R64</f>
        <v>77489.743908484481</v>
      </c>
      <c r="D64" s="524">
        <f>Effort!I64</f>
        <v>9.9582451293343723</v>
      </c>
      <c r="E64" s="209">
        <f>PCS!F70/Aide!C64</f>
        <v>2.201128838436186</v>
      </c>
      <c r="F64" s="522">
        <f>Effort!G64</f>
        <v>-5.5000089696054388</v>
      </c>
      <c r="G64" s="381">
        <f t="shared" si="1"/>
        <v>17.659382937375998</v>
      </c>
      <c r="H64" s="226">
        <f t="shared" si="2"/>
        <v>0</v>
      </c>
      <c r="I64" s="42">
        <f t="shared" si="0"/>
        <v>0</v>
      </c>
      <c r="J64" s="29"/>
    </row>
    <row r="65" spans="1:10" x14ac:dyDescent="0.25">
      <c r="A65" s="38">
        <f>Données!A65</f>
        <v>5499</v>
      </c>
      <c r="B65" s="171" t="str">
        <f>Données!B65</f>
        <v>Senarclens</v>
      </c>
      <c r="C65" s="353">
        <f>VPI!R65</f>
        <v>19645.120071728084</v>
      </c>
      <c r="D65" s="524">
        <f>Effort!I65</f>
        <v>16.438208115452014</v>
      </c>
      <c r="E65" s="209">
        <f>PCS!F71/Aide!C65</f>
        <v>6.3877545437146024</v>
      </c>
      <c r="F65" s="522">
        <f>Effort!G65</f>
        <v>-11.080119580581627</v>
      </c>
      <c r="G65" s="381">
        <f t="shared" si="1"/>
        <v>33.906082239748244</v>
      </c>
      <c r="H65" s="226">
        <f t="shared" si="2"/>
        <v>0</v>
      </c>
      <c r="I65" s="42">
        <f t="shared" si="0"/>
        <v>0</v>
      </c>
      <c r="J65" s="29"/>
    </row>
    <row r="66" spans="1:10" x14ac:dyDescent="0.25">
      <c r="A66" s="38">
        <f>Données!A66</f>
        <v>5501</v>
      </c>
      <c r="B66" s="171" t="str">
        <f>Données!B66</f>
        <v>Sullens</v>
      </c>
      <c r="C66" s="353">
        <f>VPI!R66</f>
        <v>41909.752277748921</v>
      </c>
      <c r="D66" s="524">
        <f>Effort!I66</f>
        <v>27.323128826233383</v>
      </c>
      <c r="E66" s="209">
        <f>PCS!F72/Aide!C66</f>
        <v>6.2755428201287078</v>
      </c>
      <c r="F66" s="522">
        <f>Effort!G66</f>
        <v>-0.38155611179035331</v>
      </c>
      <c r="G66" s="381">
        <f t="shared" si="1"/>
        <v>33.980227758152445</v>
      </c>
      <c r="H66" s="226">
        <f t="shared" si="2"/>
        <v>0</v>
      </c>
      <c r="I66" s="42">
        <f t="shared" si="0"/>
        <v>0</v>
      </c>
      <c r="J66" s="29"/>
    </row>
    <row r="67" spans="1:10" x14ac:dyDescent="0.25">
      <c r="A67" s="38">
        <f>Données!A67</f>
        <v>5503</v>
      </c>
      <c r="B67" s="171" t="str">
        <f>Données!B67</f>
        <v>Vufflens-la-Ville</v>
      </c>
      <c r="C67" s="353">
        <f>VPI!R67</f>
        <v>67522.299953701979</v>
      </c>
      <c r="D67" s="524">
        <f>Effort!I67</f>
        <v>31.164978247401031</v>
      </c>
      <c r="E67" s="209">
        <f>PCS!F73/Aide!C67</f>
        <v>2.1740707899561356</v>
      </c>
      <c r="F67" s="522">
        <f>Effort!G67</f>
        <v>0</v>
      </c>
      <c r="G67" s="381">
        <f t="shared" si="1"/>
        <v>33.339049037357164</v>
      </c>
      <c r="H67" s="226">
        <f t="shared" si="2"/>
        <v>0</v>
      </c>
      <c r="I67" s="42">
        <f t="shared" si="0"/>
        <v>0</v>
      </c>
      <c r="J67" s="29"/>
    </row>
    <row r="68" spans="1:10" x14ac:dyDescent="0.25">
      <c r="A68" s="38">
        <f>Données!A68</f>
        <v>5511</v>
      </c>
      <c r="B68" s="171" t="str">
        <f>Données!B68</f>
        <v>Assens</v>
      </c>
      <c r="C68" s="353">
        <f>VPI!R68</f>
        <v>66087.783372412887</v>
      </c>
      <c r="D68" s="524">
        <f>Effort!I68</f>
        <v>22.864735121788438</v>
      </c>
      <c r="E68" s="209">
        <f>PCS!F74/Aide!C68</f>
        <v>2.9032667644303642</v>
      </c>
      <c r="F68" s="522">
        <f>Effort!G68</f>
        <v>-2.3672574836399867</v>
      </c>
      <c r="G68" s="381">
        <f t="shared" si="1"/>
        <v>28.135259369858787</v>
      </c>
      <c r="H68" s="226">
        <f t="shared" si="2"/>
        <v>0</v>
      </c>
      <c r="I68" s="42">
        <f t="shared" si="0"/>
        <v>0</v>
      </c>
      <c r="J68" s="29"/>
    </row>
    <row r="69" spans="1:10" x14ac:dyDescent="0.25">
      <c r="A69" s="38">
        <f>Données!A69</f>
        <v>5512</v>
      </c>
      <c r="B69" s="171" t="str">
        <f>Données!B69</f>
        <v>Bercher</v>
      </c>
      <c r="C69" s="353">
        <f>VPI!R69</f>
        <v>40303.726605085889</v>
      </c>
      <c r="D69" s="524">
        <f>Effort!I69</f>
        <v>9.1935608758164236</v>
      </c>
      <c r="E69" s="209">
        <f>PCS!F75/Aide!C69</f>
        <v>2.0887432029517807</v>
      </c>
      <c r="F69" s="522">
        <f>Effort!G69</f>
        <v>-5.8454109647007462</v>
      </c>
      <c r="G69" s="381">
        <f t="shared" si="1"/>
        <v>17.12771504346895</v>
      </c>
      <c r="H69" s="226">
        <f t="shared" si="2"/>
        <v>0</v>
      </c>
      <c r="I69" s="42">
        <f t="shared" si="0"/>
        <v>0</v>
      </c>
      <c r="J69" s="29"/>
    </row>
    <row r="70" spans="1:10" x14ac:dyDescent="0.25">
      <c r="A70" s="38">
        <f>Données!A70</f>
        <v>5514</v>
      </c>
      <c r="B70" s="171" t="str">
        <f>Données!B70</f>
        <v>Bottens</v>
      </c>
      <c r="C70" s="353">
        <f>VPI!R70</f>
        <v>44188.527468794709</v>
      </c>
      <c r="D70" s="524">
        <f>Effort!I70</f>
        <v>20.172960362832551</v>
      </c>
      <c r="E70" s="209">
        <f>PCS!F76/Aide!C70</f>
        <v>2.1108163214053381</v>
      </c>
      <c r="F70" s="522">
        <f>Effort!G70</f>
        <v>0</v>
      </c>
      <c r="G70" s="381">
        <f t="shared" si="1"/>
        <v>22.283776684237889</v>
      </c>
      <c r="H70" s="226">
        <f t="shared" si="2"/>
        <v>0</v>
      </c>
      <c r="I70" s="42">
        <f t="shared" ref="I70:I133" si="3">-H70*C70</f>
        <v>0</v>
      </c>
      <c r="J70" s="29"/>
    </row>
    <row r="71" spans="1:10" x14ac:dyDescent="0.25">
      <c r="A71" s="38">
        <f>Données!A71</f>
        <v>5515</v>
      </c>
      <c r="B71" s="171" t="str">
        <f>Données!B71</f>
        <v>Bretigny-sur-Morrens</v>
      </c>
      <c r="C71" s="353">
        <f>VPI!R71</f>
        <v>29581.308918344312</v>
      </c>
      <c r="D71" s="524">
        <f>Effort!I71</f>
        <v>19.428469428476909</v>
      </c>
      <c r="E71" s="209">
        <f>PCS!F77/Aide!C71</f>
        <v>4.0162659917433325</v>
      </c>
      <c r="F71" s="522">
        <f>Effort!G71</f>
        <v>-1.7937220640371845</v>
      </c>
      <c r="G71" s="381">
        <f t="shared" ref="G71:G134" si="4">D71+E71-F71</f>
        <v>25.238457484257424</v>
      </c>
      <c r="H71" s="226">
        <f t="shared" ref="H71:H134" si="5">IF(G71&lt;H$5,G71-H$5,0)</f>
        <v>0</v>
      </c>
      <c r="I71" s="42">
        <f t="shared" si="3"/>
        <v>0</v>
      </c>
      <c r="J71" s="29"/>
    </row>
    <row r="72" spans="1:10" x14ac:dyDescent="0.25">
      <c r="A72" s="38">
        <f>Données!A72</f>
        <v>5516</v>
      </c>
      <c r="B72" s="171" t="str">
        <f>Données!B72</f>
        <v>Cugy</v>
      </c>
      <c r="C72" s="353">
        <f>VPI!R72</f>
        <v>107018.16986148078</v>
      </c>
      <c r="D72" s="524">
        <f>Effort!I72</f>
        <v>20.726440810092328</v>
      </c>
      <c r="E72" s="209">
        <f>PCS!F78/Aide!C72</f>
        <v>3.615308087409733</v>
      </c>
      <c r="F72" s="522">
        <f>Effort!G72</f>
        <v>-1.5240190618305398</v>
      </c>
      <c r="G72" s="381">
        <f t="shared" si="4"/>
        <v>25.865767959332601</v>
      </c>
      <c r="H72" s="226">
        <f t="shared" si="5"/>
        <v>0</v>
      </c>
      <c r="I72" s="42">
        <f t="shared" si="3"/>
        <v>0</v>
      </c>
      <c r="J72" s="29"/>
    </row>
    <row r="73" spans="1:10" x14ac:dyDescent="0.25">
      <c r="A73" s="38">
        <f>Données!A73</f>
        <v>5518</v>
      </c>
      <c r="B73" s="171" t="str">
        <f>Données!B73</f>
        <v>Echallens</v>
      </c>
      <c r="C73" s="353">
        <f>VPI!R73</f>
        <v>178600.86493850421</v>
      </c>
      <c r="D73" s="524">
        <f>Effort!I73</f>
        <v>4.3953446332385724</v>
      </c>
      <c r="E73" s="209">
        <f>PCS!F79/Aide!C73</f>
        <v>3.4167365326596535</v>
      </c>
      <c r="F73" s="522">
        <f>Effort!G73</f>
        <v>-6.6745060880832172</v>
      </c>
      <c r="G73" s="381">
        <f t="shared" si="4"/>
        <v>14.486587253981444</v>
      </c>
      <c r="H73" s="226">
        <f t="shared" si="5"/>
        <v>0</v>
      </c>
      <c r="I73" s="42">
        <f t="shared" si="3"/>
        <v>0</v>
      </c>
      <c r="J73" s="29"/>
    </row>
    <row r="74" spans="1:10" x14ac:dyDescent="0.25">
      <c r="A74" s="38">
        <f>Données!A74</f>
        <v>5520</v>
      </c>
      <c r="B74" s="171" t="str">
        <f>Données!B74</f>
        <v>Essertines-sur-Yverdon</v>
      </c>
      <c r="C74" s="353">
        <f>VPI!R74</f>
        <v>29717.541203363555</v>
      </c>
      <c r="D74" s="524">
        <f>Effort!I74</f>
        <v>11.370370094352706</v>
      </c>
      <c r="E74" s="209">
        <f>PCS!F80/Aide!C74</f>
        <v>4.4454968227669971</v>
      </c>
      <c r="F74" s="522">
        <f>Effort!G74</f>
        <v>-4.8119339988030632</v>
      </c>
      <c r="G74" s="381">
        <f t="shared" si="4"/>
        <v>20.627800915922766</v>
      </c>
      <c r="H74" s="226">
        <f t="shared" si="5"/>
        <v>0</v>
      </c>
      <c r="I74" s="42">
        <f t="shared" si="3"/>
        <v>0</v>
      </c>
      <c r="J74" s="29"/>
    </row>
    <row r="75" spans="1:10" x14ac:dyDescent="0.25">
      <c r="A75" s="38">
        <f>Données!A75</f>
        <v>5521</v>
      </c>
      <c r="B75" s="171" t="str">
        <f>Données!B75</f>
        <v>Etagnières</v>
      </c>
      <c r="C75" s="353">
        <f>VPI!R75</f>
        <v>46728.684482765391</v>
      </c>
      <c r="D75" s="524">
        <f>Effort!I75</f>
        <v>25.676918737205959</v>
      </c>
      <c r="E75" s="209">
        <f>PCS!F81/Aide!C75</f>
        <v>2.0292353839957356</v>
      </c>
      <c r="F75" s="522">
        <f>Effort!G75</f>
        <v>-1.4664096338659105</v>
      </c>
      <c r="G75" s="381">
        <f t="shared" si="4"/>
        <v>29.172563755067607</v>
      </c>
      <c r="H75" s="226">
        <f t="shared" si="5"/>
        <v>0</v>
      </c>
      <c r="I75" s="42">
        <f t="shared" si="3"/>
        <v>0</v>
      </c>
      <c r="J75" s="29"/>
    </row>
    <row r="76" spans="1:10" x14ac:dyDescent="0.25">
      <c r="A76" s="38">
        <f>Données!A76</f>
        <v>5522</v>
      </c>
      <c r="B76" s="171" t="str">
        <f>Données!B76</f>
        <v>Fey</v>
      </c>
      <c r="C76" s="353">
        <f>VPI!R76</f>
        <v>23725.546686457117</v>
      </c>
      <c r="D76" s="524">
        <f>Effort!I76</f>
        <v>14.949754651624454</v>
      </c>
      <c r="E76" s="209">
        <f>PCS!F82/Aide!C76</f>
        <v>1.1762131498503812</v>
      </c>
      <c r="F76" s="522">
        <f>Effort!G76</f>
        <v>-4.6067456868676953</v>
      </c>
      <c r="G76" s="381">
        <f t="shared" si="4"/>
        <v>20.732713488342533</v>
      </c>
      <c r="H76" s="226">
        <f t="shared" si="5"/>
        <v>0</v>
      </c>
      <c r="I76" s="42">
        <f t="shared" si="3"/>
        <v>0</v>
      </c>
      <c r="J76" s="29"/>
    </row>
    <row r="77" spans="1:10" x14ac:dyDescent="0.25">
      <c r="A77" s="38">
        <f>Données!A77</f>
        <v>5523</v>
      </c>
      <c r="B77" s="171" t="str">
        <f>Données!B77</f>
        <v>Froideville</v>
      </c>
      <c r="C77" s="353">
        <f>VPI!R77</f>
        <v>85857.812378374249</v>
      </c>
      <c r="D77" s="524">
        <f>Effort!I77</f>
        <v>14.745141231556151</v>
      </c>
      <c r="E77" s="209">
        <f>PCS!F83/Aide!C77</f>
        <v>1.6515476119412049</v>
      </c>
      <c r="F77" s="522">
        <f>Effort!G77</f>
        <v>-1.4214853878631457</v>
      </c>
      <c r="G77" s="381">
        <f t="shared" si="4"/>
        <v>17.818174231360501</v>
      </c>
      <c r="H77" s="226">
        <f t="shared" si="5"/>
        <v>0</v>
      </c>
      <c r="I77" s="42">
        <f t="shared" si="3"/>
        <v>0</v>
      </c>
      <c r="J77" s="29"/>
    </row>
    <row r="78" spans="1:10" x14ac:dyDescent="0.25">
      <c r="A78" s="38">
        <f>Données!A78</f>
        <v>5527</v>
      </c>
      <c r="B78" s="171" t="str">
        <f>Données!B78</f>
        <v>Morrens</v>
      </c>
      <c r="C78" s="353">
        <f>VPI!R78</f>
        <v>40562.178421686454</v>
      </c>
      <c r="D78" s="524">
        <f>Effort!I78</f>
        <v>20.490261576082901</v>
      </c>
      <c r="E78" s="209">
        <f>PCS!F84/Aide!C78</f>
        <v>2.0110384396018461</v>
      </c>
      <c r="F78" s="522">
        <f>Effort!G78</f>
        <v>-2.0628990533985796</v>
      </c>
      <c r="G78" s="381">
        <f t="shared" si="4"/>
        <v>24.56419906908333</v>
      </c>
      <c r="H78" s="226">
        <f t="shared" si="5"/>
        <v>0</v>
      </c>
      <c r="I78" s="42">
        <f t="shared" si="3"/>
        <v>0</v>
      </c>
      <c r="J78" s="29"/>
    </row>
    <row r="79" spans="1:10" x14ac:dyDescent="0.25">
      <c r="A79" s="38">
        <f>Données!A79</f>
        <v>5529</v>
      </c>
      <c r="B79" s="171" t="str">
        <f>Données!B79</f>
        <v>Oulens-sous-Echallens</v>
      </c>
      <c r="C79" s="353">
        <f>VPI!R79</f>
        <v>20197.480835918959</v>
      </c>
      <c r="D79" s="524">
        <f>Effort!I79</f>
        <v>18.621223641436199</v>
      </c>
      <c r="E79" s="209">
        <f>PCS!F85/Aide!C79</f>
        <v>1.0916643604774983</v>
      </c>
      <c r="F79" s="522">
        <f>Effort!G79</f>
        <v>-3.2596820127885389</v>
      </c>
      <c r="G79" s="381">
        <f t="shared" si="4"/>
        <v>22.972570014702235</v>
      </c>
      <c r="H79" s="226">
        <f t="shared" si="5"/>
        <v>0</v>
      </c>
      <c r="I79" s="42">
        <f t="shared" si="3"/>
        <v>0</v>
      </c>
      <c r="J79" s="29"/>
    </row>
    <row r="80" spans="1:10" x14ac:dyDescent="0.25">
      <c r="A80" s="38">
        <f>Données!A80</f>
        <v>5530</v>
      </c>
      <c r="B80" s="171" t="str">
        <f>Données!B80</f>
        <v>Pailly</v>
      </c>
      <c r="C80" s="353">
        <f>VPI!R80</f>
        <v>18293.784444479894</v>
      </c>
      <c r="D80" s="524">
        <f>Effort!I80</f>
        <v>-0.46236881023159526</v>
      </c>
      <c r="E80" s="209">
        <f>PCS!F86/Aide!C80</f>
        <v>0.68328234859965187</v>
      </c>
      <c r="F80" s="522">
        <f>Effort!G80</f>
        <v>-20.427058498140347</v>
      </c>
      <c r="G80" s="381">
        <f t="shared" si="4"/>
        <v>20.647972036508403</v>
      </c>
      <c r="H80" s="226">
        <f t="shared" si="5"/>
        <v>0</v>
      </c>
      <c r="I80" s="42">
        <f t="shared" si="3"/>
        <v>0</v>
      </c>
      <c r="J80" s="29"/>
    </row>
    <row r="81" spans="1:10" x14ac:dyDescent="0.25">
      <c r="A81" s="38">
        <f>Données!A81</f>
        <v>5531</v>
      </c>
      <c r="B81" s="171" t="str">
        <f>Données!B81</f>
        <v>Penthéréaz</v>
      </c>
      <c r="C81" s="353">
        <f>VPI!R81</f>
        <v>13840.342734120952</v>
      </c>
      <c r="D81" s="524">
        <f>Effort!I81</f>
        <v>16.501253741511466</v>
      </c>
      <c r="E81" s="209">
        <f>PCS!F87/Aide!C81</f>
        <v>2.0234932427617189</v>
      </c>
      <c r="F81" s="522">
        <f>Effort!G81</f>
        <v>-4.7972212697448473</v>
      </c>
      <c r="G81" s="381">
        <f t="shared" si="4"/>
        <v>23.321968254018032</v>
      </c>
      <c r="H81" s="226">
        <f t="shared" si="5"/>
        <v>0</v>
      </c>
      <c r="I81" s="42">
        <f t="shared" si="3"/>
        <v>0</v>
      </c>
      <c r="J81" s="29"/>
    </row>
    <row r="82" spans="1:10" x14ac:dyDescent="0.25">
      <c r="A82" s="38">
        <f>Données!A82</f>
        <v>5533</v>
      </c>
      <c r="B82" s="171" t="str">
        <f>Données!B82</f>
        <v>Poliez-Pittet</v>
      </c>
      <c r="C82" s="353">
        <f>VPI!R82</f>
        <v>27171.721019789369</v>
      </c>
      <c r="D82" s="524">
        <f>Effort!I82</f>
        <v>20.049856982278435</v>
      </c>
      <c r="E82" s="209">
        <f>PCS!F88/Aide!C82</f>
        <v>6.2739875724412792</v>
      </c>
      <c r="F82" s="522">
        <f>Effort!G82</f>
        <v>-1.2211578063455026</v>
      </c>
      <c r="G82" s="381">
        <f t="shared" si="4"/>
        <v>27.545002361065215</v>
      </c>
      <c r="H82" s="226">
        <f t="shared" si="5"/>
        <v>0</v>
      </c>
      <c r="I82" s="42">
        <f t="shared" si="3"/>
        <v>0</v>
      </c>
      <c r="J82" s="29"/>
    </row>
    <row r="83" spans="1:10" x14ac:dyDescent="0.25">
      <c r="A83" s="38">
        <f>Données!A83</f>
        <v>5534</v>
      </c>
      <c r="B83" s="171" t="str">
        <f>Données!B83</f>
        <v>Rueyres</v>
      </c>
      <c r="C83" s="353">
        <f>VPI!R83</f>
        <v>9741.2664246848526</v>
      </c>
      <c r="D83" s="524">
        <f>Effort!I83</f>
        <v>24.628096214227178</v>
      </c>
      <c r="E83" s="209">
        <f>PCS!F89/Aide!C83</f>
        <v>2.592601300381439</v>
      </c>
      <c r="F83" s="522">
        <f>Effort!G83</f>
        <v>-0.18937991232962742</v>
      </c>
      <c r="G83" s="381">
        <f t="shared" si="4"/>
        <v>27.410077426938244</v>
      </c>
      <c r="H83" s="226">
        <f t="shared" si="5"/>
        <v>0</v>
      </c>
      <c r="I83" s="42">
        <f t="shared" si="3"/>
        <v>0</v>
      </c>
      <c r="J83" s="29"/>
    </row>
    <row r="84" spans="1:10" x14ac:dyDescent="0.25">
      <c r="A84" s="38">
        <f>Données!A84</f>
        <v>5535</v>
      </c>
      <c r="B84" s="171" t="str">
        <f>Données!B84</f>
        <v>Saint-Barthélemy</v>
      </c>
      <c r="C84" s="353">
        <f>VPI!R84</f>
        <v>22506.660400000004</v>
      </c>
      <c r="D84" s="524">
        <f>Effort!I84</f>
        <v>15.763502436692573</v>
      </c>
      <c r="E84" s="209">
        <f>PCS!F90/Aide!C84</f>
        <v>1.3802058789672764</v>
      </c>
      <c r="F84" s="522">
        <f>Effort!G84</f>
        <v>0</v>
      </c>
      <c r="G84" s="381">
        <f t="shared" si="4"/>
        <v>17.14370831565985</v>
      </c>
      <c r="H84" s="226">
        <f t="shared" si="5"/>
        <v>0</v>
      </c>
      <c r="I84" s="42">
        <f t="shared" si="3"/>
        <v>0</v>
      </c>
      <c r="J84" s="29"/>
    </row>
    <row r="85" spans="1:10" x14ac:dyDescent="0.25">
      <c r="A85" s="38">
        <f>Données!A85</f>
        <v>5537</v>
      </c>
      <c r="B85" s="171" t="str">
        <f>Données!B85</f>
        <v>Villars-le-Terroir</v>
      </c>
      <c r="C85" s="353">
        <f>VPI!R85</f>
        <v>37957.948044056422</v>
      </c>
      <c r="D85" s="524">
        <f>Effort!I85</f>
        <v>14.927498448762044</v>
      </c>
      <c r="E85" s="209">
        <f>PCS!F91/Aide!C85</f>
        <v>2.5665184768925964</v>
      </c>
      <c r="F85" s="522">
        <f>Effort!G85</f>
        <v>-1.1059821170242357</v>
      </c>
      <c r="G85" s="381">
        <f t="shared" si="4"/>
        <v>18.599999042678878</v>
      </c>
      <c r="H85" s="226">
        <f t="shared" si="5"/>
        <v>0</v>
      </c>
      <c r="I85" s="42">
        <f t="shared" si="3"/>
        <v>0</v>
      </c>
      <c r="J85" s="29"/>
    </row>
    <row r="86" spans="1:10" x14ac:dyDescent="0.25">
      <c r="A86" s="38">
        <f>Données!A86</f>
        <v>5539</v>
      </c>
      <c r="B86" s="171" t="str">
        <f>Données!B86</f>
        <v>Vuarrens</v>
      </c>
      <c r="C86" s="353">
        <f>VPI!R86</f>
        <v>35955.043474705482</v>
      </c>
      <c r="D86" s="524">
        <f>Effort!I86</f>
        <v>20.916077080109208</v>
      </c>
      <c r="E86" s="209">
        <f>PCS!F92/Aide!C86</f>
        <v>4.6239184807816969</v>
      </c>
      <c r="F86" s="522">
        <f>Effort!G86</f>
        <v>-1.0153921081935207</v>
      </c>
      <c r="G86" s="381">
        <f t="shared" si="4"/>
        <v>26.555387669084425</v>
      </c>
      <c r="H86" s="226">
        <f t="shared" si="5"/>
        <v>0</v>
      </c>
      <c r="I86" s="42">
        <f t="shared" si="3"/>
        <v>0</v>
      </c>
      <c r="J86" s="29"/>
    </row>
    <row r="87" spans="1:10" x14ac:dyDescent="0.25">
      <c r="A87" s="38">
        <f>Données!A87</f>
        <v>5540</v>
      </c>
      <c r="B87" s="171" t="str">
        <f>Données!B87</f>
        <v>Montilliez</v>
      </c>
      <c r="C87" s="353">
        <f>VPI!R87</f>
        <v>66216.365354079026</v>
      </c>
      <c r="D87" s="524">
        <f>Effort!I87</f>
        <v>17.361906959685435</v>
      </c>
      <c r="E87" s="209">
        <f>PCS!F93/Aide!C87</f>
        <v>1.4892044356814806</v>
      </c>
      <c r="F87" s="522">
        <f>Effort!G87</f>
        <v>-3.8356723825271208</v>
      </c>
      <c r="G87" s="381">
        <f t="shared" si="4"/>
        <v>22.686783777894036</v>
      </c>
      <c r="H87" s="226">
        <f t="shared" si="5"/>
        <v>0</v>
      </c>
      <c r="I87" s="42">
        <f t="shared" si="3"/>
        <v>0</v>
      </c>
      <c r="J87" s="29"/>
    </row>
    <row r="88" spans="1:10" x14ac:dyDescent="0.25">
      <c r="A88" s="38">
        <f>Données!A88</f>
        <v>5541</v>
      </c>
      <c r="B88" s="171" t="str">
        <f>Données!B88</f>
        <v>Goumoëns</v>
      </c>
      <c r="C88" s="353">
        <f>VPI!R88</f>
        <v>36974.846186713199</v>
      </c>
      <c r="D88" s="524">
        <f>Effort!I88</f>
        <v>18.571512289065719</v>
      </c>
      <c r="E88" s="209">
        <f>PCS!F94/Aide!C88</f>
        <v>3.5150724993875451</v>
      </c>
      <c r="F88" s="522">
        <f>Effort!G88</f>
        <v>-0.37763614131553797</v>
      </c>
      <c r="G88" s="381">
        <f t="shared" si="4"/>
        <v>22.464220929768803</v>
      </c>
      <c r="H88" s="226">
        <f t="shared" si="5"/>
        <v>0</v>
      </c>
      <c r="I88" s="42">
        <f t="shared" si="3"/>
        <v>0</v>
      </c>
      <c r="J88" s="29"/>
    </row>
    <row r="89" spans="1:10" x14ac:dyDescent="0.25">
      <c r="A89" s="38">
        <f>Données!A89</f>
        <v>5551</v>
      </c>
      <c r="B89" s="171" t="str">
        <f>Données!B89</f>
        <v>Bonvillars</v>
      </c>
      <c r="C89" s="353">
        <f>VPI!R89</f>
        <v>19152.288613413803</v>
      </c>
      <c r="D89" s="524">
        <f>Effort!I89</f>
        <v>25.536864620888245</v>
      </c>
      <c r="E89" s="209">
        <f>PCS!F95/Aide!C89</f>
        <v>1.306071848900638</v>
      </c>
      <c r="F89" s="522">
        <f>Effort!G89</f>
        <v>-2.8918111551779067</v>
      </c>
      <c r="G89" s="381">
        <f t="shared" si="4"/>
        <v>29.734747624966786</v>
      </c>
      <c r="H89" s="226">
        <f t="shared" si="5"/>
        <v>0</v>
      </c>
      <c r="I89" s="42">
        <f t="shared" si="3"/>
        <v>0</v>
      </c>
      <c r="J89" s="29"/>
    </row>
    <row r="90" spans="1:10" x14ac:dyDescent="0.25">
      <c r="A90" s="38">
        <f>Données!A90</f>
        <v>5552</v>
      </c>
      <c r="B90" s="171" t="str">
        <f>Données!B90</f>
        <v>Bullet</v>
      </c>
      <c r="C90" s="353">
        <f>VPI!R90</f>
        <v>17562.45286713287</v>
      </c>
      <c r="D90" s="524">
        <f>Effort!I90</f>
        <v>3.7577451554088004</v>
      </c>
      <c r="E90" s="209">
        <f>PCS!F96/Aide!C90</f>
        <v>4.1078834799331672</v>
      </c>
      <c r="F90" s="522">
        <f>Effort!G90</f>
        <v>-10.503953778124464</v>
      </c>
      <c r="G90" s="381">
        <f t="shared" si="4"/>
        <v>18.369582413466432</v>
      </c>
      <c r="H90" s="226">
        <f t="shared" si="5"/>
        <v>0</v>
      </c>
      <c r="I90" s="42">
        <f t="shared" si="3"/>
        <v>0</v>
      </c>
      <c r="J90" s="29"/>
    </row>
    <row r="91" spans="1:10" x14ac:dyDescent="0.25">
      <c r="A91" s="38">
        <f>Données!A91</f>
        <v>5553</v>
      </c>
      <c r="B91" s="171" t="str">
        <f>Données!B91</f>
        <v>Champagne</v>
      </c>
      <c r="C91" s="353">
        <f>VPI!R91</f>
        <v>38621.939977657414</v>
      </c>
      <c r="D91" s="524">
        <f>Effort!I91</f>
        <v>21.706690601752751</v>
      </c>
      <c r="E91" s="209">
        <f>PCS!F97/Aide!C91</f>
        <v>4.0654467406565438</v>
      </c>
      <c r="F91" s="522">
        <f>Effort!G91</f>
        <v>-3.7597246595602782</v>
      </c>
      <c r="G91" s="381">
        <f t="shared" si="4"/>
        <v>29.531862001969571</v>
      </c>
      <c r="H91" s="226">
        <f t="shared" si="5"/>
        <v>0</v>
      </c>
      <c r="I91" s="42">
        <f t="shared" si="3"/>
        <v>0</v>
      </c>
      <c r="J91" s="29"/>
    </row>
    <row r="92" spans="1:10" x14ac:dyDescent="0.25">
      <c r="A92" s="38">
        <f>Données!A92</f>
        <v>5554</v>
      </c>
      <c r="B92" s="171" t="str">
        <f>Données!B92</f>
        <v>Concise</v>
      </c>
      <c r="C92" s="353">
        <f>VPI!R92</f>
        <v>32321.208248272062</v>
      </c>
      <c r="D92" s="524">
        <f>Effort!I92</f>
        <v>14.153223127173138</v>
      </c>
      <c r="E92" s="209">
        <f>PCS!F98/Aide!C92</f>
        <v>3.8568380254368853</v>
      </c>
      <c r="F92" s="522">
        <f>Effort!G92</f>
        <v>-6.0922488668006585</v>
      </c>
      <c r="G92" s="381">
        <f t="shared" si="4"/>
        <v>24.102310019410684</v>
      </c>
      <c r="H92" s="226">
        <f t="shared" si="5"/>
        <v>0</v>
      </c>
      <c r="I92" s="42">
        <f t="shared" si="3"/>
        <v>0</v>
      </c>
      <c r="J92" s="29"/>
    </row>
    <row r="93" spans="1:10" x14ac:dyDescent="0.25">
      <c r="A93" s="38">
        <f>Données!A93</f>
        <v>5555</v>
      </c>
      <c r="B93" s="171" t="str">
        <f>Données!B93</f>
        <v>Corcelles-près-Concise</v>
      </c>
      <c r="C93" s="353">
        <f>VPI!R93</f>
        <v>13590.982580275477</v>
      </c>
      <c r="D93" s="524">
        <f>Effort!I93</f>
        <v>9.4551584667711293</v>
      </c>
      <c r="E93" s="209">
        <f>PCS!F99/Aide!C93</f>
        <v>6.7045671246937211</v>
      </c>
      <c r="F93" s="522">
        <f>Effort!G93</f>
        <v>-12.42306187840896</v>
      </c>
      <c r="G93" s="381">
        <f t="shared" si="4"/>
        <v>28.582787469873807</v>
      </c>
      <c r="H93" s="226">
        <f t="shared" si="5"/>
        <v>0</v>
      </c>
      <c r="I93" s="42">
        <f t="shared" si="3"/>
        <v>0</v>
      </c>
      <c r="J93" s="29"/>
    </row>
    <row r="94" spans="1:10" x14ac:dyDescent="0.25">
      <c r="A94" s="38">
        <f>Données!A94</f>
        <v>5556</v>
      </c>
      <c r="B94" s="171" t="str">
        <f>Données!B94</f>
        <v>Fiez</v>
      </c>
      <c r="C94" s="353">
        <f>VPI!R94</f>
        <v>13811.370927055856</v>
      </c>
      <c r="D94" s="524">
        <f>Effort!I94</f>
        <v>18.686596653914506</v>
      </c>
      <c r="E94" s="209">
        <f>PCS!F100/Aide!C94</f>
        <v>3.2847191809995566</v>
      </c>
      <c r="F94" s="522">
        <f>Effort!G94</f>
        <v>-1.3622830305364719</v>
      </c>
      <c r="G94" s="381">
        <f t="shared" si="4"/>
        <v>23.333598865450533</v>
      </c>
      <c r="H94" s="226">
        <f t="shared" si="5"/>
        <v>0</v>
      </c>
      <c r="I94" s="42">
        <f t="shared" si="3"/>
        <v>0</v>
      </c>
      <c r="J94" s="29"/>
    </row>
    <row r="95" spans="1:10" x14ac:dyDescent="0.25">
      <c r="A95" s="38">
        <f>Données!A95</f>
        <v>5557</v>
      </c>
      <c r="B95" s="171" t="str">
        <f>Données!B95</f>
        <v>Fontaines-sur-Grandson</v>
      </c>
      <c r="C95" s="353">
        <f>VPI!R95</f>
        <v>5898.4472463768097</v>
      </c>
      <c r="D95" s="524">
        <f>Effort!I95</f>
        <v>14.430234553513994</v>
      </c>
      <c r="E95" s="209">
        <f>PCS!F101/Aide!C95</f>
        <v>5.5022743519382642</v>
      </c>
      <c r="F95" s="522">
        <f>Effort!G95</f>
        <v>-1.1338121386208126</v>
      </c>
      <c r="G95" s="381">
        <f t="shared" si="4"/>
        <v>21.066321044073071</v>
      </c>
      <c r="H95" s="226">
        <f t="shared" si="5"/>
        <v>0</v>
      </c>
      <c r="I95" s="42">
        <f t="shared" si="3"/>
        <v>0</v>
      </c>
      <c r="J95" s="29"/>
    </row>
    <row r="96" spans="1:10" x14ac:dyDescent="0.25">
      <c r="A96" s="38">
        <f>Données!A96</f>
        <v>5559</v>
      </c>
      <c r="B96" s="171" t="str">
        <f>Données!B96</f>
        <v>Giez</v>
      </c>
      <c r="C96" s="353">
        <f>VPI!R96</f>
        <v>17108.440303030304</v>
      </c>
      <c r="D96" s="524">
        <f>Effort!I96</f>
        <v>28.053474338673801</v>
      </c>
      <c r="E96" s="209">
        <f>PCS!F102/Aide!C96</f>
        <v>3.5080757764557569</v>
      </c>
      <c r="F96" s="522">
        <f>Effort!G96</f>
        <v>-0.66105430895503559</v>
      </c>
      <c r="G96" s="381">
        <f t="shared" si="4"/>
        <v>32.222604424084594</v>
      </c>
      <c r="H96" s="226">
        <f t="shared" si="5"/>
        <v>0</v>
      </c>
      <c r="I96" s="42">
        <f t="shared" si="3"/>
        <v>0</v>
      </c>
      <c r="J96" s="29"/>
    </row>
    <row r="97" spans="1:10" x14ac:dyDescent="0.25">
      <c r="A97" s="38">
        <f>Données!A97</f>
        <v>5560</v>
      </c>
      <c r="B97" s="171" t="str">
        <f>Données!B97</f>
        <v>Grandevent</v>
      </c>
      <c r="C97" s="353">
        <f>VPI!R97</f>
        <v>6167.5355002978977</v>
      </c>
      <c r="D97" s="524">
        <f>Effort!I97</f>
        <v>14.907119124059369</v>
      </c>
      <c r="E97" s="209">
        <f>PCS!F103/Aide!C97</f>
        <v>2.280124694753805</v>
      </c>
      <c r="F97" s="522">
        <f>Effort!G97</f>
        <v>-1.5217805187397553</v>
      </c>
      <c r="G97" s="381">
        <f t="shared" si="4"/>
        <v>18.709024337552929</v>
      </c>
      <c r="H97" s="226">
        <f t="shared" si="5"/>
        <v>0</v>
      </c>
      <c r="I97" s="42">
        <f t="shared" si="3"/>
        <v>0</v>
      </c>
      <c r="J97" s="29"/>
    </row>
    <row r="98" spans="1:10" x14ac:dyDescent="0.25">
      <c r="A98" s="38">
        <f>Données!A98</f>
        <v>5561</v>
      </c>
      <c r="B98" s="171" t="str">
        <f>Données!B98</f>
        <v>Grandson</v>
      </c>
      <c r="C98" s="353">
        <f>VPI!R98</f>
        <v>114698.81047200582</v>
      </c>
      <c r="D98" s="524">
        <f>Effort!I98</f>
        <v>9.5379464019349403</v>
      </c>
      <c r="E98" s="209">
        <f>PCS!F104/Aide!C98</f>
        <v>3.9674162977571994</v>
      </c>
      <c r="F98" s="522">
        <f>Effort!G98</f>
        <v>-8.8677500924581132</v>
      </c>
      <c r="G98" s="381">
        <f t="shared" si="4"/>
        <v>22.373112792150252</v>
      </c>
      <c r="H98" s="226">
        <f t="shared" si="5"/>
        <v>0</v>
      </c>
      <c r="I98" s="42">
        <f t="shared" si="3"/>
        <v>0</v>
      </c>
      <c r="J98" s="29"/>
    </row>
    <row r="99" spans="1:10" x14ac:dyDescent="0.25">
      <c r="A99" s="38">
        <f>Données!A99</f>
        <v>5562</v>
      </c>
      <c r="B99" s="171" t="str">
        <f>Données!B99</f>
        <v>Mauborget</v>
      </c>
      <c r="C99" s="353">
        <f>VPI!R99</f>
        <v>6036.4454253269014</v>
      </c>
      <c r="D99" s="524">
        <f>Effort!I99</f>
        <v>30.494884528257138</v>
      </c>
      <c r="E99" s="209">
        <f>PCS!F105/Aide!C99</f>
        <v>2.1027192504291743</v>
      </c>
      <c r="F99" s="522">
        <f>Effort!G99</f>
        <v>-0.92575066703941677</v>
      </c>
      <c r="G99" s="381">
        <f t="shared" si="4"/>
        <v>33.52335444572573</v>
      </c>
      <c r="H99" s="226">
        <f t="shared" si="5"/>
        <v>0</v>
      </c>
      <c r="I99" s="42">
        <f t="shared" si="3"/>
        <v>0</v>
      </c>
      <c r="J99" s="29"/>
    </row>
    <row r="100" spans="1:10" x14ac:dyDescent="0.25">
      <c r="A100" s="38">
        <f>Données!A100</f>
        <v>5563</v>
      </c>
      <c r="B100" s="171" t="str">
        <f>Données!B100</f>
        <v>Mutrux</v>
      </c>
      <c r="C100" s="353">
        <f>VPI!R100</f>
        <v>4073.4583735660226</v>
      </c>
      <c r="D100" s="524">
        <f>Effort!I100</f>
        <v>-0.11526866575447769</v>
      </c>
      <c r="E100" s="209">
        <f>PCS!F106/Aide!C100</f>
        <v>2.9002321655389123</v>
      </c>
      <c r="F100" s="522">
        <f>Effort!G100</f>
        <v>-11.719134357236269</v>
      </c>
      <c r="G100" s="381">
        <f t="shared" si="4"/>
        <v>14.504097857020703</v>
      </c>
      <c r="H100" s="226">
        <f t="shared" si="5"/>
        <v>0</v>
      </c>
      <c r="I100" s="42">
        <f t="shared" si="3"/>
        <v>0</v>
      </c>
      <c r="J100" s="29"/>
    </row>
    <row r="101" spans="1:10" x14ac:dyDescent="0.25">
      <c r="A101" s="38">
        <f>Données!A101</f>
        <v>5564</v>
      </c>
      <c r="B101" s="171" t="str">
        <f>Données!B101</f>
        <v>Novalles</v>
      </c>
      <c r="C101" s="353">
        <f>VPI!R101</f>
        <v>2091.5278618421053</v>
      </c>
      <c r="D101" s="524">
        <f>Effort!I101</f>
        <v>-0.95092814481949262</v>
      </c>
      <c r="E101" s="209">
        <f>PCS!F107/Aide!C101</f>
        <v>6.4171509473361414</v>
      </c>
      <c r="F101" s="522">
        <f>Effort!G101</f>
        <v>-1.4771196640167057</v>
      </c>
      <c r="G101" s="381">
        <f t="shared" si="4"/>
        <v>6.9433424665333545</v>
      </c>
      <c r="H101" s="226">
        <f t="shared" si="5"/>
        <v>0</v>
      </c>
      <c r="I101" s="42">
        <f t="shared" si="3"/>
        <v>0</v>
      </c>
      <c r="J101" s="29"/>
    </row>
    <row r="102" spans="1:10" x14ac:dyDescent="0.25">
      <c r="A102" s="38">
        <f>Données!A102</f>
        <v>5565</v>
      </c>
      <c r="B102" s="171" t="str">
        <f>Données!B102</f>
        <v>Onnens</v>
      </c>
      <c r="C102" s="353">
        <f>VPI!R102</f>
        <v>19614.777543776931</v>
      </c>
      <c r="D102" s="524">
        <f>Effort!I102</f>
        <v>25.230341558566245</v>
      </c>
      <c r="E102" s="209">
        <f>PCS!F108/Aide!C102</f>
        <v>1.671212682725534</v>
      </c>
      <c r="F102" s="522">
        <f>Effort!G102</f>
        <v>-2.2929566566309414</v>
      </c>
      <c r="G102" s="381">
        <f t="shared" si="4"/>
        <v>29.194510897922722</v>
      </c>
      <c r="H102" s="226">
        <f t="shared" si="5"/>
        <v>0</v>
      </c>
      <c r="I102" s="42">
        <f t="shared" si="3"/>
        <v>0</v>
      </c>
      <c r="J102" s="29"/>
    </row>
    <row r="103" spans="1:10" x14ac:dyDescent="0.25">
      <c r="A103" s="38">
        <f>Données!A103</f>
        <v>5566</v>
      </c>
      <c r="B103" s="171" t="str">
        <f>Données!B103</f>
        <v>Provence</v>
      </c>
      <c r="C103" s="353">
        <f>VPI!R103</f>
        <v>7592.3490248426833</v>
      </c>
      <c r="D103" s="524">
        <f>Effort!I103</f>
        <v>-51.786742583101798</v>
      </c>
      <c r="E103" s="209">
        <f>PCS!F109/Aide!C103</f>
        <v>10.212882040365189</v>
      </c>
      <c r="F103" s="522">
        <f>Effort!G103</f>
        <v>-42.859942689351598</v>
      </c>
      <c r="G103" s="381">
        <f t="shared" si="4"/>
        <v>1.2860821466149872</v>
      </c>
      <c r="H103" s="226">
        <f t="shared" si="5"/>
        <v>0</v>
      </c>
      <c r="I103" s="42">
        <f t="shared" si="3"/>
        <v>0</v>
      </c>
      <c r="J103" s="29"/>
    </row>
    <row r="104" spans="1:10" x14ac:dyDescent="0.25">
      <c r="A104" s="38">
        <f>Données!A104</f>
        <v>5568</v>
      </c>
      <c r="B104" s="171" t="str">
        <f>Données!B104</f>
        <v>Sainte-Croix</v>
      </c>
      <c r="C104" s="353">
        <f>VPI!R104</f>
        <v>106408.06903013417</v>
      </c>
      <c r="D104" s="524">
        <f>Effort!I104</f>
        <v>-18.986707202072289</v>
      </c>
      <c r="E104" s="209">
        <f>PCS!F110/Aide!C104</f>
        <v>9.9189672326550724</v>
      </c>
      <c r="F104" s="522">
        <f>Effort!G104</f>
        <v>-13.922584044139066</v>
      </c>
      <c r="G104" s="381">
        <f t="shared" si="4"/>
        <v>4.85484407472185</v>
      </c>
      <c r="H104" s="226">
        <f t="shared" si="5"/>
        <v>0</v>
      </c>
      <c r="I104" s="42">
        <f t="shared" si="3"/>
        <v>0</v>
      </c>
      <c r="J104" s="29"/>
    </row>
    <row r="105" spans="1:10" x14ac:dyDescent="0.25">
      <c r="A105" s="38">
        <f>Données!A105</f>
        <v>5571</v>
      </c>
      <c r="B105" s="171" t="str">
        <f>Données!B105</f>
        <v>Tévenon</v>
      </c>
      <c r="C105" s="353">
        <f>VPI!R105</f>
        <v>21375.598965432913</v>
      </c>
      <c r="D105" s="524">
        <f>Effort!I105</f>
        <v>2.1197986755973872</v>
      </c>
      <c r="E105" s="209">
        <f>PCS!F111/Aide!C105</f>
        <v>3.5220788489598824</v>
      </c>
      <c r="F105" s="522">
        <f>Effort!G105</f>
        <v>-7.4312868257027915</v>
      </c>
      <c r="G105" s="381">
        <f t="shared" si="4"/>
        <v>13.073164350260061</v>
      </c>
      <c r="H105" s="226">
        <f t="shared" si="5"/>
        <v>0</v>
      </c>
      <c r="I105" s="42">
        <f t="shared" si="3"/>
        <v>0</v>
      </c>
      <c r="J105" s="29"/>
    </row>
    <row r="106" spans="1:10" x14ac:dyDescent="0.25">
      <c r="A106" s="38">
        <f>Données!A106</f>
        <v>5581</v>
      </c>
      <c r="B106" s="171" t="str">
        <f>Données!B106</f>
        <v>Belmont-sur-Lausanne</v>
      </c>
      <c r="C106" s="353">
        <f>VPI!R106</f>
        <v>212399.01953543225</v>
      </c>
      <c r="D106" s="524">
        <f>Effort!I106</f>
        <v>27.506494688248175</v>
      </c>
      <c r="E106" s="209">
        <f>PCS!F112/Aide!C106</f>
        <v>3.8378208938201683</v>
      </c>
      <c r="F106" s="522">
        <f>Effort!G106</f>
        <v>-3.4199410824786329</v>
      </c>
      <c r="G106" s="381">
        <f t="shared" si="4"/>
        <v>34.764256664546977</v>
      </c>
      <c r="H106" s="226">
        <f t="shared" si="5"/>
        <v>0</v>
      </c>
      <c r="I106" s="42">
        <f t="shared" si="3"/>
        <v>0</v>
      </c>
      <c r="J106" s="29"/>
    </row>
    <row r="107" spans="1:10" x14ac:dyDescent="0.25">
      <c r="A107" s="38">
        <f>Données!A107</f>
        <v>5582</v>
      </c>
      <c r="B107" s="171" t="str">
        <f>Données!B107</f>
        <v>Cheseaux-sur-Lausanne</v>
      </c>
      <c r="C107" s="353">
        <f>VPI!R107</f>
        <v>163661.81439852438</v>
      </c>
      <c r="D107" s="524">
        <f>Effort!I107</f>
        <v>17.157588351460213</v>
      </c>
      <c r="E107" s="209">
        <f>PCS!F113/Aide!C107</f>
        <v>2.6925020452661745</v>
      </c>
      <c r="F107" s="522">
        <f>Effort!G107</f>
        <v>-2.5156913671156631</v>
      </c>
      <c r="G107" s="381">
        <f t="shared" si="4"/>
        <v>22.365781763842051</v>
      </c>
      <c r="H107" s="226">
        <f t="shared" si="5"/>
        <v>0</v>
      </c>
      <c r="I107" s="42">
        <f t="shared" si="3"/>
        <v>0</v>
      </c>
      <c r="J107" s="29"/>
    </row>
    <row r="108" spans="1:10" x14ac:dyDescent="0.25">
      <c r="A108" s="38">
        <f>Données!A108</f>
        <v>5583</v>
      </c>
      <c r="B108" s="171" t="str">
        <f>Données!B108</f>
        <v>Crissier</v>
      </c>
      <c r="C108" s="353">
        <f>VPI!R108</f>
        <v>366439.37058398779</v>
      </c>
      <c r="D108" s="524">
        <f>Effort!I108</f>
        <v>13.781552100784033</v>
      </c>
      <c r="E108" s="209">
        <f>PCS!F114/Aide!C108</f>
        <v>3.9406004537632988</v>
      </c>
      <c r="F108" s="522">
        <f>Effort!G108</f>
        <v>-7.4750449771015006</v>
      </c>
      <c r="G108" s="381">
        <f t="shared" si="4"/>
        <v>25.197197531648833</v>
      </c>
      <c r="H108" s="226">
        <f t="shared" si="5"/>
        <v>0</v>
      </c>
      <c r="I108" s="42">
        <f t="shared" si="3"/>
        <v>0</v>
      </c>
      <c r="J108" s="29"/>
    </row>
    <row r="109" spans="1:10" x14ac:dyDescent="0.25">
      <c r="A109" s="38">
        <f>Données!A109</f>
        <v>5584</v>
      </c>
      <c r="B109" s="171" t="str">
        <f>Données!B109</f>
        <v>Epalinges</v>
      </c>
      <c r="C109" s="353">
        <f>VPI!R109</f>
        <v>481828.05446555291</v>
      </c>
      <c r="D109" s="524">
        <f>Effort!I109</f>
        <v>17.565176663857301</v>
      </c>
      <c r="E109" s="209">
        <f>PCS!F115/Aide!C109</f>
        <v>3.865965986696549</v>
      </c>
      <c r="F109" s="522">
        <f>Effort!G109</f>
        <v>-7.013370520641347</v>
      </c>
      <c r="G109" s="381">
        <f t="shared" si="4"/>
        <v>28.444513171195197</v>
      </c>
      <c r="H109" s="226">
        <f t="shared" si="5"/>
        <v>0</v>
      </c>
      <c r="I109" s="42">
        <f t="shared" si="3"/>
        <v>0</v>
      </c>
      <c r="J109" s="29"/>
    </row>
    <row r="110" spans="1:10" x14ac:dyDescent="0.25">
      <c r="A110" s="38">
        <f>Données!A110</f>
        <v>5585</v>
      </c>
      <c r="B110" s="171" t="str">
        <f>Données!B110</f>
        <v>Jouxtens-Mézery</v>
      </c>
      <c r="C110" s="353">
        <f>VPI!R110</f>
        <v>202456.81185453033</v>
      </c>
      <c r="D110" s="524">
        <f>Effort!I110</f>
        <v>49.423360521823419</v>
      </c>
      <c r="E110" s="209">
        <f>PCS!F116/Aide!C110</f>
        <v>2.7100196578923983</v>
      </c>
      <c r="F110" s="522">
        <f>Effort!G110</f>
        <v>0</v>
      </c>
      <c r="G110" s="381">
        <f t="shared" si="4"/>
        <v>52.133380179715815</v>
      </c>
      <c r="H110" s="226">
        <f t="shared" si="5"/>
        <v>0</v>
      </c>
      <c r="I110" s="42">
        <f t="shared" si="3"/>
        <v>0</v>
      </c>
      <c r="J110" s="29"/>
    </row>
    <row r="111" spans="1:10" x14ac:dyDescent="0.25">
      <c r="A111" s="38">
        <f>Données!A111</f>
        <v>5586</v>
      </c>
      <c r="B111" s="171" t="str">
        <f>Données!B111</f>
        <v>Lausanne</v>
      </c>
      <c r="C111" s="353">
        <f>VPI!R111</f>
        <v>6147866.1896833694</v>
      </c>
      <c r="D111" s="524">
        <f>Effort!I111</f>
        <v>2.1630880657182239</v>
      </c>
      <c r="E111" s="209">
        <f>PCS!F117/Aide!C111</f>
        <v>3.6797010665199772</v>
      </c>
      <c r="F111" s="522">
        <f>Effort!G111</f>
        <v>-7.4205366470816694</v>
      </c>
      <c r="G111" s="381">
        <f t="shared" si="4"/>
        <v>13.263325779319871</v>
      </c>
      <c r="H111" s="226">
        <f t="shared" si="5"/>
        <v>0</v>
      </c>
      <c r="I111" s="42">
        <f t="shared" si="3"/>
        <v>0</v>
      </c>
      <c r="J111" s="29"/>
    </row>
    <row r="112" spans="1:10" x14ac:dyDescent="0.25">
      <c r="A112" s="38">
        <f>Données!A112</f>
        <v>5587</v>
      </c>
      <c r="B112" s="171" t="str">
        <f>Données!B112</f>
        <v>Le Mont-sur-Lausanne</v>
      </c>
      <c r="C112" s="353">
        <f>VPI!R112</f>
        <v>442283.52488437272</v>
      </c>
      <c r="D112" s="524">
        <f>Effort!I112</f>
        <v>19.813792319822635</v>
      </c>
      <c r="E112" s="209">
        <f>PCS!F118/Aide!C112</f>
        <v>3.9396133519907321</v>
      </c>
      <c r="F112" s="522">
        <f>Effort!G112</f>
        <v>-4.887670417429435</v>
      </c>
      <c r="G112" s="381">
        <f t="shared" si="4"/>
        <v>28.641076089242802</v>
      </c>
      <c r="H112" s="226">
        <f t="shared" si="5"/>
        <v>0</v>
      </c>
      <c r="I112" s="42">
        <f t="shared" si="3"/>
        <v>0</v>
      </c>
      <c r="J112" s="29"/>
    </row>
    <row r="113" spans="1:10" x14ac:dyDescent="0.25">
      <c r="A113" s="38">
        <f>Données!A113</f>
        <v>5588</v>
      </c>
      <c r="B113" s="171" t="str">
        <f>Données!B113</f>
        <v>Paudex</v>
      </c>
      <c r="C113" s="353">
        <f>VPI!R113</f>
        <v>135325.41739882343</v>
      </c>
      <c r="D113" s="524">
        <f>Effort!I113</f>
        <v>41.658959934231049</v>
      </c>
      <c r="E113" s="209">
        <f>PCS!F119/Aide!C113</f>
        <v>2.0170580312754551</v>
      </c>
      <c r="F113" s="522">
        <f>Effort!G113</f>
        <v>0</v>
      </c>
      <c r="G113" s="381">
        <f t="shared" si="4"/>
        <v>43.676017965506503</v>
      </c>
      <c r="H113" s="226">
        <f t="shared" si="5"/>
        <v>0</v>
      </c>
      <c r="I113" s="42">
        <f t="shared" si="3"/>
        <v>0</v>
      </c>
      <c r="J113" s="29"/>
    </row>
    <row r="114" spans="1:10" x14ac:dyDescent="0.25">
      <c r="A114" s="38">
        <f>Données!A114</f>
        <v>5589</v>
      </c>
      <c r="B114" s="171" t="str">
        <f>Données!B114</f>
        <v>Prilly</v>
      </c>
      <c r="C114" s="353">
        <f>VPI!R114</f>
        <v>453159.46835878264</v>
      </c>
      <c r="D114" s="524">
        <f>Effort!I114</f>
        <v>6.828875043526148</v>
      </c>
      <c r="E114" s="209">
        <f>PCS!F120/Aide!C114</f>
        <v>2.9166053835017136</v>
      </c>
      <c r="F114" s="522">
        <f>Effort!G114</f>
        <v>-5.7627962608953212</v>
      </c>
      <c r="G114" s="381">
        <f t="shared" si="4"/>
        <v>15.508276687923182</v>
      </c>
      <c r="H114" s="226">
        <f t="shared" si="5"/>
        <v>0</v>
      </c>
      <c r="I114" s="42">
        <f t="shared" si="3"/>
        <v>0</v>
      </c>
      <c r="J114" s="29"/>
    </row>
    <row r="115" spans="1:10" x14ac:dyDescent="0.25">
      <c r="A115" s="38">
        <f>Données!A115</f>
        <v>5590</v>
      </c>
      <c r="B115" s="171" t="str">
        <f>Données!B115</f>
        <v>Pully</v>
      </c>
      <c r="C115" s="353">
        <f>VPI!R115</f>
        <v>1476232.2063472071</v>
      </c>
      <c r="D115" s="524">
        <f>Effort!I115</f>
        <v>30.630849394197192</v>
      </c>
      <c r="E115" s="209">
        <f>PCS!F121/Aide!C115</f>
        <v>3.0658267551273859</v>
      </c>
      <c r="F115" s="522">
        <f>Effort!G115</f>
        <v>-1.5977706635686284</v>
      </c>
      <c r="G115" s="381">
        <f t="shared" si="4"/>
        <v>35.294446812893206</v>
      </c>
      <c r="H115" s="226">
        <f t="shared" si="5"/>
        <v>0</v>
      </c>
      <c r="I115" s="42">
        <f t="shared" si="3"/>
        <v>0</v>
      </c>
      <c r="J115" s="29"/>
    </row>
    <row r="116" spans="1:10" x14ac:dyDescent="0.25">
      <c r="A116" s="38">
        <f>Données!A116</f>
        <v>5591</v>
      </c>
      <c r="B116" s="171" t="str">
        <f>Données!B116</f>
        <v>Renens</v>
      </c>
      <c r="C116" s="353">
        <f>VPI!R116</f>
        <v>594878.13045762118</v>
      </c>
      <c r="D116" s="524">
        <f>Effort!I116</f>
        <v>-17.14910378541861</v>
      </c>
      <c r="E116" s="209">
        <f>PCS!F122/Aide!C116</f>
        <v>4.8812460507940321</v>
      </c>
      <c r="F116" s="522">
        <f>Effort!G116</f>
        <v>-9.6686861943129045</v>
      </c>
      <c r="G116" s="381">
        <f t="shared" si="4"/>
        <v>-2.5991715403116729</v>
      </c>
      <c r="H116" s="226">
        <f t="shared" si="5"/>
        <v>0</v>
      </c>
      <c r="I116" s="42">
        <f t="shared" si="3"/>
        <v>0</v>
      </c>
      <c r="J116" s="29"/>
    </row>
    <row r="117" spans="1:10" x14ac:dyDescent="0.25">
      <c r="A117" s="38">
        <f>Données!A117</f>
        <v>5592</v>
      </c>
      <c r="B117" s="171" t="str">
        <f>Données!B117</f>
        <v>Romanel-sur-Lausanne</v>
      </c>
      <c r="C117" s="353">
        <f>VPI!R117</f>
        <v>121107.61842839372</v>
      </c>
      <c r="D117" s="524">
        <f>Effort!I117</f>
        <v>19.578626892226545</v>
      </c>
      <c r="E117" s="209">
        <f>PCS!F123/Aide!C117</f>
        <v>2.2545387610065104</v>
      </c>
      <c r="F117" s="522">
        <f>Effort!G117</f>
        <v>-1.6841986662485391</v>
      </c>
      <c r="G117" s="381">
        <f t="shared" si="4"/>
        <v>23.517364319481594</v>
      </c>
      <c r="H117" s="226">
        <f t="shared" si="5"/>
        <v>0</v>
      </c>
      <c r="I117" s="42">
        <f t="shared" si="3"/>
        <v>0</v>
      </c>
      <c r="J117" s="29"/>
    </row>
    <row r="118" spans="1:10" x14ac:dyDescent="0.25">
      <c r="A118" s="38">
        <f>Données!A118</f>
        <v>5601</v>
      </c>
      <c r="B118" s="171" t="str">
        <f>Données!B118</f>
        <v>Chexbres</v>
      </c>
      <c r="C118" s="353">
        <f>VPI!R118</f>
        <v>98052.639768384004</v>
      </c>
      <c r="D118" s="524">
        <f>Effort!I118</f>
        <v>23.274306917331831</v>
      </c>
      <c r="E118" s="209">
        <f>PCS!F124/Aide!C118</f>
        <v>8.6356408353732501</v>
      </c>
      <c r="F118" s="522">
        <f>Effort!G118</f>
        <v>-3.6964090130142688</v>
      </c>
      <c r="G118" s="381">
        <f t="shared" si="4"/>
        <v>35.606356765719347</v>
      </c>
      <c r="H118" s="226">
        <f t="shared" si="5"/>
        <v>0</v>
      </c>
      <c r="I118" s="42">
        <f t="shared" si="3"/>
        <v>0</v>
      </c>
      <c r="J118" s="29"/>
    </row>
    <row r="119" spans="1:10" x14ac:dyDescent="0.25">
      <c r="A119" s="38">
        <f>Données!A119</f>
        <v>5604</v>
      </c>
      <c r="B119" s="171" t="str">
        <f>Données!B119</f>
        <v>Forel (Lavaux)</v>
      </c>
      <c r="C119" s="353">
        <f>VPI!R119</f>
        <v>71266.170275257027</v>
      </c>
      <c r="D119" s="524">
        <f>Effort!I119</f>
        <v>15.608310245230292</v>
      </c>
      <c r="E119" s="209">
        <f>PCS!F125/Aide!C119</f>
        <v>2.6525518948172246</v>
      </c>
      <c r="F119" s="522">
        <f>Effort!G119</f>
        <v>-4.1044962458157412</v>
      </c>
      <c r="G119" s="381">
        <f t="shared" si="4"/>
        <v>22.36535838586326</v>
      </c>
      <c r="H119" s="226">
        <f t="shared" si="5"/>
        <v>0</v>
      </c>
      <c r="I119" s="42">
        <f t="shared" si="3"/>
        <v>0</v>
      </c>
      <c r="J119" s="29"/>
    </row>
    <row r="120" spans="1:10" x14ac:dyDescent="0.25">
      <c r="A120" s="38">
        <f>Données!A120</f>
        <v>5606</v>
      </c>
      <c r="B120" s="171" t="str">
        <f>Données!B120</f>
        <v>Lutry</v>
      </c>
      <c r="C120" s="353">
        <f>VPI!R120</f>
        <v>874192.86279135477</v>
      </c>
      <c r="D120" s="524">
        <f>Effort!I120</f>
        <v>32.684306626299531</v>
      </c>
      <c r="E120" s="209">
        <f>PCS!F126/Aide!C120</f>
        <v>3.2150287077678881</v>
      </c>
      <c r="F120" s="522">
        <f>Effort!G120</f>
        <v>-2.460058775113966</v>
      </c>
      <c r="G120" s="381">
        <f t="shared" si="4"/>
        <v>38.35939410918138</v>
      </c>
      <c r="H120" s="226">
        <f t="shared" si="5"/>
        <v>0</v>
      </c>
      <c r="I120" s="42">
        <f t="shared" si="3"/>
        <v>0</v>
      </c>
      <c r="J120" s="29"/>
    </row>
    <row r="121" spans="1:10" x14ac:dyDescent="0.25">
      <c r="A121" s="38">
        <f>Données!A121</f>
        <v>5607</v>
      </c>
      <c r="B121" s="171" t="str">
        <f>Données!B121</f>
        <v>Puidoux</v>
      </c>
      <c r="C121" s="353">
        <f>VPI!R121</f>
        <v>102748.27893179639</v>
      </c>
      <c r="D121" s="524">
        <f>Effort!I121</f>
        <v>12.187120831800648</v>
      </c>
      <c r="E121" s="209">
        <f>PCS!F127/Aide!C121</f>
        <v>6.2831051936989661</v>
      </c>
      <c r="F121" s="522">
        <f>Effort!G121</f>
        <v>-8.3292035186039808</v>
      </c>
      <c r="G121" s="381">
        <f t="shared" si="4"/>
        <v>26.799429544103596</v>
      </c>
      <c r="H121" s="226">
        <f t="shared" si="5"/>
        <v>0</v>
      </c>
      <c r="I121" s="42">
        <f t="shared" si="3"/>
        <v>0</v>
      </c>
      <c r="J121" s="29"/>
    </row>
    <row r="122" spans="1:10" x14ac:dyDescent="0.25">
      <c r="A122" s="38">
        <f>Données!A122</f>
        <v>5609</v>
      </c>
      <c r="B122" s="171" t="str">
        <f>Données!B122</f>
        <v>Rivaz</v>
      </c>
      <c r="C122" s="353">
        <f>VPI!R122</f>
        <v>16045.690421494986</v>
      </c>
      <c r="D122" s="524">
        <f>Effort!I122</f>
        <v>30.015970616582685</v>
      </c>
      <c r="E122" s="209">
        <f>PCS!F128/Aide!C122</f>
        <v>2.0393061401811132</v>
      </c>
      <c r="F122" s="522">
        <f>Effort!G122</f>
        <v>-1.5118445525043762</v>
      </c>
      <c r="G122" s="381">
        <f t="shared" si="4"/>
        <v>33.567121309268174</v>
      </c>
      <c r="H122" s="226">
        <f t="shared" si="5"/>
        <v>0</v>
      </c>
      <c r="I122" s="42">
        <f t="shared" si="3"/>
        <v>0</v>
      </c>
      <c r="J122" s="29"/>
    </row>
    <row r="123" spans="1:10" x14ac:dyDescent="0.25">
      <c r="A123" s="38">
        <f>Données!A123</f>
        <v>5610</v>
      </c>
      <c r="B123" s="171" t="str">
        <f>Données!B123</f>
        <v>St-Saphorin (Lavaux)</v>
      </c>
      <c r="C123" s="353">
        <f>VPI!R123</f>
        <v>19212.066388684874</v>
      </c>
      <c r="D123" s="524">
        <f>Effort!I123</f>
        <v>31.912417011198688</v>
      </c>
      <c r="E123" s="209">
        <f>PCS!F129/Aide!C123</f>
        <v>3.3272842028928569</v>
      </c>
      <c r="F123" s="522">
        <f>Effort!G123</f>
        <v>-0.31247818669971306</v>
      </c>
      <c r="G123" s="381">
        <f t="shared" si="4"/>
        <v>35.55217940079126</v>
      </c>
      <c r="H123" s="226">
        <f t="shared" si="5"/>
        <v>0</v>
      </c>
      <c r="I123" s="42">
        <f t="shared" si="3"/>
        <v>0</v>
      </c>
      <c r="J123" s="29"/>
    </row>
    <row r="124" spans="1:10" x14ac:dyDescent="0.25">
      <c r="A124" s="38">
        <f>Données!A124</f>
        <v>5611</v>
      </c>
      <c r="B124" s="171" t="str">
        <f>Données!B124</f>
        <v>Savigny</v>
      </c>
      <c r="C124" s="353">
        <f>VPI!R124</f>
        <v>136601.19868900886</v>
      </c>
      <c r="D124" s="524">
        <f>Effort!I124</f>
        <v>20.243203001460842</v>
      </c>
      <c r="E124" s="209">
        <f>PCS!F130/Aide!C124</f>
        <v>3.8577508474118618</v>
      </c>
      <c r="F124" s="522">
        <f>Effort!G124</f>
        <v>-3.7546581786124165</v>
      </c>
      <c r="G124" s="381">
        <f t="shared" si="4"/>
        <v>27.855612027485119</v>
      </c>
      <c r="H124" s="226">
        <f t="shared" si="5"/>
        <v>0</v>
      </c>
      <c r="I124" s="42">
        <f t="shared" si="3"/>
        <v>0</v>
      </c>
      <c r="J124" s="29"/>
    </row>
    <row r="125" spans="1:10" x14ac:dyDescent="0.25">
      <c r="A125" s="38">
        <f>Données!A125</f>
        <v>5613</v>
      </c>
      <c r="B125" s="171" t="str">
        <f>Données!B125</f>
        <v>Bourg-en-Lavaux</v>
      </c>
      <c r="C125" s="353">
        <f>VPI!R125</f>
        <v>343743.87305637199</v>
      </c>
      <c r="D125" s="524">
        <f>Effort!I125</f>
        <v>32.089558469813454</v>
      </c>
      <c r="E125" s="209">
        <f>PCS!F131/Aide!C125</f>
        <v>2.4881025584410654</v>
      </c>
      <c r="F125" s="522">
        <f>Effort!G125</f>
        <v>0</v>
      </c>
      <c r="G125" s="381">
        <f t="shared" si="4"/>
        <v>34.577661028254518</v>
      </c>
      <c r="H125" s="226">
        <f t="shared" si="5"/>
        <v>0</v>
      </c>
      <c r="I125" s="42">
        <f t="shared" si="3"/>
        <v>0</v>
      </c>
      <c r="J125" s="29"/>
    </row>
    <row r="126" spans="1:10" x14ac:dyDescent="0.25">
      <c r="A126" s="38">
        <f>Données!A126</f>
        <v>5621</v>
      </c>
      <c r="B126" s="171" t="str">
        <f>Données!B126</f>
        <v>Aclens</v>
      </c>
      <c r="C126" s="353">
        <f>VPI!R126</f>
        <v>32263.209585065993</v>
      </c>
      <c r="D126" s="524">
        <f>Effort!I126</f>
        <v>34.105087015782487</v>
      </c>
      <c r="E126" s="209">
        <f>PCS!F132/Aide!C126</f>
        <v>4.5281065299722307</v>
      </c>
      <c r="F126" s="522">
        <f>Effort!G126</f>
        <v>-1.2308057071911687</v>
      </c>
      <c r="G126" s="381">
        <f t="shared" si="4"/>
        <v>39.863999252945888</v>
      </c>
      <c r="H126" s="226">
        <f t="shared" si="5"/>
        <v>0</v>
      </c>
      <c r="I126" s="42">
        <f t="shared" si="3"/>
        <v>0</v>
      </c>
      <c r="J126" s="29"/>
    </row>
    <row r="127" spans="1:10" x14ac:dyDescent="0.25">
      <c r="A127" s="38">
        <f>Données!A127</f>
        <v>5622</v>
      </c>
      <c r="B127" s="171" t="str">
        <f>Données!B127</f>
        <v>Bremblens</v>
      </c>
      <c r="C127" s="353">
        <f>VPI!R127</f>
        <v>27798.843685819211</v>
      </c>
      <c r="D127" s="524">
        <f>Effort!I127</f>
        <v>31.587030131753561</v>
      </c>
      <c r="E127" s="209">
        <f>PCS!F133/Aide!C127</f>
        <v>1.9818863914870211</v>
      </c>
      <c r="F127" s="522">
        <f>Effort!G127</f>
        <v>0</v>
      </c>
      <c r="G127" s="381">
        <f t="shared" si="4"/>
        <v>33.568916523240581</v>
      </c>
      <c r="H127" s="226">
        <f t="shared" si="5"/>
        <v>0</v>
      </c>
      <c r="I127" s="42">
        <f t="shared" si="3"/>
        <v>0</v>
      </c>
      <c r="J127" s="29"/>
    </row>
    <row r="128" spans="1:10" x14ac:dyDescent="0.25">
      <c r="A128" s="38">
        <f>Données!A128</f>
        <v>5623</v>
      </c>
      <c r="B128" s="171" t="str">
        <f>Données!B128</f>
        <v>Buchillon</v>
      </c>
      <c r="C128" s="353">
        <f>VPI!R128</f>
        <v>94505.231730769228</v>
      </c>
      <c r="D128" s="524">
        <f>Effort!I128</f>
        <v>47.179744374776973</v>
      </c>
      <c r="E128" s="209">
        <f>PCS!F134/Aide!C128</f>
        <v>1.3252533505954356</v>
      </c>
      <c r="F128" s="522">
        <f>Effort!G128</f>
        <v>0</v>
      </c>
      <c r="G128" s="381">
        <f t="shared" si="4"/>
        <v>48.504997725372412</v>
      </c>
      <c r="H128" s="226">
        <f t="shared" si="5"/>
        <v>0</v>
      </c>
      <c r="I128" s="42">
        <f t="shared" si="3"/>
        <v>0</v>
      </c>
      <c r="J128" s="29"/>
    </row>
    <row r="129" spans="1:10" x14ac:dyDescent="0.25">
      <c r="A129" s="38">
        <f>Données!A129</f>
        <v>5624</v>
      </c>
      <c r="B129" s="171" t="str">
        <f>Données!B129</f>
        <v>Bussigny</v>
      </c>
      <c r="C129" s="353">
        <f>VPI!R129</f>
        <v>350915.44619957998</v>
      </c>
      <c r="D129" s="524">
        <f>Effort!I129</f>
        <v>12.367714934202745</v>
      </c>
      <c r="E129" s="209">
        <f>PCS!F135/Aide!C129</f>
        <v>4.84520909071923</v>
      </c>
      <c r="F129" s="522">
        <f>Effort!G129</f>
        <v>-3.8347461614362275</v>
      </c>
      <c r="G129" s="381">
        <f t="shared" si="4"/>
        <v>21.047670186358204</v>
      </c>
      <c r="H129" s="226">
        <f t="shared" si="5"/>
        <v>0</v>
      </c>
      <c r="I129" s="42">
        <f t="shared" si="3"/>
        <v>0</v>
      </c>
      <c r="J129" s="29"/>
    </row>
    <row r="130" spans="1:10" x14ac:dyDescent="0.25">
      <c r="A130" s="38">
        <f>Données!A130</f>
        <v>5627</v>
      </c>
      <c r="B130" s="171" t="str">
        <f>Données!B130</f>
        <v>Chavannes-près-Renens</v>
      </c>
      <c r="C130" s="353">
        <f>VPI!R130</f>
        <v>162426.10008602153</v>
      </c>
      <c r="D130" s="524">
        <f>Effort!I130</f>
        <v>-33.22320654724421</v>
      </c>
      <c r="E130" s="209">
        <f>PCS!F136/Aide!C130</f>
        <v>3.1695848433678293</v>
      </c>
      <c r="F130" s="522">
        <f>Effort!G130</f>
        <v>-9.1556738645838678</v>
      </c>
      <c r="G130" s="381">
        <f t="shared" si="4"/>
        <v>-20.897947839292513</v>
      </c>
      <c r="H130" s="226">
        <f t="shared" si="5"/>
        <v>-12.897947839292513</v>
      </c>
      <c r="I130" s="42">
        <f t="shared" si="3"/>
        <v>2094963.3666492109</v>
      </c>
      <c r="J130" s="29"/>
    </row>
    <row r="131" spans="1:10" x14ac:dyDescent="0.25">
      <c r="A131" s="38">
        <f>Données!A131</f>
        <v>5628</v>
      </c>
      <c r="B131" s="171" t="str">
        <f>Données!B131</f>
        <v>Chigny</v>
      </c>
      <c r="C131" s="353">
        <f>VPI!R131</f>
        <v>24622.507795875023</v>
      </c>
      <c r="D131" s="524">
        <f>Effort!I131</f>
        <v>35.629749414487733</v>
      </c>
      <c r="E131" s="209">
        <f>PCS!F137/Aide!C131</f>
        <v>2.6302534062289844</v>
      </c>
      <c r="F131" s="522">
        <f>Effort!G131</f>
        <v>0</v>
      </c>
      <c r="G131" s="381">
        <f t="shared" si="4"/>
        <v>38.260002820716721</v>
      </c>
      <c r="H131" s="226">
        <f t="shared" si="5"/>
        <v>0</v>
      </c>
      <c r="I131" s="42">
        <f t="shared" si="3"/>
        <v>0</v>
      </c>
      <c r="J131" s="29"/>
    </row>
    <row r="132" spans="1:10" x14ac:dyDescent="0.25">
      <c r="A132" s="38">
        <f>Données!A132</f>
        <v>5629</v>
      </c>
      <c r="B132" s="171" t="str">
        <f>Données!B132</f>
        <v>Clarmont</v>
      </c>
      <c r="C132" s="353">
        <f>VPI!R132</f>
        <v>8520.6241427524346</v>
      </c>
      <c r="D132" s="524">
        <f>Effort!I132</f>
        <v>24.601536169410004</v>
      </c>
      <c r="E132" s="209">
        <f>PCS!F138/Aide!C132</f>
        <v>0.23858874255463874</v>
      </c>
      <c r="F132" s="522">
        <f>Effort!G132</f>
        <v>-4.3048789066332995</v>
      </c>
      <c r="G132" s="381">
        <f t="shared" si="4"/>
        <v>29.145003818597942</v>
      </c>
      <c r="H132" s="226">
        <f t="shared" si="5"/>
        <v>0</v>
      </c>
      <c r="I132" s="42">
        <f t="shared" si="3"/>
        <v>0</v>
      </c>
      <c r="J132" s="29"/>
    </row>
    <row r="133" spans="1:10" x14ac:dyDescent="0.25">
      <c r="A133" s="38">
        <f>Données!A133</f>
        <v>5631</v>
      </c>
      <c r="B133" s="171" t="str">
        <f>Données!B133</f>
        <v>Denens</v>
      </c>
      <c r="C133" s="353">
        <f>VPI!R133</f>
        <v>43443.742275876699</v>
      </c>
      <c r="D133" s="524">
        <f>Effort!I133</f>
        <v>34.879032177390044</v>
      </c>
      <c r="E133" s="209">
        <f>PCS!F139/Aide!C133</f>
        <v>4.3862404576000484</v>
      </c>
      <c r="F133" s="522">
        <f>Effort!G133</f>
        <v>0</v>
      </c>
      <c r="G133" s="381">
        <f t="shared" si="4"/>
        <v>39.26527263499009</v>
      </c>
      <c r="H133" s="226">
        <f t="shared" si="5"/>
        <v>0</v>
      </c>
      <c r="I133" s="42">
        <f t="shared" si="3"/>
        <v>0</v>
      </c>
      <c r="J133" s="29"/>
    </row>
    <row r="134" spans="1:10" x14ac:dyDescent="0.25">
      <c r="A134" s="38">
        <f>Données!A134</f>
        <v>5632</v>
      </c>
      <c r="B134" s="171" t="str">
        <f>Données!B134</f>
        <v>Denges</v>
      </c>
      <c r="C134" s="353">
        <f>VPI!R134</f>
        <v>76401.256884060669</v>
      </c>
      <c r="D134" s="524">
        <f>Effort!I134</f>
        <v>26.851647135452975</v>
      </c>
      <c r="E134" s="209">
        <f>PCS!F140/Aide!C134</f>
        <v>2.7811923346032064</v>
      </c>
      <c r="F134" s="522">
        <f>Effort!G134</f>
        <v>-1.2659177694210666</v>
      </c>
      <c r="G134" s="381">
        <f t="shared" si="4"/>
        <v>30.898757239477249</v>
      </c>
      <c r="H134" s="226">
        <f t="shared" si="5"/>
        <v>0</v>
      </c>
      <c r="I134" s="42">
        <f t="shared" ref="I134:I197" si="6">-H134*C134</f>
        <v>0</v>
      </c>
      <c r="J134" s="29"/>
    </row>
    <row r="135" spans="1:10" x14ac:dyDescent="0.25">
      <c r="A135" s="38">
        <f>Données!A135</f>
        <v>5633</v>
      </c>
      <c r="B135" s="171" t="str">
        <f>Données!B135</f>
        <v>Echandens</v>
      </c>
      <c r="C135" s="353">
        <f>VPI!R135</f>
        <v>148314.25599471925</v>
      </c>
      <c r="D135" s="524">
        <f>Effort!I135</f>
        <v>26.357191306422106</v>
      </c>
      <c r="E135" s="209">
        <f>PCS!F141/Aide!C135</f>
        <v>5.2872778125112996</v>
      </c>
      <c r="F135" s="522">
        <f>Effort!G135</f>
        <v>-4.2507509463832767</v>
      </c>
      <c r="G135" s="381">
        <f t="shared" ref="G135:G198" si="7">D135+E135-F135</f>
        <v>35.895220065316678</v>
      </c>
      <c r="H135" s="226">
        <f t="shared" ref="H135:H198" si="8">IF(G135&lt;H$5,G135-H$5,0)</f>
        <v>0</v>
      </c>
      <c r="I135" s="42">
        <f t="shared" si="6"/>
        <v>0</v>
      </c>
      <c r="J135" s="29"/>
    </row>
    <row r="136" spans="1:10" x14ac:dyDescent="0.25">
      <c r="A136" s="38">
        <f>Données!A136</f>
        <v>5634</v>
      </c>
      <c r="B136" s="171" t="str">
        <f>Données!B136</f>
        <v>Echichens</v>
      </c>
      <c r="C136" s="353">
        <f>VPI!R136</f>
        <v>164062.1340206177</v>
      </c>
      <c r="D136" s="524">
        <f>Effort!I136</f>
        <v>29.968171972644285</v>
      </c>
      <c r="E136" s="209">
        <f>PCS!F142/Aide!C136</f>
        <v>2.5956222777553548</v>
      </c>
      <c r="F136" s="522">
        <f>Effort!G136</f>
        <v>0</v>
      </c>
      <c r="G136" s="381">
        <f t="shared" si="7"/>
        <v>32.563794250399638</v>
      </c>
      <c r="H136" s="226">
        <f t="shared" si="8"/>
        <v>0</v>
      </c>
      <c r="I136" s="42">
        <f t="shared" si="6"/>
        <v>0</v>
      </c>
      <c r="J136" s="29"/>
    </row>
    <row r="137" spans="1:10" x14ac:dyDescent="0.25">
      <c r="A137" s="38">
        <f>Données!A137</f>
        <v>5635</v>
      </c>
      <c r="B137" s="171" t="str">
        <f>Données!B137</f>
        <v>Ecublens</v>
      </c>
      <c r="C137" s="353">
        <f>VPI!R137</f>
        <v>502164.08712629444</v>
      </c>
      <c r="D137" s="524">
        <f>Effort!I137</f>
        <v>8.5743996029639185</v>
      </c>
      <c r="E137" s="209">
        <f>PCS!F143/Aide!C137</f>
        <v>4.3860745152133171</v>
      </c>
      <c r="F137" s="522">
        <f>Effort!G137</f>
        <v>-6.2161752647539785</v>
      </c>
      <c r="G137" s="381">
        <f t="shared" si="7"/>
        <v>19.176649382931213</v>
      </c>
      <c r="H137" s="226">
        <f t="shared" si="8"/>
        <v>0</v>
      </c>
      <c r="I137" s="42">
        <f t="shared" si="6"/>
        <v>0</v>
      </c>
      <c r="J137" s="29"/>
    </row>
    <row r="138" spans="1:10" x14ac:dyDescent="0.25">
      <c r="A138" s="38">
        <f>Données!A138</f>
        <v>5636</v>
      </c>
      <c r="B138" s="171" t="str">
        <f>Données!B138</f>
        <v>Etoy</v>
      </c>
      <c r="C138" s="353">
        <f>VPI!R138</f>
        <v>170184.11203181112</v>
      </c>
      <c r="D138" s="524">
        <f>Effort!I138</f>
        <v>31.980418591134125</v>
      </c>
      <c r="E138" s="209">
        <f>PCS!F144/Aide!C138</f>
        <v>3.9662974524544783</v>
      </c>
      <c r="F138" s="522">
        <f>Effort!G138</f>
        <v>0</v>
      </c>
      <c r="G138" s="381">
        <f t="shared" si="7"/>
        <v>35.946716043588602</v>
      </c>
      <c r="H138" s="226">
        <f t="shared" si="8"/>
        <v>0</v>
      </c>
      <c r="I138" s="42">
        <f t="shared" si="6"/>
        <v>0</v>
      </c>
      <c r="J138" s="29"/>
    </row>
    <row r="139" spans="1:10" x14ac:dyDescent="0.25">
      <c r="A139" s="38">
        <f>Données!A139</f>
        <v>5637</v>
      </c>
      <c r="B139" s="171" t="str">
        <f>Données!B139</f>
        <v>Lavigny</v>
      </c>
      <c r="C139" s="353">
        <f>VPI!R139</f>
        <v>41191.053632524527</v>
      </c>
      <c r="D139" s="524">
        <f>Effort!I139</f>
        <v>24.323857919119554</v>
      </c>
      <c r="E139" s="209">
        <f>PCS!F145/Aide!C139</f>
        <v>4.3419407669334396</v>
      </c>
      <c r="F139" s="522">
        <f>Effort!G139</f>
        <v>-3.5893213493357177</v>
      </c>
      <c r="G139" s="381">
        <f t="shared" si="7"/>
        <v>32.255120035388714</v>
      </c>
      <c r="H139" s="226">
        <f t="shared" si="8"/>
        <v>0</v>
      </c>
      <c r="I139" s="42">
        <f t="shared" si="6"/>
        <v>0</v>
      </c>
      <c r="J139" s="29"/>
    </row>
    <row r="140" spans="1:10" x14ac:dyDescent="0.25">
      <c r="A140" s="38">
        <f>Données!A140</f>
        <v>5638</v>
      </c>
      <c r="B140" s="171" t="str">
        <f>Données!B140</f>
        <v>Lonay</v>
      </c>
      <c r="C140" s="353">
        <f>VPI!R140</f>
        <v>145471.80629203771</v>
      </c>
      <c r="D140" s="524">
        <f>Effort!I140</f>
        <v>27.335242672040664</v>
      </c>
      <c r="E140" s="209">
        <f>PCS!F146/Aide!C140</f>
        <v>7.8906602197241567</v>
      </c>
      <c r="F140" s="522">
        <f>Effort!G140</f>
        <v>-3.2086039497628867</v>
      </c>
      <c r="G140" s="381">
        <f t="shared" si="7"/>
        <v>38.434506841527707</v>
      </c>
      <c r="H140" s="226">
        <f t="shared" si="8"/>
        <v>0</v>
      </c>
      <c r="I140" s="42">
        <f t="shared" si="6"/>
        <v>0</v>
      </c>
      <c r="J140" s="29"/>
    </row>
    <row r="141" spans="1:10" x14ac:dyDescent="0.25">
      <c r="A141" s="38">
        <f>Données!A141</f>
        <v>5639</v>
      </c>
      <c r="B141" s="171" t="str">
        <f>Données!B141</f>
        <v>Lully</v>
      </c>
      <c r="C141" s="353">
        <f>VPI!R141</f>
        <v>45737.117540983607</v>
      </c>
      <c r="D141" s="524">
        <f>Effort!I141</f>
        <v>33.562959637168774</v>
      </c>
      <c r="E141" s="209">
        <f>PCS!F147/Aide!C141</f>
        <v>1.7670814066404301</v>
      </c>
      <c r="F141" s="522">
        <f>Effort!G141</f>
        <v>0</v>
      </c>
      <c r="G141" s="381">
        <f t="shared" si="7"/>
        <v>35.330041043809203</v>
      </c>
      <c r="H141" s="226">
        <f t="shared" si="8"/>
        <v>0</v>
      </c>
      <c r="I141" s="42">
        <f t="shared" si="6"/>
        <v>0</v>
      </c>
      <c r="J141" s="29"/>
    </row>
    <row r="142" spans="1:10" x14ac:dyDescent="0.25">
      <c r="A142" s="38">
        <f>Données!A142</f>
        <v>5640</v>
      </c>
      <c r="B142" s="171" t="str">
        <f>Données!B142</f>
        <v>Lussy-sur-Morges</v>
      </c>
      <c r="C142" s="353">
        <f>VPI!R142</f>
        <v>57022.810752581783</v>
      </c>
      <c r="D142" s="524">
        <f>Effort!I142</f>
        <v>40.452075449104434</v>
      </c>
      <c r="E142" s="209">
        <f>PCS!F148/Aide!C142</f>
        <v>3.0866253816159182</v>
      </c>
      <c r="F142" s="522">
        <f>Effort!G142</f>
        <v>0</v>
      </c>
      <c r="G142" s="381">
        <f t="shared" si="7"/>
        <v>43.538700830720352</v>
      </c>
      <c r="H142" s="226">
        <f t="shared" si="8"/>
        <v>0</v>
      </c>
      <c r="I142" s="42">
        <f t="shared" si="6"/>
        <v>0</v>
      </c>
      <c r="J142" s="29"/>
    </row>
    <row r="143" spans="1:10" x14ac:dyDescent="0.25">
      <c r="A143" s="38">
        <f>Données!A143</f>
        <v>5642</v>
      </c>
      <c r="B143" s="171" t="str">
        <f>Données!B143</f>
        <v>Morges</v>
      </c>
      <c r="C143" s="353">
        <f>VPI!R143</f>
        <v>872528.88072343986</v>
      </c>
      <c r="D143" s="524">
        <f>Effort!I143</f>
        <v>22.54211252416016</v>
      </c>
      <c r="E143" s="209">
        <f>PCS!F149/Aide!C143</f>
        <v>3.5684717936424355</v>
      </c>
      <c r="F143" s="522">
        <f>Effort!G143</f>
        <v>-0.7816356922121529</v>
      </c>
      <c r="G143" s="381">
        <f t="shared" si="7"/>
        <v>26.892220010014746</v>
      </c>
      <c r="H143" s="226">
        <f t="shared" si="8"/>
        <v>0</v>
      </c>
      <c r="I143" s="42">
        <f t="shared" si="6"/>
        <v>0</v>
      </c>
      <c r="J143" s="29"/>
    </row>
    <row r="144" spans="1:10" x14ac:dyDescent="0.25">
      <c r="A144" s="38">
        <f>Données!A144</f>
        <v>5643</v>
      </c>
      <c r="B144" s="171" t="str">
        <f>Données!B144</f>
        <v>Préverenges</v>
      </c>
      <c r="C144" s="353">
        <f>VPI!R144</f>
        <v>262179.27559609117</v>
      </c>
      <c r="D144" s="524">
        <f>Effort!I144</f>
        <v>27.267368490995118</v>
      </c>
      <c r="E144" s="209">
        <f>PCS!F150/Aide!C144</f>
        <v>1.7874166214493372</v>
      </c>
      <c r="F144" s="522">
        <f>Effort!G144</f>
        <v>0</v>
      </c>
      <c r="G144" s="381">
        <f t="shared" si="7"/>
        <v>29.054785112444456</v>
      </c>
      <c r="H144" s="226">
        <f t="shared" si="8"/>
        <v>0</v>
      </c>
      <c r="I144" s="42">
        <f t="shared" si="6"/>
        <v>0</v>
      </c>
      <c r="J144" s="29"/>
    </row>
    <row r="145" spans="1:10" x14ac:dyDescent="0.25">
      <c r="A145" s="38">
        <f>Données!A145</f>
        <v>5645</v>
      </c>
      <c r="B145" s="171" t="str">
        <f>Données!B145</f>
        <v>Romanel-sur-Morges</v>
      </c>
      <c r="C145" s="353">
        <f>VPI!R145</f>
        <v>27311.487285492814</v>
      </c>
      <c r="D145" s="524">
        <f>Effort!I145</f>
        <v>31.760843936803628</v>
      </c>
      <c r="E145" s="209">
        <f>PCS!F151/Aide!C145</f>
        <v>3.6802569171467341</v>
      </c>
      <c r="F145" s="522">
        <f>Effort!G145</f>
        <v>-2.5626882035172249</v>
      </c>
      <c r="G145" s="381">
        <f t="shared" si="7"/>
        <v>38.003789057467586</v>
      </c>
      <c r="H145" s="226">
        <f t="shared" si="8"/>
        <v>0</v>
      </c>
      <c r="I145" s="42">
        <f t="shared" si="6"/>
        <v>0</v>
      </c>
      <c r="J145" s="29"/>
    </row>
    <row r="146" spans="1:10" x14ac:dyDescent="0.25">
      <c r="A146" s="38">
        <f>Données!A146</f>
        <v>5646</v>
      </c>
      <c r="B146" s="171" t="str">
        <f>Données!B146</f>
        <v>Saint-Prex</v>
      </c>
      <c r="C146" s="353">
        <f>VPI!R146</f>
        <v>536854.93998205999</v>
      </c>
      <c r="D146" s="524">
        <f>Effort!I146</f>
        <v>38.386432709369117</v>
      </c>
      <c r="E146" s="209">
        <f>PCS!F152/Aide!C146</f>
        <v>2.7274921136963579</v>
      </c>
      <c r="F146" s="522">
        <f>Effort!G146</f>
        <v>0</v>
      </c>
      <c r="G146" s="381">
        <f t="shared" si="7"/>
        <v>41.113924823065474</v>
      </c>
      <c r="H146" s="226">
        <f t="shared" si="8"/>
        <v>0</v>
      </c>
      <c r="I146" s="42">
        <f t="shared" si="6"/>
        <v>0</v>
      </c>
      <c r="J146" s="29"/>
    </row>
    <row r="147" spans="1:10" x14ac:dyDescent="0.25">
      <c r="A147" s="38">
        <f>Données!A147</f>
        <v>5648</v>
      </c>
      <c r="B147" s="171" t="str">
        <f>Données!B147</f>
        <v>Saint-Sulpice</v>
      </c>
      <c r="C147" s="353">
        <f>VPI!R147</f>
        <v>395932.06546066038</v>
      </c>
      <c r="D147" s="524">
        <f>Effort!I147</f>
        <v>36.500079515551164</v>
      </c>
      <c r="E147" s="209">
        <f>PCS!F153/Aide!C147</f>
        <v>2.1734089129628762</v>
      </c>
      <c r="F147" s="522">
        <f>Effort!G147</f>
        <v>0</v>
      </c>
      <c r="G147" s="381">
        <f t="shared" si="7"/>
        <v>38.673488428514041</v>
      </c>
      <c r="H147" s="226">
        <f t="shared" si="8"/>
        <v>0</v>
      </c>
      <c r="I147" s="42">
        <f t="shared" si="6"/>
        <v>0</v>
      </c>
      <c r="J147" s="29"/>
    </row>
    <row r="148" spans="1:10" x14ac:dyDescent="0.25">
      <c r="A148" s="38">
        <f>Données!A148</f>
        <v>5649</v>
      </c>
      <c r="B148" s="171" t="str">
        <f>Données!B148</f>
        <v>Tolochenaz</v>
      </c>
      <c r="C148" s="353">
        <f>VPI!R148</f>
        <v>197599.65546190951</v>
      </c>
      <c r="D148" s="524">
        <f>Effort!I148</f>
        <v>44.844592737779749</v>
      </c>
      <c r="E148" s="209">
        <f>PCS!F154/Aide!C148</f>
        <v>1.8037660246260214</v>
      </c>
      <c r="F148" s="522">
        <f>Effort!G148</f>
        <v>0</v>
      </c>
      <c r="G148" s="381">
        <f t="shared" si="7"/>
        <v>46.648358762405771</v>
      </c>
      <c r="H148" s="226">
        <f t="shared" si="8"/>
        <v>0</v>
      </c>
      <c r="I148" s="42">
        <f t="shared" si="6"/>
        <v>0</v>
      </c>
      <c r="J148" s="29"/>
    </row>
    <row r="149" spans="1:10" x14ac:dyDescent="0.25">
      <c r="A149" s="38">
        <f>Données!A149</f>
        <v>5650</v>
      </c>
      <c r="B149" s="171" t="str">
        <f>Données!B149</f>
        <v>Vaux-sur-Morges</v>
      </c>
      <c r="C149" s="353">
        <f>VPI!R149</f>
        <v>63000.299031725983</v>
      </c>
      <c r="D149" s="524">
        <f>Effort!I149</f>
        <v>59.251576268798814</v>
      </c>
      <c r="E149" s="209">
        <f>PCS!F155/Aide!C149</f>
        <v>0.30699497140894971</v>
      </c>
      <c r="F149" s="522">
        <f>Effort!G149</f>
        <v>0</v>
      </c>
      <c r="G149" s="381">
        <f t="shared" si="7"/>
        <v>59.558571240207762</v>
      </c>
      <c r="H149" s="226">
        <f t="shared" si="8"/>
        <v>0</v>
      </c>
      <c r="I149" s="42">
        <f t="shared" si="6"/>
        <v>0</v>
      </c>
      <c r="J149" s="29"/>
    </row>
    <row r="150" spans="1:10" x14ac:dyDescent="0.25">
      <c r="A150" s="38">
        <f>Données!A150</f>
        <v>5651</v>
      </c>
      <c r="B150" s="171" t="str">
        <f>Données!B150</f>
        <v>Villars-Sainte-Croix</v>
      </c>
      <c r="C150" s="353">
        <f>VPI!R150</f>
        <v>55609.921242717981</v>
      </c>
      <c r="D150" s="524">
        <f>Effort!I150</f>
        <v>34.371431262971619</v>
      </c>
      <c r="E150" s="209">
        <f>PCS!F156/Aide!C150</f>
        <v>3.5393063971615186</v>
      </c>
      <c r="F150" s="522">
        <f>Effort!G150</f>
        <v>0</v>
      </c>
      <c r="G150" s="381">
        <f t="shared" si="7"/>
        <v>37.910737660133137</v>
      </c>
      <c r="H150" s="226">
        <f t="shared" si="8"/>
        <v>0</v>
      </c>
      <c r="I150" s="42">
        <f t="shared" si="6"/>
        <v>0</v>
      </c>
      <c r="J150" s="29"/>
    </row>
    <row r="151" spans="1:10" x14ac:dyDescent="0.25">
      <c r="A151" s="38">
        <f>Données!A151</f>
        <v>5652</v>
      </c>
      <c r="B151" s="171" t="str">
        <f>Données!B151</f>
        <v>Villars-sous-Yens</v>
      </c>
      <c r="C151" s="353">
        <f>VPI!R151</f>
        <v>25655.145757874605</v>
      </c>
      <c r="D151" s="524">
        <f>Effort!I151</f>
        <v>27.774096200474546</v>
      </c>
      <c r="E151" s="209">
        <f>PCS!F157/Aide!C151</f>
        <v>3.2965106025188446</v>
      </c>
      <c r="F151" s="522">
        <f>Effort!G151</f>
        <v>-0.54471042903597577</v>
      </c>
      <c r="G151" s="381">
        <f t="shared" si="7"/>
        <v>31.615317232029366</v>
      </c>
      <c r="H151" s="226">
        <f t="shared" si="8"/>
        <v>0</v>
      </c>
      <c r="I151" s="42">
        <f t="shared" si="6"/>
        <v>0</v>
      </c>
      <c r="J151" s="29"/>
    </row>
    <row r="152" spans="1:10" x14ac:dyDescent="0.25">
      <c r="A152" s="38">
        <f>Données!A152</f>
        <v>5653</v>
      </c>
      <c r="B152" s="171" t="str">
        <f>Données!B152</f>
        <v>Vufflens-le-Château</v>
      </c>
      <c r="C152" s="353">
        <f>VPI!R152</f>
        <v>68766.939221326931</v>
      </c>
      <c r="D152" s="524">
        <f>Effort!I152</f>
        <v>39.526988311110223</v>
      </c>
      <c r="E152" s="209">
        <f>PCS!F158/Aide!C152</f>
        <v>2.6198579148645087</v>
      </c>
      <c r="F152" s="522">
        <f>Effort!G152</f>
        <v>0</v>
      </c>
      <c r="G152" s="381">
        <f t="shared" si="7"/>
        <v>42.146846225974734</v>
      </c>
      <c r="H152" s="226">
        <f t="shared" si="8"/>
        <v>0</v>
      </c>
      <c r="I152" s="42">
        <f t="shared" si="6"/>
        <v>0</v>
      </c>
      <c r="J152" s="29"/>
    </row>
    <row r="153" spans="1:10" x14ac:dyDescent="0.25">
      <c r="A153" s="38">
        <f>Données!A153</f>
        <v>5654</v>
      </c>
      <c r="B153" s="171" t="str">
        <f>Données!B153</f>
        <v>Vullierens</v>
      </c>
      <c r="C153" s="353">
        <f>VPI!R153</f>
        <v>19265.305994004091</v>
      </c>
      <c r="D153" s="524">
        <f>Effort!I153</f>
        <v>22.059682025880051</v>
      </c>
      <c r="E153" s="209">
        <f>PCS!F159/Aide!C153</f>
        <v>4.2046827610841424</v>
      </c>
      <c r="F153" s="522">
        <f>Effort!G153</f>
        <v>-1.3081891377079209</v>
      </c>
      <c r="G153" s="381">
        <f t="shared" si="7"/>
        <v>27.572553924672114</v>
      </c>
      <c r="H153" s="226">
        <f t="shared" si="8"/>
        <v>0</v>
      </c>
      <c r="I153" s="42">
        <f t="shared" si="6"/>
        <v>0</v>
      </c>
      <c r="J153" s="29"/>
    </row>
    <row r="154" spans="1:10" x14ac:dyDescent="0.25">
      <c r="A154" s="38">
        <f>Données!A154</f>
        <v>5655</v>
      </c>
      <c r="B154" s="171" t="str">
        <f>Données!B154</f>
        <v>Yens</v>
      </c>
      <c r="C154" s="353">
        <f>VPI!R154</f>
        <v>90850.412022589255</v>
      </c>
      <c r="D154" s="524">
        <f>Effort!I154</f>
        <v>34.797999653755596</v>
      </c>
      <c r="E154" s="209">
        <f>PCS!F160/Aide!C154</f>
        <v>2.5816888969274192</v>
      </c>
      <c r="F154" s="522">
        <f>Effort!G154</f>
        <v>0</v>
      </c>
      <c r="G154" s="381">
        <f t="shared" si="7"/>
        <v>37.379688550683014</v>
      </c>
      <c r="H154" s="226">
        <f t="shared" si="8"/>
        <v>0</v>
      </c>
      <c r="I154" s="42">
        <f t="shared" si="6"/>
        <v>0</v>
      </c>
      <c r="J154" s="29"/>
    </row>
    <row r="155" spans="1:10" x14ac:dyDescent="0.25">
      <c r="A155" s="38">
        <f>Données!A155</f>
        <v>5656</v>
      </c>
      <c r="B155" s="171" t="str">
        <f>Données!B155</f>
        <v>Hautemorges</v>
      </c>
      <c r="C155" s="353">
        <f>VPI!R155</f>
        <v>160995.06048587704</v>
      </c>
      <c r="D155" s="524">
        <f>Effort!I155</f>
        <v>21.421482186061027</v>
      </c>
      <c r="E155" s="209">
        <f>PCS!F161/Aide!C155</f>
        <v>2.0748417311182221</v>
      </c>
      <c r="F155" s="522">
        <f>Effort!G155</f>
        <v>0</v>
      </c>
      <c r="G155" s="381">
        <f t="shared" si="7"/>
        <v>23.49632391717925</v>
      </c>
      <c r="H155" s="226">
        <f t="shared" si="8"/>
        <v>0</v>
      </c>
      <c r="I155" s="42">
        <f t="shared" si="6"/>
        <v>0</v>
      </c>
      <c r="J155" s="29"/>
    </row>
    <row r="156" spans="1:10" x14ac:dyDescent="0.25">
      <c r="A156" s="38">
        <f>Données!A156</f>
        <v>5661</v>
      </c>
      <c r="B156" s="171" t="str">
        <f>Données!B156</f>
        <v>Boulens</v>
      </c>
      <c r="C156" s="353">
        <f>VPI!R156</f>
        <v>10163.82569082424</v>
      </c>
      <c r="D156" s="524">
        <f>Effort!I156</f>
        <v>14.095302305094293</v>
      </c>
      <c r="E156" s="209">
        <f>PCS!F162/Aide!C156</f>
        <v>1.6868313685739376</v>
      </c>
      <c r="F156" s="522">
        <f>Effort!G156</f>
        <v>-1.3447082966230461</v>
      </c>
      <c r="G156" s="381">
        <f t="shared" si="7"/>
        <v>17.126841970291277</v>
      </c>
      <c r="H156" s="226">
        <f t="shared" si="8"/>
        <v>0</v>
      </c>
      <c r="I156" s="42">
        <f t="shared" si="6"/>
        <v>0</v>
      </c>
      <c r="J156" s="29"/>
    </row>
    <row r="157" spans="1:10" x14ac:dyDescent="0.25">
      <c r="A157" s="38">
        <f>Données!A157</f>
        <v>5663</v>
      </c>
      <c r="B157" s="171" t="str">
        <f>Données!B157</f>
        <v>Bussy-sur-Moudon</v>
      </c>
      <c r="C157" s="353">
        <f>VPI!R157</f>
        <v>5406.7758852371026</v>
      </c>
      <c r="D157" s="524">
        <f>Effort!I157</f>
        <v>6.4806959977672598</v>
      </c>
      <c r="E157" s="209">
        <f>PCS!F163/Aide!C157</f>
        <v>1.9607572470215491</v>
      </c>
      <c r="F157" s="522">
        <f>Effort!G157</f>
        <v>0</v>
      </c>
      <c r="G157" s="381">
        <f t="shared" si="7"/>
        <v>8.4414532447888089</v>
      </c>
      <c r="H157" s="226">
        <f t="shared" si="8"/>
        <v>0</v>
      </c>
      <c r="I157" s="42">
        <f t="shared" si="6"/>
        <v>0</v>
      </c>
      <c r="J157" s="29"/>
    </row>
    <row r="158" spans="1:10" x14ac:dyDescent="0.25">
      <c r="A158" s="38">
        <f>Données!A158</f>
        <v>5665</v>
      </c>
      <c r="B158" s="171" t="str">
        <f>Données!B158</f>
        <v>Chavannes-sur-Moudon</v>
      </c>
      <c r="C158" s="353">
        <f>VPI!R158</f>
        <v>6834.7640808977276</v>
      </c>
      <c r="D158" s="524">
        <f>Effort!I158</f>
        <v>18.58959550509848</v>
      </c>
      <c r="E158" s="209">
        <f>PCS!F164/Aide!C158</f>
        <v>3.8726940223112098</v>
      </c>
      <c r="F158" s="522">
        <f>Effort!G158</f>
        <v>-0.33679683922965081</v>
      </c>
      <c r="G158" s="381">
        <f t="shared" si="7"/>
        <v>22.79908636663934</v>
      </c>
      <c r="H158" s="226">
        <f t="shared" si="8"/>
        <v>0</v>
      </c>
      <c r="I158" s="42">
        <f t="shared" si="6"/>
        <v>0</v>
      </c>
      <c r="J158" s="29"/>
    </row>
    <row r="159" spans="1:10" x14ac:dyDescent="0.25">
      <c r="A159" s="38">
        <f>Données!A159</f>
        <v>5669</v>
      </c>
      <c r="B159" s="171" t="str">
        <f>Données!B159</f>
        <v>Curtilles</v>
      </c>
      <c r="C159" s="353">
        <f>VPI!R159</f>
        <v>10284.99372876246</v>
      </c>
      <c r="D159" s="524">
        <f>Effort!I159</f>
        <v>22.648038054907836</v>
      </c>
      <c r="E159" s="209">
        <f>PCS!F165/Aide!C159</f>
        <v>1.5709683861853103</v>
      </c>
      <c r="F159" s="522">
        <f>Effort!G159</f>
        <v>0</v>
      </c>
      <c r="G159" s="381">
        <f t="shared" si="7"/>
        <v>24.219006441093146</v>
      </c>
      <c r="H159" s="226">
        <f t="shared" si="8"/>
        <v>0</v>
      </c>
      <c r="I159" s="42">
        <f t="shared" si="6"/>
        <v>0</v>
      </c>
      <c r="J159" s="29"/>
    </row>
    <row r="160" spans="1:10" x14ac:dyDescent="0.25">
      <c r="A160" s="38">
        <f>Données!A160</f>
        <v>5671</v>
      </c>
      <c r="B160" s="171" t="str">
        <f>Données!B160</f>
        <v>Dompierre</v>
      </c>
      <c r="C160" s="353">
        <f>VPI!R160</f>
        <v>6033.0922485669453</v>
      </c>
      <c r="D160" s="524">
        <f>Effort!I160</f>
        <v>-0.32945851769701662</v>
      </c>
      <c r="E160" s="209">
        <f>PCS!F166/Aide!C160</f>
        <v>4.8317386505940041</v>
      </c>
      <c r="F160" s="522">
        <f>Effort!G160</f>
        <v>-7.7785063737000462</v>
      </c>
      <c r="G160" s="381">
        <f t="shared" si="7"/>
        <v>12.280786506597034</v>
      </c>
      <c r="H160" s="226">
        <f t="shared" si="8"/>
        <v>0</v>
      </c>
      <c r="I160" s="42">
        <f t="shared" si="6"/>
        <v>0</v>
      </c>
      <c r="J160" s="29"/>
    </row>
    <row r="161" spans="1:10" x14ac:dyDescent="0.25">
      <c r="A161" s="38">
        <f>Données!A161</f>
        <v>5673</v>
      </c>
      <c r="B161" s="171" t="str">
        <f>Données!B161</f>
        <v>Hermenches</v>
      </c>
      <c r="C161" s="353">
        <f>VPI!R161</f>
        <v>10638.00475305371</v>
      </c>
      <c r="D161" s="524">
        <f>Effort!I161</f>
        <v>9.7694334430977836</v>
      </c>
      <c r="E161" s="209">
        <f>PCS!F167/Aide!C161</f>
        <v>1.3243390397955832</v>
      </c>
      <c r="F161" s="522">
        <f>Effort!G161</f>
        <v>-5.1202710641064186</v>
      </c>
      <c r="G161" s="381">
        <f t="shared" si="7"/>
        <v>16.214043546999786</v>
      </c>
      <c r="H161" s="226">
        <f t="shared" si="8"/>
        <v>0</v>
      </c>
      <c r="I161" s="42">
        <f t="shared" si="6"/>
        <v>0</v>
      </c>
      <c r="J161" s="29"/>
    </row>
    <row r="162" spans="1:10" x14ac:dyDescent="0.25">
      <c r="A162" s="38">
        <f>Données!A162</f>
        <v>5674</v>
      </c>
      <c r="B162" s="171" t="str">
        <f>Données!B162</f>
        <v>Lovatens</v>
      </c>
      <c r="C162" s="353">
        <f>VPI!R162</f>
        <v>3430.6671539886806</v>
      </c>
      <c r="D162" s="524">
        <f>Effort!I162</f>
        <v>-0.53581074646487536</v>
      </c>
      <c r="E162" s="209">
        <f>PCS!F168/Aide!C162</f>
        <v>11.007829761652419</v>
      </c>
      <c r="F162" s="522">
        <f>Effort!G162</f>
        <v>-8.6811823296356359</v>
      </c>
      <c r="G162" s="381">
        <f t="shared" si="7"/>
        <v>19.153201344823181</v>
      </c>
      <c r="H162" s="226">
        <f t="shared" si="8"/>
        <v>0</v>
      </c>
      <c r="I162" s="42">
        <f t="shared" si="6"/>
        <v>0</v>
      </c>
      <c r="J162" s="29"/>
    </row>
    <row r="163" spans="1:10" x14ac:dyDescent="0.25">
      <c r="A163" s="38">
        <f>Données!A163</f>
        <v>5675</v>
      </c>
      <c r="B163" s="171" t="str">
        <f>Données!B163</f>
        <v>Lucens</v>
      </c>
      <c r="C163" s="353">
        <f>VPI!R163</f>
        <v>96952.062979645387</v>
      </c>
      <c r="D163" s="524">
        <f>Effort!I163</f>
        <v>-6.5375128876159714</v>
      </c>
      <c r="E163" s="209">
        <f>PCS!F169/Aide!C163</f>
        <v>2.6799783523384124</v>
      </c>
      <c r="F163" s="522">
        <f>Effort!G163</f>
        <v>-6.0022201099970465</v>
      </c>
      <c r="G163" s="381">
        <f t="shared" si="7"/>
        <v>2.1446855747194875</v>
      </c>
      <c r="H163" s="226">
        <f t="shared" si="8"/>
        <v>0</v>
      </c>
      <c r="I163" s="42">
        <f t="shared" si="6"/>
        <v>0</v>
      </c>
      <c r="J163" s="29"/>
    </row>
    <row r="164" spans="1:10" x14ac:dyDescent="0.25">
      <c r="A164" s="38">
        <f>Données!A164</f>
        <v>5678</v>
      </c>
      <c r="B164" s="171" t="str">
        <f>Données!B164</f>
        <v>Moudon</v>
      </c>
      <c r="C164" s="353">
        <f>VPI!R164</f>
        <v>124861.70956096463</v>
      </c>
      <c r="D164" s="524">
        <f>Effort!I164</f>
        <v>-22.272576166253245</v>
      </c>
      <c r="E164" s="209">
        <f>PCS!F170/Aide!C164</f>
        <v>5.2728713815866932</v>
      </c>
      <c r="F164" s="522">
        <f>Effort!G164</f>
        <v>-9.801057080967599</v>
      </c>
      <c r="G164" s="381">
        <f t="shared" si="7"/>
        <v>-7.1986477036989527</v>
      </c>
      <c r="H164" s="226">
        <f t="shared" si="8"/>
        <v>0</v>
      </c>
      <c r="I164" s="42">
        <f t="shared" si="6"/>
        <v>0</v>
      </c>
      <c r="J164" s="29"/>
    </row>
    <row r="165" spans="1:10" x14ac:dyDescent="0.25">
      <c r="A165" s="38">
        <f>Données!A165</f>
        <v>5680</v>
      </c>
      <c r="B165" s="171" t="str">
        <f>Données!B165</f>
        <v>Ogens</v>
      </c>
      <c r="C165" s="353">
        <f>VPI!R165</f>
        <v>8674.1647445530853</v>
      </c>
      <c r="D165" s="524">
        <f>Effort!I165</f>
        <v>14.10274471224978</v>
      </c>
      <c r="E165" s="209">
        <f>PCS!F171/Aide!C165</f>
        <v>5.9318564398157543</v>
      </c>
      <c r="F165" s="522">
        <f>Effort!G165</f>
        <v>-0.71123579310148866</v>
      </c>
      <c r="G165" s="381">
        <f t="shared" si="7"/>
        <v>20.745836945167021</v>
      </c>
      <c r="H165" s="226">
        <f t="shared" si="8"/>
        <v>0</v>
      </c>
      <c r="I165" s="42">
        <f t="shared" si="6"/>
        <v>0</v>
      </c>
      <c r="J165" s="29"/>
    </row>
    <row r="166" spans="1:10" x14ac:dyDescent="0.25">
      <c r="A166" s="38">
        <f>Données!A166</f>
        <v>5683</v>
      </c>
      <c r="B166" s="171" t="str">
        <f>Données!B166</f>
        <v>Prévonloup</v>
      </c>
      <c r="C166" s="353">
        <f>VPI!R166</f>
        <v>5010.6526896551723</v>
      </c>
      <c r="D166" s="524">
        <f>Effort!I166</f>
        <v>10.666134004683578</v>
      </c>
      <c r="E166" s="209">
        <f>PCS!F172/Aide!C166</f>
        <v>0.43578155087621323</v>
      </c>
      <c r="F166" s="522">
        <f>Effort!G166</f>
        <v>0</v>
      </c>
      <c r="G166" s="381">
        <f t="shared" si="7"/>
        <v>11.10191555555979</v>
      </c>
      <c r="H166" s="226">
        <f t="shared" si="8"/>
        <v>0</v>
      </c>
      <c r="I166" s="42">
        <f t="shared" si="6"/>
        <v>0</v>
      </c>
      <c r="J166" s="29"/>
    </row>
    <row r="167" spans="1:10" x14ac:dyDescent="0.25">
      <c r="A167" s="38">
        <f>Données!A167</f>
        <v>5684</v>
      </c>
      <c r="B167" s="171" t="str">
        <f>Données!B167</f>
        <v>Rossenges</v>
      </c>
      <c r="C167" s="353">
        <f>VPI!R167</f>
        <v>4335.3702000000012</v>
      </c>
      <c r="D167" s="524">
        <f>Effort!I167</f>
        <v>32.935110682338461</v>
      </c>
      <c r="E167" s="209">
        <f>PCS!F173/Aide!C167</f>
        <v>0</v>
      </c>
      <c r="F167" s="522">
        <f>Effort!G167</f>
        <v>0</v>
      </c>
      <c r="G167" s="381">
        <f t="shared" si="7"/>
        <v>32.935110682338461</v>
      </c>
      <c r="H167" s="226">
        <f t="shared" si="8"/>
        <v>0</v>
      </c>
      <c r="I167" s="42">
        <f t="shared" si="6"/>
        <v>0</v>
      </c>
      <c r="J167" s="29"/>
    </row>
    <row r="168" spans="1:10" x14ac:dyDescent="0.25">
      <c r="A168" s="38">
        <f>Données!A168</f>
        <v>5688</v>
      </c>
      <c r="B168" s="171" t="str">
        <f>Données!B168</f>
        <v>Syens</v>
      </c>
      <c r="C168" s="353">
        <f>VPI!R168</f>
        <v>5090.9474673292525</v>
      </c>
      <c r="D168" s="524">
        <f>Effort!I168</f>
        <v>18.548703730628421</v>
      </c>
      <c r="E168" s="209">
        <f>PCS!F174/Aide!C168</f>
        <v>3.9923806188207709E-3</v>
      </c>
      <c r="F168" s="522">
        <f>Effort!G168</f>
        <v>-1.934672329508736</v>
      </c>
      <c r="G168" s="381">
        <f t="shared" si="7"/>
        <v>20.487368440755979</v>
      </c>
      <c r="H168" s="226">
        <f t="shared" si="8"/>
        <v>0</v>
      </c>
      <c r="I168" s="42">
        <f t="shared" si="6"/>
        <v>0</v>
      </c>
      <c r="J168" s="29"/>
    </row>
    <row r="169" spans="1:10" x14ac:dyDescent="0.25">
      <c r="A169" s="38">
        <f>Données!A169</f>
        <v>5690</v>
      </c>
      <c r="B169" s="171" t="str">
        <f>Données!B169</f>
        <v>Villars-le-Comte</v>
      </c>
      <c r="C169" s="353">
        <f>VPI!R169</f>
        <v>3483.6555381452017</v>
      </c>
      <c r="D169" s="524">
        <f>Effort!I169</f>
        <v>15.136790918237866</v>
      </c>
      <c r="E169" s="209">
        <f>PCS!F175/Aide!C169</f>
        <v>5.1030303671944237</v>
      </c>
      <c r="F169" s="522">
        <f>Effort!G169</f>
        <v>-2.7875364440593078</v>
      </c>
      <c r="G169" s="381">
        <f t="shared" si="7"/>
        <v>23.027357729491598</v>
      </c>
      <c r="H169" s="226">
        <f t="shared" si="8"/>
        <v>0</v>
      </c>
      <c r="I169" s="42">
        <f t="shared" si="6"/>
        <v>0</v>
      </c>
      <c r="J169" s="29"/>
    </row>
    <row r="170" spans="1:10" x14ac:dyDescent="0.25">
      <c r="A170" s="38">
        <f>Données!A170</f>
        <v>5692</v>
      </c>
      <c r="B170" s="171" t="str">
        <f>Données!B170</f>
        <v>Vucherens</v>
      </c>
      <c r="C170" s="353">
        <f>VPI!R170</f>
        <v>18080.765402288005</v>
      </c>
      <c r="D170" s="524">
        <f>Effort!I170</f>
        <v>11.473415207713096</v>
      </c>
      <c r="E170" s="209">
        <f>PCS!F176/Aide!C170</f>
        <v>2.9954616851091029</v>
      </c>
      <c r="F170" s="522">
        <f>Effort!G170</f>
        <v>-4.4151426009968633</v>
      </c>
      <c r="G170" s="381">
        <f t="shared" si="7"/>
        <v>18.884019493819061</v>
      </c>
      <c r="H170" s="226">
        <f t="shared" si="8"/>
        <v>0</v>
      </c>
      <c r="I170" s="42">
        <f t="shared" si="6"/>
        <v>0</v>
      </c>
      <c r="J170" s="29"/>
    </row>
    <row r="171" spans="1:10" x14ac:dyDescent="0.25">
      <c r="A171" s="38">
        <f>Données!A171</f>
        <v>5693</v>
      </c>
      <c r="B171" s="171" t="str">
        <f>Données!B171</f>
        <v>Montanaire</v>
      </c>
      <c r="C171" s="353">
        <f>VPI!R171</f>
        <v>71109.274307717249</v>
      </c>
      <c r="D171" s="524">
        <f>Effort!I171</f>
        <v>0.51994116920753797</v>
      </c>
      <c r="E171" s="209">
        <f>PCS!F177/Aide!C171</f>
        <v>3.6285972190268465</v>
      </c>
      <c r="F171" s="522">
        <f>Effort!G171</f>
        <v>-6.0887788918965233</v>
      </c>
      <c r="G171" s="381">
        <f t="shared" si="7"/>
        <v>10.237317280130908</v>
      </c>
      <c r="H171" s="226">
        <f t="shared" si="8"/>
        <v>0</v>
      </c>
      <c r="I171" s="42">
        <f t="shared" si="6"/>
        <v>0</v>
      </c>
      <c r="J171" s="29"/>
    </row>
    <row r="172" spans="1:10" x14ac:dyDescent="0.25">
      <c r="A172" s="38">
        <f>Données!A172</f>
        <v>5701</v>
      </c>
      <c r="B172" s="171" t="str">
        <f>Données!B172</f>
        <v>Arnex-sur-Nyon</v>
      </c>
      <c r="C172" s="353">
        <f>VPI!R172</f>
        <v>12577.692288260665</v>
      </c>
      <c r="D172" s="524">
        <f>Effort!I172</f>
        <v>33.056288302761459</v>
      </c>
      <c r="E172" s="209">
        <f>PCS!F178/Aide!C172</f>
        <v>6.1603848483651351</v>
      </c>
      <c r="F172" s="522">
        <f>Effort!G172</f>
        <v>0</v>
      </c>
      <c r="G172" s="381">
        <f t="shared" si="7"/>
        <v>39.216673151126592</v>
      </c>
      <c r="H172" s="226">
        <f t="shared" si="8"/>
        <v>0</v>
      </c>
      <c r="I172" s="42">
        <f t="shared" si="6"/>
        <v>0</v>
      </c>
      <c r="J172" s="29"/>
    </row>
    <row r="173" spans="1:10" x14ac:dyDescent="0.25">
      <c r="A173" s="38">
        <f>Données!A173</f>
        <v>5702</v>
      </c>
      <c r="B173" s="171" t="str">
        <f>Données!B173</f>
        <v>Arzier-Le Muids</v>
      </c>
      <c r="C173" s="353">
        <f>VPI!R173</f>
        <v>167718.32276638702</v>
      </c>
      <c r="D173" s="524">
        <f>Effort!I173</f>
        <v>29.221843109290301</v>
      </c>
      <c r="E173" s="209">
        <f>PCS!F179/Aide!C173</f>
        <v>2.9423461125793051</v>
      </c>
      <c r="F173" s="522">
        <f>Effort!G173</f>
        <v>-2.6196452521004092</v>
      </c>
      <c r="G173" s="381">
        <f t="shared" si="7"/>
        <v>34.783834473970018</v>
      </c>
      <c r="H173" s="226">
        <f t="shared" si="8"/>
        <v>0</v>
      </c>
      <c r="I173" s="42">
        <f t="shared" si="6"/>
        <v>0</v>
      </c>
      <c r="J173" s="29"/>
    </row>
    <row r="174" spans="1:10" x14ac:dyDescent="0.25">
      <c r="A174" s="38">
        <f>Données!A174</f>
        <v>5703</v>
      </c>
      <c r="B174" s="171" t="str">
        <f>Données!B174</f>
        <v>Bassins</v>
      </c>
      <c r="C174" s="353">
        <f>VPI!R174</f>
        <v>66886.981709814791</v>
      </c>
      <c r="D174" s="524">
        <f>Effort!I174</f>
        <v>24.917368240242872</v>
      </c>
      <c r="E174" s="209">
        <f>PCS!F180/Aide!C174</f>
        <v>3.9346809090861088</v>
      </c>
      <c r="F174" s="522">
        <f>Effort!G174</f>
        <v>-4.1379578901977228</v>
      </c>
      <c r="G174" s="381">
        <f t="shared" si="7"/>
        <v>32.990007039526702</v>
      </c>
      <c r="H174" s="226">
        <f t="shared" si="8"/>
        <v>0</v>
      </c>
      <c r="I174" s="42">
        <f t="shared" si="6"/>
        <v>0</v>
      </c>
      <c r="J174" s="29"/>
    </row>
    <row r="175" spans="1:10" x14ac:dyDescent="0.25">
      <c r="A175" s="38">
        <f>Données!A175</f>
        <v>5704</v>
      </c>
      <c r="B175" s="171" t="str">
        <f>Données!B175</f>
        <v>Begnins</v>
      </c>
      <c r="C175" s="353">
        <f>VPI!R175</f>
        <v>141530.02646227158</v>
      </c>
      <c r="D175" s="524">
        <f>Effort!I175</f>
        <v>37.127839301429717</v>
      </c>
      <c r="E175" s="209">
        <f>PCS!F181/Aide!C175</f>
        <v>1.525618205530112</v>
      </c>
      <c r="F175" s="522">
        <f>Effort!G175</f>
        <v>0</v>
      </c>
      <c r="G175" s="381">
        <f t="shared" si="7"/>
        <v>38.653457506959832</v>
      </c>
      <c r="H175" s="226">
        <f t="shared" si="8"/>
        <v>0</v>
      </c>
      <c r="I175" s="42">
        <f t="shared" si="6"/>
        <v>0</v>
      </c>
      <c r="J175" s="29"/>
    </row>
    <row r="176" spans="1:10" x14ac:dyDescent="0.25">
      <c r="A176" s="38">
        <f>Données!A176</f>
        <v>5705</v>
      </c>
      <c r="B176" s="171" t="str">
        <f>Données!B176</f>
        <v>Bogis-Bossey</v>
      </c>
      <c r="C176" s="353">
        <f>VPI!R176</f>
        <v>56143.373517355147</v>
      </c>
      <c r="D176" s="524">
        <f>Effort!I176</f>
        <v>37.891638273156588</v>
      </c>
      <c r="E176" s="209">
        <f>PCS!F182/Aide!C176</f>
        <v>3.678666547106511</v>
      </c>
      <c r="F176" s="522">
        <f>Effort!G176</f>
        <v>0</v>
      </c>
      <c r="G176" s="381">
        <f t="shared" si="7"/>
        <v>41.570304820263097</v>
      </c>
      <c r="H176" s="226">
        <f t="shared" si="8"/>
        <v>0</v>
      </c>
      <c r="I176" s="42">
        <f t="shared" si="6"/>
        <v>0</v>
      </c>
      <c r="J176" s="29"/>
    </row>
    <row r="177" spans="1:10" x14ac:dyDescent="0.25">
      <c r="A177" s="38">
        <f>Données!A177</f>
        <v>5706</v>
      </c>
      <c r="B177" s="171" t="str">
        <f>Données!B177</f>
        <v>Borex</v>
      </c>
      <c r="C177" s="353">
        <f>VPI!R177</f>
        <v>84061.533508771914</v>
      </c>
      <c r="D177" s="524">
        <f>Effort!I177</f>
        <v>37.40819600824176</v>
      </c>
      <c r="E177" s="209">
        <f>PCS!F183/Aide!C177</f>
        <v>1.5590123630842931</v>
      </c>
      <c r="F177" s="522">
        <f>Effort!G177</f>
        <v>0</v>
      </c>
      <c r="G177" s="381">
        <f t="shared" si="7"/>
        <v>38.967208371326052</v>
      </c>
      <c r="H177" s="226">
        <f t="shared" si="8"/>
        <v>0</v>
      </c>
      <c r="I177" s="42">
        <f t="shared" si="6"/>
        <v>0</v>
      </c>
      <c r="J177" s="29"/>
    </row>
    <row r="178" spans="1:10" x14ac:dyDescent="0.25">
      <c r="A178" s="38">
        <f>Données!A178</f>
        <v>5707</v>
      </c>
      <c r="B178" s="171" t="str">
        <f>Données!B178</f>
        <v>Chavannes-de-Bogis</v>
      </c>
      <c r="C178" s="353">
        <f>VPI!R178</f>
        <v>81740.650607161704</v>
      </c>
      <c r="D178" s="524">
        <f>Effort!I178</f>
        <v>34.309379690764871</v>
      </c>
      <c r="E178" s="209">
        <f>PCS!F184/Aide!C178</f>
        <v>5.1472060948232432</v>
      </c>
      <c r="F178" s="522">
        <f>Effort!G178</f>
        <v>0</v>
      </c>
      <c r="G178" s="381">
        <f t="shared" si="7"/>
        <v>39.456585785588118</v>
      </c>
      <c r="H178" s="226">
        <f t="shared" si="8"/>
        <v>0</v>
      </c>
      <c r="I178" s="42">
        <f t="shared" si="6"/>
        <v>0</v>
      </c>
      <c r="J178" s="29"/>
    </row>
    <row r="179" spans="1:10" x14ac:dyDescent="0.25">
      <c r="A179" s="38">
        <f>Données!A179</f>
        <v>5708</v>
      </c>
      <c r="B179" s="171" t="str">
        <f>Données!B179</f>
        <v>Chavannes-des-Bois</v>
      </c>
      <c r="C179" s="353">
        <f>VPI!R179</f>
        <v>67246.19149969735</v>
      </c>
      <c r="D179" s="524">
        <f>Effort!I179</f>
        <v>37.110769013478432</v>
      </c>
      <c r="E179" s="209">
        <f>PCS!F185/Aide!C179</f>
        <v>2.2922240882696499</v>
      </c>
      <c r="F179" s="522">
        <f>Effort!G179</f>
        <v>0</v>
      </c>
      <c r="G179" s="381">
        <f t="shared" si="7"/>
        <v>39.402993101748081</v>
      </c>
      <c r="H179" s="226">
        <f t="shared" si="8"/>
        <v>0</v>
      </c>
      <c r="I179" s="42">
        <f t="shared" si="6"/>
        <v>0</v>
      </c>
      <c r="J179" s="29"/>
    </row>
    <row r="180" spans="1:10" x14ac:dyDescent="0.25">
      <c r="A180" s="38">
        <f>Données!A180</f>
        <v>5709</v>
      </c>
      <c r="B180" s="171" t="str">
        <f>Données!B180</f>
        <v>Chéserex</v>
      </c>
      <c r="C180" s="353">
        <f>VPI!R180</f>
        <v>97363.543103732183</v>
      </c>
      <c r="D180" s="524">
        <f>Effort!I180</f>
        <v>38.543697410905665</v>
      </c>
      <c r="E180" s="209">
        <f>PCS!F186/Aide!C180</f>
        <v>2.4356126270728313</v>
      </c>
      <c r="F180" s="522">
        <f>Effort!G180</f>
        <v>0</v>
      </c>
      <c r="G180" s="381">
        <f t="shared" si="7"/>
        <v>40.979310037978493</v>
      </c>
      <c r="H180" s="226">
        <f t="shared" si="8"/>
        <v>0</v>
      </c>
      <c r="I180" s="42">
        <f t="shared" si="6"/>
        <v>0</v>
      </c>
      <c r="J180" s="29"/>
    </row>
    <row r="181" spans="1:10" x14ac:dyDescent="0.25">
      <c r="A181" s="38">
        <f>Données!A181</f>
        <v>5710</v>
      </c>
      <c r="B181" s="171" t="str">
        <f>Données!B181</f>
        <v>Coinsins</v>
      </c>
      <c r="C181" s="353">
        <f>VPI!R181</f>
        <v>41089.8274990719</v>
      </c>
      <c r="D181" s="524">
        <f>Effort!I181</f>
        <v>38.910903264402286</v>
      </c>
      <c r="E181" s="209">
        <f>PCS!F187/Aide!C181</f>
        <v>1.0734252900184662</v>
      </c>
      <c r="F181" s="522">
        <f>Effort!G181</f>
        <v>0</v>
      </c>
      <c r="G181" s="381">
        <f t="shared" si="7"/>
        <v>39.984328554420749</v>
      </c>
      <c r="H181" s="226">
        <f t="shared" si="8"/>
        <v>0</v>
      </c>
      <c r="I181" s="42">
        <f t="shared" si="6"/>
        <v>0</v>
      </c>
      <c r="J181" s="29"/>
    </row>
    <row r="182" spans="1:10" x14ac:dyDescent="0.25">
      <c r="A182" s="38">
        <f>Données!A182</f>
        <v>5711</v>
      </c>
      <c r="B182" s="171" t="str">
        <f>Données!B182</f>
        <v>Commugny</v>
      </c>
      <c r="C182" s="353">
        <f>VPI!R182</f>
        <v>252751.28311656581</v>
      </c>
      <c r="D182" s="524">
        <f>Effort!I182</f>
        <v>38.441824561277087</v>
      </c>
      <c r="E182" s="209">
        <f>PCS!F188/Aide!C182</f>
        <v>2.540141308417835</v>
      </c>
      <c r="F182" s="522">
        <f>Effort!G182</f>
        <v>0</v>
      </c>
      <c r="G182" s="381">
        <f t="shared" si="7"/>
        <v>40.981965869694925</v>
      </c>
      <c r="H182" s="226">
        <f t="shared" si="8"/>
        <v>0</v>
      </c>
      <c r="I182" s="42">
        <f t="shared" si="6"/>
        <v>0</v>
      </c>
      <c r="J182" s="29"/>
    </row>
    <row r="183" spans="1:10" x14ac:dyDescent="0.25">
      <c r="A183" s="38">
        <f>Données!A183</f>
        <v>5712</v>
      </c>
      <c r="B183" s="171" t="str">
        <f>Données!B183</f>
        <v>Coppet</v>
      </c>
      <c r="C183" s="353">
        <f>VPI!R183</f>
        <v>381936.87435905024</v>
      </c>
      <c r="D183" s="524">
        <f>Effort!I183</f>
        <v>43.854613470522018</v>
      </c>
      <c r="E183" s="209">
        <f>PCS!F189/Aide!C183</f>
        <v>2.2141279404329435</v>
      </c>
      <c r="F183" s="522">
        <f>Effort!G183</f>
        <v>0</v>
      </c>
      <c r="G183" s="381">
        <f t="shared" si="7"/>
        <v>46.068741410954964</v>
      </c>
      <c r="H183" s="226">
        <f t="shared" si="8"/>
        <v>0</v>
      </c>
      <c r="I183" s="42">
        <f t="shared" si="6"/>
        <v>0</v>
      </c>
      <c r="J183" s="29"/>
    </row>
    <row r="184" spans="1:10" x14ac:dyDescent="0.25">
      <c r="A184" s="38">
        <f>Données!A184</f>
        <v>5713</v>
      </c>
      <c r="B184" s="171" t="str">
        <f>Données!B184</f>
        <v>Crans-près-Céligny</v>
      </c>
      <c r="C184" s="353">
        <f>VPI!R184</f>
        <v>308655.70549910824</v>
      </c>
      <c r="D184" s="524">
        <f>Effort!I184</f>
        <v>46.714079979074832</v>
      </c>
      <c r="E184" s="209">
        <f>PCS!F190/Aide!C184</f>
        <v>3.1957665529135988</v>
      </c>
      <c r="F184" s="522">
        <f>Effort!G184</f>
        <v>0</v>
      </c>
      <c r="G184" s="381">
        <f t="shared" si="7"/>
        <v>49.909846531988428</v>
      </c>
      <c r="H184" s="226">
        <f t="shared" si="8"/>
        <v>0</v>
      </c>
      <c r="I184" s="42">
        <f t="shared" si="6"/>
        <v>0</v>
      </c>
      <c r="J184" s="29"/>
    </row>
    <row r="185" spans="1:10" x14ac:dyDescent="0.25">
      <c r="A185" s="38">
        <f>Données!A185</f>
        <v>5714</v>
      </c>
      <c r="B185" s="171" t="str">
        <f>Données!B185</f>
        <v>Crassier</v>
      </c>
      <c r="C185" s="353">
        <f>VPI!R185</f>
        <v>53565.625441176468</v>
      </c>
      <c r="D185" s="524">
        <f>Effort!I185</f>
        <v>30.093241868020421</v>
      </c>
      <c r="E185" s="209">
        <f>PCS!F191/Aide!C185</f>
        <v>3.0501633959155652</v>
      </c>
      <c r="F185" s="522">
        <f>Effort!G185</f>
        <v>0</v>
      </c>
      <c r="G185" s="381">
        <f t="shared" si="7"/>
        <v>33.143405263935989</v>
      </c>
      <c r="H185" s="226">
        <f t="shared" si="8"/>
        <v>0</v>
      </c>
      <c r="I185" s="42">
        <f t="shared" si="6"/>
        <v>0</v>
      </c>
      <c r="J185" s="29"/>
    </row>
    <row r="186" spans="1:10" x14ac:dyDescent="0.25">
      <c r="A186" s="38">
        <f>Données!A186</f>
        <v>5715</v>
      </c>
      <c r="B186" s="171" t="str">
        <f>Données!B186</f>
        <v>Duillier</v>
      </c>
      <c r="C186" s="353">
        <f>VPI!R186</f>
        <v>61562.138656601084</v>
      </c>
      <c r="D186" s="524">
        <f>Effort!I186</f>
        <v>33.053342868987521</v>
      </c>
      <c r="E186" s="209">
        <f>PCS!F192/Aide!C186</f>
        <v>3.8663975975187723</v>
      </c>
      <c r="F186" s="522">
        <f>Effort!G186</f>
        <v>0</v>
      </c>
      <c r="G186" s="381">
        <f t="shared" si="7"/>
        <v>36.91974046650629</v>
      </c>
      <c r="H186" s="226">
        <f t="shared" si="8"/>
        <v>0</v>
      </c>
      <c r="I186" s="42">
        <f t="shared" si="6"/>
        <v>0</v>
      </c>
      <c r="J186" s="29"/>
    </row>
    <row r="187" spans="1:10" x14ac:dyDescent="0.25">
      <c r="A187" s="38">
        <f>Données!A187</f>
        <v>5716</v>
      </c>
      <c r="B187" s="171" t="str">
        <f>Données!B187</f>
        <v>Eysins</v>
      </c>
      <c r="C187" s="353">
        <f>VPI!R187</f>
        <v>307549.31539081637</v>
      </c>
      <c r="D187" s="524">
        <f>Effort!I187</f>
        <v>53.141581024945985</v>
      </c>
      <c r="E187" s="209">
        <f>PCS!F193/Aide!C187</f>
        <v>2.7352390426589754</v>
      </c>
      <c r="F187" s="522">
        <f>Effort!G187</f>
        <v>0</v>
      </c>
      <c r="G187" s="381">
        <f t="shared" si="7"/>
        <v>55.87682006760496</v>
      </c>
      <c r="H187" s="226">
        <f t="shared" si="8"/>
        <v>0</v>
      </c>
      <c r="I187" s="42">
        <f t="shared" si="6"/>
        <v>0</v>
      </c>
      <c r="J187" s="29"/>
    </row>
    <row r="188" spans="1:10" x14ac:dyDescent="0.25">
      <c r="A188" s="38">
        <f>Données!A188</f>
        <v>5717</v>
      </c>
      <c r="B188" s="171" t="str">
        <f>Données!B188</f>
        <v>Founex</v>
      </c>
      <c r="C188" s="353">
        <f>VPI!R188</f>
        <v>386760.37149934971</v>
      </c>
      <c r="D188" s="524">
        <f>Effort!I188</f>
        <v>41.591350413651483</v>
      </c>
      <c r="E188" s="209">
        <f>PCS!F194/Aide!C188</f>
        <v>2.9888897756474089</v>
      </c>
      <c r="F188" s="522">
        <f>Effort!G188</f>
        <v>0</v>
      </c>
      <c r="G188" s="381">
        <f t="shared" si="7"/>
        <v>44.580240189298891</v>
      </c>
      <c r="H188" s="226">
        <f t="shared" si="8"/>
        <v>0</v>
      </c>
      <c r="I188" s="42">
        <f t="shared" si="6"/>
        <v>0</v>
      </c>
      <c r="J188" s="29"/>
    </row>
    <row r="189" spans="1:10" x14ac:dyDescent="0.25">
      <c r="A189" s="38">
        <f>Données!A189</f>
        <v>5718</v>
      </c>
      <c r="B189" s="171" t="str">
        <f>Données!B189</f>
        <v>Genolier</v>
      </c>
      <c r="C189" s="353">
        <f>VPI!R189</f>
        <v>244955.25679243167</v>
      </c>
      <c r="D189" s="524">
        <f>Effort!I189</f>
        <v>45.474751067485379</v>
      </c>
      <c r="E189" s="209">
        <f>PCS!F195/Aide!C189</f>
        <v>2.0127839731065262</v>
      </c>
      <c r="F189" s="522">
        <f>Effort!G189</f>
        <v>0</v>
      </c>
      <c r="G189" s="381">
        <f t="shared" si="7"/>
        <v>47.487535040591908</v>
      </c>
      <c r="H189" s="226">
        <f t="shared" si="8"/>
        <v>0</v>
      </c>
      <c r="I189" s="42">
        <f t="shared" si="6"/>
        <v>0</v>
      </c>
      <c r="J189" s="29"/>
    </row>
    <row r="190" spans="1:10" x14ac:dyDescent="0.25">
      <c r="A190" s="38">
        <f>Données!A190</f>
        <v>5719</v>
      </c>
      <c r="B190" s="171" t="str">
        <f>Données!B190</f>
        <v>Gingins</v>
      </c>
      <c r="C190" s="353">
        <f>VPI!R190</f>
        <v>145581.00922504449</v>
      </c>
      <c r="D190" s="524">
        <f>Effort!I190</f>
        <v>45.566989751425673</v>
      </c>
      <c r="E190" s="209">
        <f>PCS!F196/Aide!C190</f>
        <v>1.5262142101002607</v>
      </c>
      <c r="F190" s="522">
        <f>Effort!G190</f>
        <v>0</v>
      </c>
      <c r="G190" s="381">
        <f t="shared" si="7"/>
        <v>47.093203961525937</v>
      </c>
      <c r="H190" s="226">
        <f t="shared" si="8"/>
        <v>0</v>
      </c>
      <c r="I190" s="42">
        <f t="shared" si="6"/>
        <v>0</v>
      </c>
      <c r="J190" s="29"/>
    </row>
    <row r="191" spans="1:10" x14ac:dyDescent="0.25">
      <c r="A191" s="38">
        <f>Données!A191</f>
        <v>5720</v>
      </c>
      <c r="B191" s="171" t="str">
        <f>Données!B191</f>
        <v>Givrins</v>
      </c>
      <c r="C191" s="353">
        <f>VPI!R191</f>
        <v>84157.481732617845</v>
      </c>
      <c r="D191" s="524">
        <f>Effort!I191</f>
        <v>40.497409206806694</v>
      </c>
      <c r="E191" s="209">
        <f>PCS!F197/Aide!C191</f>
        <v>3.363947615489014</v>
      </c>
      <c r="F191" s="522">
        <f>Effort!G191</f>
        <v>-0.64583846357501873</v>
      </c>
      <c r="G191" s="381">
        <f t="shared" si="7"/>
        <v>44.507195285870722</v>
      </c>
      <c r="H191" s="226">
        <f t="shared" si="8"/>
        <v>0</v>
      </c>
      <c r="I191" s="42">
        <f t="shared" si="6"/>
        <v>0</v>
      </c>
      <c r="J191" s="29"/>
    </row>
    <row r="192" spans="1:10" x14ac:dyDescent="0.25">
      <c r="A192" s="38">
        <f>Données!A192</f>
        <v>5721</v>
      </c>
      <c r="B192" s="171" t="str">
        <f>Données!B192</f>
        <v>Gland</v>
      </c>
      <c r="C192" s="353">
        <f>VPI!R192</f>
        <v>649754.37436659122</v>
      </c>
      <c r="D192" s="524">
        <f>Effort!I192</f>
        <v>22.235006270842568</v>
      </c>
      <c r="E192" s="209">
        <f>PCS!F198/Aide!C192</f>
        <v>3.3948530352724897</v>
      </c>
      <c r="F192" s="522">
        <f>Effort!G192</f>
        <v>0</v>
      </c>
      <c r="G192" s="381">
        <f t="shared" si="7"/>
        <v>25.629859306115058</v>
      </c>
      <c r="H192" s="226">
        <f t="shared" si="8"/>
        <v>0</v>
      </c>
      <c r="I192" s="42">
        <f t="shared" si="6"/>
        <v>0</v>
      </c>
      <c r="J192" s="29"/>
    </row>
    <row r="193" spans="1:10" x14ac:dyDescent="0.25">
      <c r="A193" s="38">
        <f>Données!A193</f>
        <v>5722</v>
      </c>
      <c r="B193" s="171" t="str">
        <f>Données!B193</f>
        <v>Grens</v>
      </c>
      <c r="C193" s="353">
        <f>VPI!R193</f>
        <v>25522.027975307101</v>
      </c>
      <c r="D193" s="524">
        <f>Effort!I193</f>
        <v>35.852526916065656</v>
      </c>
      <c r="E193" s="209">
        <f>PCS!F199/Aide!C193</f>
        <v>0.54593290993492616</v>
      </c>
      <c r="F193" s="522">
        <f>Effort!G193</f>
        <v>0</v>
      </c>
      <c r="G193" s="381">
        <f t="shared" si="7"/>
        <v>36.398459826000582</v>
      </c>
      <c r="H193" s="226">
        <f t="shared" si="8"/>
        <v>0</v>
      </c>
      <c r="I193" s="42">
        <f t="shared" si="6"/>
        <v>0</v>
      </c>
      <c r="J193" s="29"/>
    </row>
    <row r="194" spans="1:10" x14ac:dyDescent="0.25">
      <c r="A194" s="38">
        <f>Données!A194</f>
        <v>5723</v>
      </c>
      <c r="B194" s="171" t="str">
        <f>Données!B194</f>
        <v>Mies</v>
      </c>
      <c r="C194" s="353">
        <f>VPI!R194</f>
        <v>197671.04481157771</v>
      </c>
      <c r="D194" s="524">
        <f>Effort!I194</f>
        <v>39.471615351576219</v>
      </c>
      <c r="E194" s="209">
        <f>PCS!F200/Aide!C194</f>
        <v>3.2645874392737748</v>
      </c>
      <c r="F194" s="522">
        <f>Effort!G194</f>
        <v>0</v>
      </c>
      <c r="G194" s="381">
        <f t="shared" si="7"/>
        <v>42.736202790849994</v>
      </c>
      <c r="H194" s="226">
        <f t="shared" si="8"/>
        <v>0</v>
      </c>
      <c r="I194" s="42">
        <f t="shared" si="6"/>
        <v>0</v>
      </c>
      <c r="J194" s="29"/>
    </row>
    <row r="195" spans="1:10" x14ac:dyDescent="0.25">
      <c r="A195" s="38">
        <f>Données!A195</f>
        <v>5724</v>
      </c>
      <c r="B195" s="171" t="str">
        <f>Données!B195</f>
        <v>Nyon</v>
      </c>
      <c r="C195" s="353">
        <f>VPI!R195</f>
        <v>1412863.5932076953</v>
      </c>
      <c r="D195" s="524">
        <f>Effort!I195</f>
        <v>25.534581242580845</v>
      </c>
      <c r="E195" s="209">
        <f>PCS!F201/Aide!C195</f>
        <v>5.6710935107393201</v>
      </c>
      <c r="F195" s="522">
        <f>Effort!G195</f>
        <v>-0.81826331028113541</v>
      </c>
      <c r="G195" s="381">
        <f t="shared" si="7"/>
        <v>32.0239380636013</v>
      </c>
      <c r="H195" s="226">
        <f t="shared" si="8"/>
        <v>0</v>
      </c>
      <c r="I195" s="42">
        <f t="shared" si="6"/>
        <v>0</v>
      </c>
      <c r="J195" s="29"/>
    </row>
    <row r="196" spans="1:10" x14ac:dyDescent="0.25">
      <c r="A196" s="38">
        <f>Données!A196</f>
        <v>5725</v>
      </c>
      <c r="B196" s="171" t="str">
        <f>Données!B196</f>
        <v>Prangins</v>
      </c>
      <c r="C196" s="353">
        <f>VPI!R196</f>
        <v>312426.41305318987</v>
      </c>
      <c r="D196" s="524">
        <f>Effort!I196</f>
        <v>35.722625628178065</v>
      </c>
      <c r="E196" s="209">
        <f>PCS!F202/Aide!C196</f>
        <v>2.8905290726691955</v>
      </c>
      <c r="F196" s="522">
        <f>Effort!G196</f>
        <v>0</v>
      </c>
      <c r="G196" s="381">
        <f t="shared" si="7"/>
        <v>38.613154700847261</v>
      </c>
      <c r="H196" s="226">
        <f t="shared" si="8"/>
        <v>0</v>
      </c>
      <c r="I196" s="42">
        <f t="shared" si="6"/>
        <v>0</v>
      </c>
      <c r="J196" s="29"/>
    </row>
    <row r="197" spans="1:10" x14ac:dyDescent="0.25">
      <c r="A197" s="38">
        <f>Données!A197</f>
        <v>5726</v>
      </c>
      <c r="B197" s="171" t="str">
        <f>Données!B197</f>
        <v>La Rippe</v>
      </c>
      <c r="C197" s="353">
        <f>VPI!R197</f>
        <v>66314.954154633349</v>
      </c>
      <c r="D197" s="524">
        <f>Effort!I197</f>
        <v>34.321844379791727</v>
      </c>
      <c r="E197" s="209">
        <f>PCS!F203/Aide!C197</f>
        <v>4.1620337903938047</v>
      </c>
      <c r="F197" s="522">
        <f>Effort!G197</f>
        <v>0</v>
      </c>
      <c r="G197" s="381">
        <f t="shared" si="7"/>
        <v>38.483878170185534</v>
      </c>
      <c r="H197" s="226">
        <f t="shared" si="8"/>
        <v>0</v>
      </c>
      <c r="I197" s="42">
        <f t="shared" si="6"/>
        <v>0</v>
      </c>
      <c r="J197" s="29"/>
    </row>
    <row r="198" spans="1:10" x14ac:dyDescent="0.25">
      <c r="A198" s="38">
        <f>Données!A198</f>
        <v>5727</v>
      </c>
      <c r="B198" s="171" t="str">
        <f>Données!B198</f>
        <v>Saint-Cergue</v>
      </c>
      <c r="C198" s="353">
        <f>VPI!R198</f>
        <v>105108.96305797539</v>
      </c>
      <c r="D198" s="524">
        <f>Effort!I198</f>
        <v>22.047391105030453</v>
      </c>
      <c r="E198" s="209">
        <f>PCS!F204/Aide!C198</f>
        <v>3.6370323127357045</v>
      </c>
      <c r="F198" s="522">
        <f>Effort!G198</f>
        <v>-1.960688847614984</v>
      </c>
      <c r="G198" s="381">
        <f t="shared" si="7"/>
        <v>27.645112265381144</v>
      </c>
      <c r="H198" s="226">
        <f t="shared" si="8"/>
        <v>0</v>
      </c>
      <c r="I198" s="42">
        <f t="shared" ref="I198:I261" si="9">-H198*C198</f>
        <v>0</v>
      </c>
      <c r="J198" s="29"/>
    </row>
    <row r="199" spans="1:10" x14ac:dyDescent="0.25">
      <c r="A199" s="38">
        <f>Données!A199</f>
        <v>5728</v>
      </c>
      <c r="B199" s="171" t="str">
        <f>Données!B199</f>
        <v>Signy-Avenex</v>
      </c>
      <c r="C199" s="353">
        <f>VPI!R199</f>
        <v>49029.515425987986</v>
      </c>
      <c r="D199" s="524">
        <f>Effort!I199</f>
        <v>40.572334929340904</v>
      </c>
      <c r="E199" s="209">
        <f>PCS!F205/Aide!C199</f>
        <v>2.4681169892994417</v>
      </c>
      <c r="F199" s="522">
        <f>Effort!G199</f>
        <v>0</v>
      </c>
      <c r="G199" s="381">
        <f t="shared" ref="G199:G262" si="10">D199+E199-F199</f>
        <v>43.040451918640343</v>
      </c>
      <c r="H199" s="226">
        <f t="shared" ref="H199:H262" si="11">IF(G199&lt;H$5,G199-H$5,0)</f>
        <v>0</v>
      </c>
      <c r="I199" s="42">
        <f t="shared" si="9"/>
        <v>0</v>
      </c>
      <c r="J199" s="29"/>
    </row>
    <row r="200" spans="1:10" x14ac:dyDescent="0.25">
      <c r="A200" s="38">
        <f>Données!A200</f>
        <v>5729</v>
      </c>
      <c r="B200" s="171" t="str">
        <f>Données!B200</f>
        <v>Tannay</v>
      </c>
      <c r="C200" s="353">
        <f>VPI!R200</f>
        <v>130705.91189021352</v>
      </c>
      <c r="D200" s="524">
        <f>Effort!I200</f>
        <v>38.885549047946853</v>
      </c>
      <c r="E200" s="209">
        <f>PCS!F206/Aide!C200</f>
        <v>4.329685832996911</v>
      </c>
      <c r="F200" s="522">
        <f>Effort!G200</f>
        <v>0</v>
      </c>
      <c r="G200" s="381">
        <f t="shared" si="10"/>
        <v>43.215234880943761</v>
      </c>
      <c r="H200" s="226">
        <f t="shared" si="11"/>
        <v>0</v>
      </c>
      <c r="I200" s="42">
        <f t="shared" si="9"/>
        <v>0</v>
      </c>
      <c r="J200" s="29"/>
    </row>
    <row r="201" spans="1:10" x14ac:dyDescent="0.25">
      <c r="A201" s="38">
        <f>Données!A201</f>
        <v>5730</v>
      </c>
      <c r="B201" s="171" t="str">
        <f>Données!B201</f>
        <v>Trélex</v>
      </c>
      <c r="C201" s="353">
        <f>VPI!R201</f>
        <v>111635.7900900901</v>
      </c>
      <c r="D201" s="524">
        <f>Effort!I201</f>
        <v>37.872466305587984</v>
      </c>
      <c r="E201" s="209">
        <f>PCS!F207/Aide!C201</f>
        <v>3.652762027938552</v>
      </c>
      <c r="F201" s="522">
        <f>Effort!G201</f>
        <v>0</v>
      </c>
      <c r="G201" s="381">
        <f t="shared" si="10"/>
        <v>41.525228333526535</v>
      </c>
      <c r="H201" s="226">
        <f t="shared" si="11"/>
        <v>0</v>
      </c>
      <c r="I201" s="42">
        <f t="shared" si="9"/>
        <v>0</v>
      </c>
      <c r="J201" s="29"/>
    </row>
    <row r="202" spans="1:10" x14ac:dyDescent="0.25">
      <c r="A202" s="38">
        <f>Données!A202</f>
        <v>5731</v>
      </c>
      <c r="B202" s="171" t="str">
        <f>Données!B202</f>
        <v>Le Vaud</v>
      </c>
      <c r="C202" s="353">
        <f>VPI!R202</f>
        <v>63939.29295717035</v>
      </c>
      <c r="D202" s="524">
        <f>Effort!I202</f>
        <v>29.28234378002724</v>
      </c>
      <c r="E202" s="209">
        <f>PCS!F208/Aide!C202</f>
        <v>2.3806450299968471</v>
      </c>
      <c r="F202" s="522">
        <f>Effort!G202</f>
        <v>-0.74872226959356036</v>
      </c>
      <c r="G202" s="381">
        <f t="shared" si="10"/>
        <v>32.411711079617646</v>
      </c>
      <c r="H202" s="226">
        <f t="shared" si="11"/>
        <v>0</v>
      </c>
      <c r="I202" s="42">
        <f t="shared" si="9"/>
        <v>0</v>
      </c>
      <c r="J202" s="29"/>
    </row>
    <row r="203" spans="1:10" x14ac:dyDescent="0.25">
      <c r="A203" s="38">
        <f>Données!A203</f>
        <v>5732</v>
      </c>
      <c r="B203" s="171" t="str">
        <f>Données!B203</f>
        <v>Vich</v>
      </c>
      <c r="C203" s="353">
        <f>VPI!R203</f>
        <v>70997.378198271268</v>
      </c>
      <c r="D203" s="524">
        <f>Effort!I203</f>
        <v>34.991343145886617</v>
      </c>
      <c r="E203" s="209">
        <f>PCS!F209/Aide!C203</f>
        <v>4.2423325007702033</v>
      </c>
      <c r="F203" s="522">
        <f>Effort!G203</f>
        <v>0</v>
      </c>
      <c r="G203" s="381">
        <f t="shared" si="10"/>
        <v>39.23367564665682</v>
      </c>
      <c r="H203" s="226">
        <f t="shared" si="11"/>
        <v>0</v>
      </c>
      <c r="I203" s="42">
        <f t="shared" si="9"/>
        <v>0</v>
      </c>
      <c r="J203" s="29"/>
    </row>
    <row r="204" spans="1:10" x14ac:dyDescent="0.25">
      <c r="A204" s="38">
        <f>Données!A204</f>
        <v>5741</v>
      </c>
      <c r="B204" s="171" t="str">
        <f>Données!B204</f>
        <v>L'Abergement</v>
      </c>
      <c r="C204" s="353">
        <f>VPI!R204</f>
        <v>7367.4577774246782</v>
      </c>
      <c r="D204" s="524">
        <f>Effort!I204</f>
        <v>-0.99211056903259021</v>
      </c>
      <c r="E204" s="209">
        <f>PCS!F210/Aide!C204</f>
        <v>3.427592089822217</v>
      </c>
      <c r="F204" s="522">
        <f>Effort!G204</f>
        <v>-14.596033428504141</v>
      </c>
      <c r="G204" s="381">
        <f t="shared" si="10"/>
        <v>17.031514949293769</v>
      </c>
      <c r="H204" s="226">
        <f t="shared" si="11"/>
        <v>0</v>
      </c>
      <c r="I204" s="42">
        <f t="shared" si="9"/>
        <v>0</v>
      </c>
      <c r="J204" s="29"/>
    </row>
    <row r="205" spans="1:10" x14ac:dyDescent="0.25">
      <c r="A205" s="38">
        <f>Données!A205</f>
        <v>5742</v>
      </c>
      <c r="B205" s="171" t="str">
        <f>Données!B205</f>
        <v>Agiez</v>
      </c>
      <c r="C205" s="353">
        <f>VPI!R205</f>
        <v>8959.2362433179314</v>
      </c>
      <c r="D205" s="524">
        <f>Effort!I205</f>
        <v>2.8756865473315187</v>
      </c>
      <c r="E205" s="209">
        <f>PCS!F211/Aide!C205</f>
        <v>1.7819710928939119</v>
      </c>
      <c r="F205" s="522">
        <f>Effort!G205</f>
        <v>-3.9013264533204923</v>
      </c>
      <c r="G205" s="381">
        <f t="shared" si="10"/>
        <v>8.5589840935459236</v>
      </c>
      <c r="H205" s="226">
        <f t="shared" si="11"/>
        <v>0</v>
      </c>
      <c r="I205" s="42">
        <f t="shared" si="9"/>
        <v>0</v>
      </c>
      <c r="J205" s="29"/>
    </row>
    <row r="206" spans="1:10" x14ac:dyDescent="0.25">
      <c r="A206" s="38">
        <f>Données!A206</f>
        <v>5743</v>
      </c>
      <c r="B206" s="171" t="str">
        <f>Données!B206</f>
        <v>Arnex-sur-Orbe</v>
      </c>
      <c r="C206" s="353">
        <f>VPI!R206</f>
        <v>20545.993510231569</v>
      </c>
      <c r="D206" s="524">
        <f>Effort!I206</f>
        <v>17.097107654796702</v>
      </c>
      <c r="E206" s="209">
        <f>PCS!F212/Aide!C206</f>
        <v>1.6084031168190291</v>
      </c>
      <c r="F206" s="522">
        <f>Effort!G206</f>
        <v>-4.123579562916726</v>
      </c>
      <c r="G206" s="381">
        <f t="shared" si="10"/>
        <v>22.829090334532459</v>
      </c>
      <c r="H206" s="226">
        <f t="shared" si="11"/>
        <v>0</v>
      </c>
      <c r="I206" s="42">
        <f t="shared" si="9"/>
        <v>0</v>
      </c>
      <c r="J206" s="29"/>
    </row>
    <row r="207" spans="1:10" x14ac:dyDescent="0.25">
      <c r="A207" s="38">
        <f>Données!A207</f>
        <v>5744</v>
      </c>
      <c r="B207" s="171" t="str">
        <f>Données!B207</f>
        <v>Ballaigues</v>
      </c>
      <c r="C207" s="353">
        <f>VPI!R207</f>
        <v>40192.729547040028</v>
      </c>
      <c r="D207" s="524">
        <f>Effort!I207</f>
        <v>14.806223201496314</v>
      </c>
      <c r="E207" s="209">
        <f>PCS!F213/Aide!C207</f>
        <v>11.480190576755218</v>
      </c>
      <c r="F207" s="522">
        <f>Effort!G207</f>
        <v>-9.3453549880924101</v>
      </c>
      <c r="G207" s="381">
        <f t="shared" si="10"/>
        <v>35.631768766343939</v>
      </c>
      <c r="H207" s="226">
        <f t="shared" si="11"/>
        <v>0</v>
      </c>
      <c r="I207" s="42">
        <f t="shared" si="9"/>
        <v>0</v>
      </c>
      <c r="J207" s="29"/>
    </row>
    <row r="208" spans="1:10" x14ac:dyDescent="0.25">
      <c r="A208" s="38">
        <f>Données!A208</f>
        <v>5745</v>
      </c>
      <c r="B208" s="171" t="str">
        <f>Données!B208</f>
        <v>Baulmes</v>
      </c>
      <c r="C208" s="353">
        <f>VPI!R208</f>
        <v>26823.608187065354</v>
      </c>
      <c r="D208" s="524">
        <f>Effort!I208</f>
        <v>-7.2526061024028792</v>
      </c>
      <c r="E208" s="209">
        <f>PCS!F214/Aide!C208</f>
        <v>3.9468672246357719</v>
      </c>
      <c r="F208" s="522">
        <f>Effort!G208</f>
        <v>-15.582342309147693</v>
      </c>
      <c r="G208" s="381">
        <f t="shared" si="10"/>
        <v>12.276603431380586</v>
      </c>
      <c r="H208" s="226">
        <f t="shared" si="11"/>
        <v>0</v>
      </c>
      <c r="I208" s="42">
        <f t="shared" si="9"/>
        <v>0</v>
      </c>
      <c r="J208" s="29"/>
    </row>
    <row r="209" spans="1:10" x14ac:dyDescent="0.25">
      <c r="A209" s="38">
        <f>Données!A209</f>
        <v>5746</v>
      </c>
      <c r="B209" s="171" t="str">
        <f>Données!B209</f>
        <v>Bavois</v>
      </c>
      <c r="C209" s="353">
        <f>VPI!R209</f>
        <v>30464.573561146077</v>
      </c>
      <c r="D209" s="524">
        <f>Effort!I209</f>
        <v>12.957193962106654</v>
      </c>
      <c r="E209" s="209">
        <f>PCS!F215/Aide!C209</f>
        <v>6.7303860199606378</v>
      </c>
      <c r="F209" s="522">
        <f>Effort!G209</f>
        <v>-5.9683710358630657</v>
      </c>
      <c r="G209" s="381">
        <f t="shared" si="10"/>
        <v>25.655951017930356</v>
      </c>
      <c r="H209" s="226">
        <f t="shared" si="11"/>
        <v>0</v>
      </c>
      <c r="I209" s="42">
        <f t="shared" si="9"/>
        <v>0</v>
      </c>
      <c r="J209" s="29"/>
    </row>
    <row r="210" spans="1:10" x14ac:dyDescent="0.25">
      <c r="A210" s="38">
        <f>Données!A210</f>
        <v>5747</v>
      </c>
      <c r="B210" s="171" t="str">
        <f>Données!B210</f>
        <v>Bofflens</v>
      </c>
      <c r="C210" s="353">
        <f>VPI!R210</f>
        <v>5602.2513601016635</v>
      </c>
      <c r="D210" s="524">
        <f>Effort!I210</f>
        <v>11.497556632944155</v>
      </c>
      <c r="E210" s="209">
        <f>PCS!F216/Aide!C210</f>
        <v>4.3525090954786272</v>
      </c>
      <c r="F210" s="522">
        <f>Effort!G210</f>
        <v>-4.4248267787363567</v>
      </c>
      <c r="G210" s="381">
        <f t="shared" si="10"/>
        <v>20.274892507159137</v>
      </c>
      <c r="H210" s="226">
        <f t="shared" si="11"/>
        <v>0</v>
      </c>
      <c r="I210" s="42">
        <f t="shared" si="9"/>
        <v>0</v>
      </c>
      <c r="J210" s="29"/>
    </row>
    <row r="211" spans="1:10" x14ac:dyDescent="0.25">
      <c r="A211" s="38">
        <f>Données!A211</f>
        <v>5748</v>
      </c>
      <c r="B211" s="171" t="str">
        <f>Données!B211</f>
        <v>Bretonnières</v>
      </c>
      <c r="C211" s="353">
        <f>VPI!R211</f>
        <v>5788.8837637987526</v>
      </c>
      <c r="D211" s="524">
        <f>Effort!I211</f>
        <v>-3.289131162056222</v>
      </c>
      <c r="E211" s="209">
        <f>PCS!F217/Aide!C211</f>
        <v>2.4867531612957174</v>
      </c>
      <c r="F211" s="522">
        <f>Effort!G211</f>
        <v>-8.7129551485863761</v>
      </c>
      <c r="G211" s="381">
        <f t="shared" si="10"/>
        <v>7.9105771478258715</v>
      </c>
      <c r="H211" s="226">
        <f t="shared" si="11"/>
        <v>0</v>
      </c>
      <c r="I211" s="42">
        <f t="shared" si="9"/>
        <v>0</v>
      </c>
      <c r="J211" s="29"/>
    </row>
    <row r="212" spans="1:10" x14ac:dyDescent="0.25">
      <c r="A212" s="38">
        <f>Données!A212</f>
        <v>5749</v>
      </c>
      <c r="B212" s="171" t="str">
        <f>Données!B212</f>
        <v>Chavornay</v>
      </c>
      <c r="C212" s="353">
        <f>VPI!R212</f>
        <v>140636.14212812972</v>
      </c>
      <c r="D212" s="524">
        <f>Effort!I212</f>
        <v>1.2789310511091472</v>
      </c>
      <c r="E212" s="209">
        <f>PCS!F218/Aide!C212</f>
        <v>4.1748995038919032</v>
      </c>
      <c r="F212" s="522">
        <f>Effort!G212</f>
        <v>-4.4233760342228274</v>
      </c>
      <c r="G212" s="381">
        <f t="shared" si="10"/>
        <v>9.8772065892238778</v>
      </c>
      <c r="H212" s="226">
        <f t="shared" si="11"/>
        <v>0</v>
      </c>
      <c r="I212" s="42">
        <f t="shared" si="9"/>
        <v>0</v>
      </c>
      <c r="J212" s="29"/>
    </row>
    <row r="213" spans="1:10" x14ac:dyDescent="0.25">
      <c r="A213" s="38">
        <f>Données!A213</f>
        <v>5750</v>
      </c>
      <c r="B213" s="171" t="str">
        <f>Données!B213</f>
        <v>Les Clées</v>
      </c>
      <c r="C213" s="353">
        <f>VPI!R213</f>
        <v>6038.046875</v>
      </c>
      <c r="D213" s="524">
        <f>Effort!I213</f>
        <v>12.043679183555286</v>
      </c>
      <c r="E213" s="209">
        <f>PCS!F219/Aide!C213</f>
        <v>0.47760394374215587</v>
      </c>
      <c r="F213" s="522">
        <f>Effort!G213</f>
        <v>-6.8773370683297319</v>
      </c>
      <c r="G213" s="381">
        <f t="shared" si="10"/>
        <v>19.398620195627174</v>
      </c>
      <c r="H213" s="226">
        <f t="shared" si="11"/>
        <v>0</v>
      </c>
      <c r="I213" s="42">
        <f t="shared" si="9"/>
        <v>0</v>
      </c>
      <c r="J213" s="29"/>
    </row>
    <row r="214" spans="1:10" x14ac:dyDescent="0.25">
      <c r="A214" s="38">
        <f>Données!A214</f>
        <v>5752</v>
      </c>
      <c r="B214" s="171" t="str">
        <f>Données!B214</f>
        <v>Croy</v>
      </c>
      <c r="C214" s="353">
        <f>VPI!R214</f>
        <v>9413.4881132598912</v>
      </c>
      <c r="D214" s="524">
        <f>Effort!I214</f>
        <v>7.6033509268572992</v>
      </c>
      <c r="E214" s="209">
        <f>PCS!F220/Aide!C214</f>
        <v>3.6251753430198277</v>
      </c>
      <c r="F214" s="522">
        <f>Effort!G214</f>
        <v>-0.19727770387522686</v>
      </c>
      <c r="G214" s="381">
        <f t="shared" si="10"/>
        <v>11.425803973752354</v>
      </c>
      <c r="H214" s="226">
        <f t="shared" si="11"/>
        <v>0</v>
      </c>
      <c r="I214" s="42">
        <f t="shared" si="9"/>
        <v>0</v>
      </c>
      <c r="J214" s="29"/>
    </row>
    <row r="215" spans="1:10" x14ac:dyDescent="0.25">
      <c r="A215" s="38">
        <f>Données!A215</f>
        <v>5754</v>
      </c>
      <c r="B215" s="171" t="str">
        <f>Données!B215</f>
        <v>Juriens</v>
      </c>
      <c r="C215" s="353">
        <f>VPI!R215</f>
        <v>8043.2571951290693</v>
      </c>
      <c r="D215" s="524">
        <f>Effort!I215</f>
        <v>-2.4510100599777012</v>
      </c>
      <c r="E215" s="209">
        <f>PCS!F221/Aide!C215</f>
        <v>1.5174294075031312</v>
      </c>
      <c r="F215" s="522">
        <f>Effort!G215</f>
        <v>-7.8655341235626848</v>
      </c>
      <c r="G215" s="381">
        <f t="shared" si="10"/>
        <v>6.9319534710881143</v>
      </c>
      <c r="H215" s="226">
        <f t="shared" si="11"/>
        <v>0</v>
      </c>
      <c r="I215" s="42">
        <f t="shared" si="9"/>
        <v>0</v>
      </c>
      <c r="J215" s="29"/>
    </row>
    <row r="216" spans="1:10" x14ac:dyDescent="0.25">
      <c r="A216" s="38">
        <f>Données!A216</f>
        <v>5755</v>
      </c>
      <c r="B216" s="171" t="str">
        <f>Données!B216</f>
        <v>Lignerolle</v>
      </c>
      <c r="C216" s="353">
        <f>VPI!R216</f>
        <v>9053.1652859085789</v>
      </c>
      <c r="D216" s="524">
        <f>Effort!I216</f>
        <v>-59.872623028369432</v>
      </c>
      <c r="E216" s="209">
        <f>PCS!F222/Aide!C216</f>
        <v>15.777453574422941</v>
      </c>
      <c r="F216" s="522">
        <f>Effort!G216</f>
        <v>-57.666724049843999</v>
      </c>
      <c r="G216" s="381">
        <f t="shared" si="10"/>
        <v>13.57155459589751</v>
      </c>
      <c r="H216" s="226">
        <f t="shared" si="11"/>
        <v>0</v>
      </c>
      <c r="I216" s="42">
        <f t="shared" si="9"/>
        <v>0</v>
      </c>
      <c r="J216" s="29"/>
    </row>
    <row r="217" spans="1:10" x14ac:dyDescent="0.25">
      <c r="A217" s="38">
        <f>Données!A217</f>
        <v>5756</v>
      </c>
      <c r="B217" s="171" t="str">
        <f>Données!B217</f>
        <v>Montcherand</v>
      </c>
      <c r="C217" s="353">
        <f>VPI!R217</f>
        <v>15753.043205801514</v>
      </c>
      <c r="D217" s="524">
        <f>Effort!I217</f>
        <v>15.105220213624932</v>
      </c>
      <c r="E217" s="209">
        <f>PCS!F223/Aide!C217</f>
        <v>3.4493890666146538</v>
      </c>
      <c r="F217" s="522">
        <f>Effort!G217</f>
        <v>-4.6618922963497544</v>
      </c>
      <c r="G217" s="381">
        <f t="shared" si="10"/>
        <v>23.216501576589341</v>
      </c>
      <c r="H217" s="226">
        <f t="shared" si="11"/>
        <v>0</v>
      </c>
      <c r="I217" s="42">
        <f t="shared" si="9"/>
        <v>0</v>
      </c>
      <c r="J217" s="29"/>
    </row>
    <row r="218" spans="1:10" x14ac:dyDescent="0.25">
      <c r="A218" s="38">
        <f>Données!A218</f>
        <v>5757</v>
      </c>
      <c r="B218" s="171" t="str">
        <f>Données!B218</f>
        <v>Orbe</v>
      </c>
      <c r="C218" s="353">
        <f>VPI!R218</f>
        <v>203477.21355711605</v>
      </c>
      <c r="D218" s="524">
        <f>Effort!I218</f>
        <v>-5.0775526486289166</v>
      </c>
      <c r="E218" s="209">
        <f>PCS!F224/Aide!C218</f>
        <v>7.2608130373541355</v>
      </c>
      <c r="F218" s="522">
        <f>Effort!G218</f>
        <v>-9.6814585978411625</v>
      </c>
      <c r="G218" s="381">
        <f t="shared" si="10"/>
        <v>11.86471898656638</v>
      </c>
      <c r="H218" s="226">
        <f t="shared" si="11"/>
        <v>0</v>
      </c>
      <c r="I218" s="42">
        <f t="shared" si="9"/>
        <v>0</v>
      </c>
      <c r="J218" s="29"/>
    </row>
    <row r="219" spans="1:10" x14ac:dyDescent="0.25">
      <c r="A219" s="38">
        <f>Données!A219</f>
        <v>5758</v>
      </c>
      <c r="B219" s="171" t="str">
        <f>Données!B219</f>
        <v>La Praz</v>
      </c>
      <c r="C219" s="353">
        <f>VPI!R219</f>
        <v>4311.7430790337894</v>
      </c>
      <c r="D219" s="524">
        <f>Effort!I219</f>
        <v>2.2175452398226838</v>
      </c>
      <c r="E219" s="209">
        <f>PCS!F225/Aide!C219</f>
        <v>2.8746135316526047</v>
      </c>
      <c r="F219" s="522">
        <f>Effort!G219</f>
        <v>-2.4483101202976836</v>
      </c>
      <c r="G219" s="381">
        <f t="shared" si="10"/>
        <v>7.5404688917729725</v>
      </c>
      <c r="H219" s="226">
        <f t="shared" si="11"/>
        <v>0</v>
      </c>
      <c r="I219" s="42">
        <f t="shared" si="9"/>
        <v>0</v>
      </c>
      <c r="J219" s="29"/>
    </row>
    <row r="220" spans="1:10" x14ac:dyDescent="0.25">
      <c r="A220" s="38">
        <f>Données!A220</f>
        <v>5759</v>
      </c>
      <c r="B220" s="171" t="str">
        <f>Données!B220</f>
        <v>Premier</v>
      </c>
      <c r="C220" s="353">
        <f>VPI!R220</f>
        <v>5307.2435849357244</v>
      </c>
      <c r="D220" s="524">
        <f>Effort!I220</f>
        <v>-4.491387602868059</v>
      </c>
      <c r="E220" s="209">
        <f>PCS!F226/Aide!C220</f>
        <v>3.8694012572344949</v>
      </c>
      <c r="F220" s="522">
        <f>Effort!G220</f>
        <v>-10.512492013753983</v>
      </c>
      <c r="G220" s="381">
        <f t="shared" si="10"/>
        <v>9.8905056681204186</v>
      </c>
      <c r="H220" s="226">
        <f t="shared" si="11"/>
        <v>0</v>
      </c>
      <c r="I220" s="42">
        <f t="shared" si="9"/>
        <v>0</v>
      </c>
      <c r="J220" s="29"/>
    </row>
    <row r="221" spans="1:10" x14ac:dyDescent="0.25">
      <c r="A221" s="38">
        <f>Données!A221</f>
        <v>5760</v>
      </c>
      <c r="B221" s="171" t="str">
        <f>Données!B221</f>
        <v>Rances</v>
      </c>
      <c r="C221" s="353">
        <f>VPI!R221</f>
        <v>12825.206275823581</v>
      </c>
      <c r="D221" s="524">
        <f>Effort!I221</f>
        <v>-2.9842755734783886</v>
      </c>
      <c r="E221" s="209">
        <f>PCS!F227/Aide!C221</f>
        <v>4.2472272046557835</v>
      </c>
      <c r="F221" s="522">
        <f>Effort!G221</f>
        <v>-11.977885917341791</v>
      </c>
      <c r="G221" s="381">
        <f t="shared" si="10"/>
        <v>13.240837548519185</v>
      </c>
      <c r="H221" s="226">
        <f t="shared" si="11"/>
        <v>0</v>
      </c>
      <c r="I221" s="42">
        <f t="shared" si="9"/>
        <v>0</v>
      </c>
      <c r="J221" s="29"/>
    </row>
    <row r="222" spans="1:10" x14ac:dyDescent="0.25">
      <c r="A222" s="38">
        <f>Données!A222</f>
        <v>5761</v>
      </c>
      <c r="B222" s="171" t="str">
        <f>Données!B222</f>
        <v>Romainmôtier-Envy</v>
      </c>
      <c r="C222" s="353">
        <f>VPI!R222</f>
        <v>12133.770909516334</v>
      </c>
      <c r="D222" s="524">
        <f>Effort!I222</f>
        <v>-14.207168829667765</v>
      </c>
      <c r="E222" s="209">
        <f>PCS!F228/Aide!C222</f>
        <v>7.0924571299187633</v>
      </c>
      <c r="F222" s="522">
        <f>Effort!G222</f>
        <v>-16.440962667792281</v>
      </c>
      <c r="G222" s="381">
        <f t="shared" si="10"/>
        <v>9.3262509680432792</v>
      </c>
      <c r="H222" s="226">
        <f t="shared" si="11"/>
        <v>0</v>
      </c>
      <c r="I222" s="42">
        <f t="shared" si="9"/>
        <v>0</v>
      </c>
      <c r="J222" s="29"/>
    </row>
    <row r="223" spans="1:10" x14ac:dyDescent="0.25">
      <c r="A223" s="38">
        <f>Données!A223</f>
        <v>5762</v>
      </c>
      <c r="B223" s="171" t="str">
        <f>Données!B223</f>
        <v>Sergey</v>
      </c>
      <c r="C223" s="353">
        <f>VPI!R223</f>
        <v>3771.973692411721</v>
      </c>
      <c r="D223" s="524">
        <f>Effort!I223</f>
        <v>3.0007875967022741</v>
      </c>
      <c r="E223" s="209">
        <f>PCS!F229/Aide!C223</f>
        <v>0</v>
      </c>
      <c r="F223" s="522">
        <f>Effort!G223</f>
        <v>-7.1505476378271755</v>
      </c>
      <c r="G223" s="381">
        <f t="shared" si="10"/>
        <v>10.15133523452945</v>
      </c>
      <c r="H223" s="226">
        <f t="shared" si="11"/>
        <v>0</v>
      </c>
      <c r="I223" s="42">
        <f t="shared" si="9"/>
        <v>0</v>
      </c>
      <c r="J223" s="29"/>
    </row>
    <row r="224" spans="1:10" x14ac:dyDescent="0.25">
      <c r="A224" s="38">
        <f>Données!A224</f>
        <v>5763</v>
      </c>
      <c r="B224" s="171" t="str">
        <f>Données!B224</f>
        <v>Valeyres-sous-Rances</v>
      </c>
      <c r="C224" s="353">
        <f>VPI!R224</f>
        <v>20450.878825889598</v>
      </c>
      <c r="D224" s="524">
        <f>Effort!I224</f>
        <v>17.489768090417716</v>
      </c>
      <c r="E224" s="209">
        <f>PCS!F230/Aide!C224</f>
        <v>1.3352105908246803</v>
      </c>
      <c r="F224" s="522">
        <f>Effort!G224</f>
        <v>-5.6468022185458242</v>
      </c>
      <c r="G224" s="381">
        <f t="shared" si="10"/>
        <v>24.471780899788222</v>
      </c>
      <c r="H224" s="226">
        <f t="shared" si="11"/>
        <v>0</v>
      </c>
      <c r="I224" s="42">
        <f t="shared" si="9"/>
        <v>0</v>
      </c>
      <c r="J224" s="29"/>
    </row>
    <row r="225" spans="1:10" x14ac:dyDescent="0.25">
      <c r="A225" s="38">
        <f>Données!A225</f>
        <v>5764</v>
      </c>
      <c r="B225" s="171" t="str">
        <f>Données!B225</f>
        <v>Vallorbe</v>
      </c>
      <c r="C225" s="353">
        <f>VPI!R225</f>
        <v>84208.757632819674</v>
      </c>
      <c r="D225" s="524">
        <f>Effort!I225</f>
        <v>-28.093165885580675</v>
      </c>
      <c r="E225" s="209">
        <f>PCS!F231/Aide!C225</f>
        <v>10.352614080845084</v>
      </c>
      <c r="F225" s="522">
        <f>Effort!G225</f>
        <v>-24.020341741630535</v>
      </c>
      <c r="G225" s="381">
        <f t="shared" si="10"/>
        <v>6.2797899368949466</v>
      </c>
      <c r="H225" s="226">
        <f t="shared" si="11"/>
        <v>0</v>
      </c>
      <c r="I225" s="42">
        <f t="shared" si="9"/>
        <v>0</v>
      </c>
      <c r="J225" s="29"/>
    </row>
    <row r="226" spans="1:10" x14ac:dyDescent="0.25">
      <c r="A226" s="38">
        <f>Données!A226</f>
        <v>5765</v>
      </c>
      <c r="B226" s="171" t="str">
        <f>Données!B226</f>
        <v>Vaulion</v>
      </c>
      <c r="C226" s="353">
        <f>VPI!R226</f>
        <v>11314.093434772476</v>
      </c>
      <c r="D226" s="524">
        <f>Effort!I226</f>
        <v>-13.41348658282044</v>
      </c>
      <c r="E226" s="209">
        <f>PCS!F232/Aide!C226</f>
        <v>5.7590716724808741</v>
      </c>
      <c r="F226" s="522">
        <f>Effort!G226</f>
        <v>-13.705196108662333</v>
      </c>
      <c r="G226" s="381">
        <f t="shared" si="10"/>
        <v>6.0507811983227677</v>
      </c>
      <c r="H226" s="226">
        <f t="shared" si="11"/>
        <v>0</v>
      </c>
      <c r="I226" s="42">
        <f t="shared" si="9"/>
        <v>0</v>
      </c>
      <c r="J226" s="29"/>
    </row>
    <row r="227" spans="1:10" x14ac:dyDescent="0.25">
      <c r="A227" s="38">
        <f>Données!A227</f>
        <v>5766</v>
      </c>
      <c r="B227" s="171" t="str">
        <f>Données!B227</f>
        <v>Vuiteboeuf</v>
      </c>
      <c r="C227" s="353">
        <f>VPI!R227</f>
        <v>15990.410165272326</v>
      </c>
      <c r="D227" s="524">
        <f>Effort!I227</f>
        <v>5.8885464956682956</v>
      </c>
      <c r="E227" s="209">
        <f>PCS!F233/Aide!C227</f>
        <v>1.7600377169262371</v>
      </c>
      <c r="F227" s="522">
        <f>Effort!G227</f>
        <v>-7.0804806029463006</v>
      </c>
      <c r="G227" s="381">
        <f t="shared" si="10"/>
        <v>14.729064815540834</v>
      </c>
      <c r="H227" s="226">
        <f t="shared" si="11"/>
        <v>0</v>
      </c>
      <c r="I227" s="42">
        <f t="shared" si="9"/>
        <v>0</v>
      </c>
      <c r="J227" s="29"/>
    </row>
    <row r="228" spans="1:10" x14ac:dyDescent="0.25">
      <c r="A228" s="38">
        <f>Données!A228</f>
        <v>5785</v>
      </c>
      <c r="B228" s="171" t="str">
        <f>Données!B228</f>
        <v>Corcelles-le-Jorat</v>
      </c>
      <c r="C228" s="353">
        <f>VPI!R228</f>
        <v>17505.983698727712</v>
      </c>
      <c r="D228" s="524">
        <f>Effort!I228</f>
        <v>22.362977579538782</v>
      </c>
      <c r="E228" s="209">
        <f>PCS!F234/Aide!C228</f>
        <v>3.7928574105107615</v>
      </c>
      <c r="F228" s="522">
        <f>Effort!G228</f>
        <v>-3.7095236206753426</v>
      </c>
      <c r="G228" s="381">
        <f t="shared" si="10"/>
        <v>29.865358610724886</v>
      </c>
      <c r="H228" s="226">
        <f t="shared" si="11"/>
        <v>0</v>
      </c>
      <c r="I228" s="42">
        <f t="shared" si="9"/>
        <v>0</v>
      </c>
      <c r="J228" s="29"/>
    </row>
    <row r="229" spans="1:10" x14ac:dyDescent="0.25">
      <c r="A229" s="38">
        <f>Données!A229</f>
        <v>5790</v>
      </c>
      <c r="B229" s="171" t="str">
        <f>Données!B229</f>
        <v>Maracon</v>
      </c>
      <c r="C229" s="353">
        <f>VPI!R229</f>
        <v>13395.718975615504</v>
      </c>
      <c r="D229" s="524">
        <f>Effort!I229</f>
        <v>5.4240787393051733</v>
      </c>
      <c r="E229" s="209">
        <f>PCS!F235/Aide!C229</f>
        <v>2.2904086041107954</v>
      </c>
      <c r="F229" s="522">
        <f>Effort!G229</f>
        <v>-4.4046486981185646</v>
      </c>
      <c r="G229" s="381">
        <f t="shared" si="10"/>
        <v>12.119136041534533</v>
      </c>
      <c r="H229" s="226">
        <f t="shared" si="11"/>
        <v>0</v>
      </c>
      <c r="I229" s="42">
        <f t="shared" si="9"/>
        <v>0</v>
      </c>
      <c r="J229" s="29"/>
    </row>
    <row r="230" spans="1:10" x14ac:dyDescent="0.25">
      <c r="A230" s="38">
        <f>Données!A230</f>
        <v>5792</v>
      </c>
      <c r="B230" s="171" t="str">
        <f>Données!B230</f>
        <v>Montpreveyres</v>
      </c>
      <c r="C230" s="353">
        <f>VPI!R230</f>
        <v>17608.366503920086</v>
      </c>
      <c r="D230" s="524">
        <f>Effort!I230</f>
        <v>3.1240548976784339</v>
      </c>
      <c r="E230" s="209">
        <f>PCS!F236/Aide!C230</f>
        <v>3.1787940117863207</v>
      </c>
      <c r="F230" s="522">
        <f>Effort!G230</f>
        <v>-10.024825467892283</v>
      </c>
      <c r="G230" s="381">
        <f t="shared" si="10"/>
        <v>16.327674377357038</v>
      </c>
      <c r="H230" s="226">
        <f t="shared" si="11"/>
        <v>0</v>
      </c>
      <c r="I230" s="42">
        <f t="shared" si="9"/>
        <v>0</v>
      </c>
      <c r="J230" s="29"/>
    </row>
    <row r="231" spans="1:10" x14ac:dyDescent="0.25">
      <c r="A231" s="38">
        <f>Données!A231</f>
        <v>5798</v>
      </c>
      <c r="B231" s="171" t="str">
        <f>Données!B231</f>
        <v>Ropraz</v>
      </c>
      <c r="C231" s="353">
        <f>VPI!R231</f>
        <v>15757.055763710458</v>
      </c>
      <c r="D231" s="524">
        <f>Effort!I231</f>
        <v>12.837402311506501</v>
      </c>
      <c r="E231" s="209">
        <f>PCS!F237/Aide!C231</f>
        <v>2.6045982584208196</v>
      </c>
      <c r="F231" s="522">
        <f>Effort!G231</f>
        <v>-3.6323039199716423</v>
      </c>
      <c r="G231" s="381">
        <f t="shared" si="10"/>
        <v>19.074304489898964</v>
      </c>
      <c r="H231" s="226">
        <f t="shared" si="11"/>
        <v>0</v>
      </c>
      <c r="I231" s="42">
        <f t="shared" si="9"/>
        <v>0</v>
      </c>
      <c r="J231" s="29"/>
    </row>
    <row r="232" spans="1:10" x14ac:dyDescent="0.25">
      <c r="A232" s="38">
        <f>Données!A232</f>
        <v>5799</v>
      </c>
      <c r="B232" s="171" t="str">
        <f>Données!B232</f>
        <v>Servion</v>
      </c>
      <c r="C232" s="353">
        <f>VPI!R232</f>
        <v>69379.10406939665</v>
      </c>
      <c r="D232" s="524">
        <f>Effort!I232</f>
        <v>14.582841602713694</v>
      </c>
      <c r="E232" s="209">
        <f>PCS!F238/Aide!C232</f>
        <v>4.2547696307051357</v>
      </c>
      <c r="F232" s="522">
        <f>Effort!G232</f>
        <v>-4.7428131279193915</v>
      </c>
      <c r="G232" s="381">
        <f t="shared" si="10"/>
        <v>23.580424361338221</v>
      </c>
      <c r="H232" s="226">
        <f t="shared" si="11"/>
        <v>0</v>
      </c>
      <c r="I232" s="42">
        <f t="shared" si="9"/>
        <v>0</v>
      </c>
      <c r="J232" s="29"/>
    </row>
    <row r="233" spans="1:10" x14ac:dyDescent="0.25">
      <c r="A233" s="38">
        <f>Données!A233</f>
        <v>5803</v>
      </c>
      <c r="B233" s="171" t="str">
        <f>Données!B233</f>
        <v>Vulliens</v>
      </c>
      <c r="C233" s="353">
        <f>VPI!R233</f>
        <v>18878.281315789478</v>
      </c>
      <c r="D233" s="524">
        <f>Effort!I233</f>
        <v>13.17048200744949</v>
      </c>
      <c r="E233" s="209">
        <f>PCS!F239/Aide!C233</f>
        <v>1.7069533217013828</v>
      </c>
      <c r="F233" s="522">
        <f>Effort!G233</f>
        <v>-4.3438594725163755</v>
      </c>
      <c r="G233" s="381">
        <f t="shared" si="10"/>
        <v>19.221294801667248</v>
      </c>
      <c r="H233" s="226">
        <f t="shared" si="11"/>
        <v>0</v>
      </c>
      <c r="I233" s="42">
        <f t="shared" si="9"/>
        <v>0</v>
      </c>
      <c r="J233" s="29"/>
    </row>
    <row r="234" spans="1:10" x14ac:dyDescent="0.25">
      <c r="A234" s="38">
        <f>Données!A234</f>
        <v>5804</v>
      </c>
      <c r="B234" s="171" t="str">
        <f>Données!B234</f>
        <v>Jorat-Menthue</v>
      </c>
      <c r="C234" s="353">
        <f>VPI!R234</f>
        <v>46675.442411362579</v>
      </c>
      <c r="D234" s="524">
        <f>Effort!I234</f>
        <v>4.4195438622034491</v>
      </c>
      <c r="E234" s="209">
        <f>PCS!F240/Aide!C234</f>
        <v>4.2550089455960283</v>
      </c>
      <c r="F234" s="522">
        <f>Effort!G234</f>
        <v>-10.589996327554315</v>
      </c>
      <c r="G234" s="381">
        <f t="shared" si="10"/>
        <v>19.264549135353793</v>
      </c>
      <c r="H234" s="226">
        <f t="shared" si="11"/>
        <v>0</v>
      </c>
      <c r="I234" s="42">
        <f t="shared" si="9"/>
        <v>0</v>
      </c>
      <c r="J234" s="29"/>
    </row>
    <row r="235" spans="1:10" x14ac:dyDescent="0.25">
      <c r="A235" s="38">
        <f>Données!A235</f>
        <v>5805</v>
      </c>
      <c r="B235" s="171" t="str">
        <f>Données!B235</f>
        <v>Oron</v>
      </c>
      <c r="C235" s="353">
        <f>VPI!R235</f>
        <v>172360.6832516081</v>
      </c>
      <c r="D235" s="524">
        <f>Effort!I235</f>
        <v>2.5117808987506649</v>
      </c>
      <c r="E235" s="209">
        <f>PCS!F241/Aide!C235</f>
        <v>2.2831296127176879</v>
      </c>
      <c r="F235" s="522">
        <f>Effort!G235</f>
        <v>-5.2087873728127327</v>
      </c>
      <c r="G235" s="381">
        <f t="shared" si="10"/>
        <v>10.003697884281085</v>
      </c>
      <c r="H235" s="226">
        <f t="shared" si="11"/>
        <v>0</v>
      </c>
      <c r="I235" s="42">
        <f t="shared" si="9"/>
        <v>0</v>
      </c>
      <c r="J235" s="29"/>
    </row>
    <row r="236" spans="1:10" x14ac:dyDescent="0.25">
      <c r="A236" s="38">
        <f>Données!A236</f>
        <v>5806</v>
      </c>
      <c r="B236" s="171" t="str">
        <f>Données!B236</f>
        <v>Jorat-Mézières</v>
      </c>
      <c r="C236" s="353">
        <f>VPI!R236</f>
        <v>91040.343063115521</v>
      </c>
      <c r="D236" s="524">
        <f>Effort!I236</f>
        <v>9.6175792133209033</v>
      </c>
      <c r="E236" s="209">
        <f>PCS!F242/Aide!C236</f>
        <v>2.995614590456126</v>
      </c>
      <c r="F236" s="522">
        <f>Effort!G236</f>
        <v>-4.5426173464064963</v>
      </c>
      <c r="G236" s="381">
        <f t="shared" si="10"/>
        <v>17.155811150183524</v>
      </c>
      <c r="H236" s="226">
        <f t="shared" si="11"/>
        <v>0</v>
      </c>
      <c r="I236" s="42">
        <f t="shared" si="9"/>
        <v>0</v>
      </c>
      <c r="J236" s="29"/>
    </row>
    <row r="237" spans="1:10" x14ac:dyDescent="0.25">
      <c r="A237" s="38">
        <f>Données!A237</f>
        <v>5812</v>
      </c>
      <c r="B237" s="171" t="str">
        <f>Données!B237</f>
        <v>Champtauroz</v>
      </c>
      <c r="C237" s="353">
        <f>VPI!R237</f>
        <v>2509.107922077922</v>
      </c>
      <c r="D237" s="524">
        <f>Effort!I237</f>
        <v>-24.232096541752114</v>
      </c>
      <c r="E237" s="209">
        <f>PCS!F243/Aide!C237</f>
        <v>5.3275807239609296</v>
      </c>
      <c r="F237" s="522">
        <f>Effort!G237</f>
        <v>-11.785205493689457</v>
      </c>
      <c r="G237" s="381">
        <f t="shared" si="10"/>
        <v>-7.119310324101729</v>
      </c>
      <c r="H237" s="226">
        <f t="shared" si="11"/>
        <v>0</v>
      </c>
      <c r="I237" s="42">
        <f t="shared" si="9"/>
        <v>0</v>
      </c>
      <c r="J237" s="29"/>
    </row>
    <row r="238" spans="1:10" x14ac:dyDescent="0.25">
      <c r="A238" s="38">
        <f>Données!A238</f>
        <v>5813</v>
      </c>
      <c r="B238" s="171" t="str">
        <f>Données!B238</f>
        <v>Chevroux</v>
      </c>
      <c r="C238" s="353">
        <f>VPI!R238</f>
        <v>15173.187804567502</v>
      </c>
      <c r="D238" s="524">
        <f>Effort!I238</f>
        <v>-1.3460357385088599</v>
      </c>
      <c r="E238" s="209">
        <f>PCS!F244/Aide!C238</f>
        <v>1.7529885837169448</v>
      </c>
      <c r="F238" s="522">
        <f>Effort!G238</f>
        <v>-21.564988675227287</v>
      </c>
      <c r="G238" s="381">
        <f t="shared" si="10"/>
        <v>21.971941520435372</v>
      </c>
      <c r="H238" s="226">
        <f t="shared" si="11"/>
        <v>0</v>
      </c>
      <c r="I238" s="42">
        <f t="shared" si="9"/>
        <v>0</v>
      </c>
      <c r="J238" s="29"/>
    </row>
    <row r="239" spans="1:10" x14ac:dyDescent="0.25">
      <c r="A239" s="38">
        <f>Données!A239</f>
        <v>5816</v>
      </c>
      <c r="B239" s="171" t="str">
        <f>Données!B239</f>
        <v>Corcelles-près-Payerne</v>
      </c>
      <c r="C239" s="353">
        <f>VPI!R239</f>
        <v>60494.301475743108</v>
      </c>
      <c r="D239" s="524">
        <f>Effort!I239</f>
        <v>-3.1400489836003658</v>
      </c>
      <c r="E239" s="209">
        <f>PCS!F245/Aide!C239</f>
        <v>2.9408341060246062</v>
      </c>
      <c r="F239" s="522">
        <f>Effort!G239</f>
        <v>-5.5826405612925196</v>
      </c>
      <c r="G239" s="381">
        <f t="shared" si="10"/>
        <v>5.3834256837167604</v>
      </c>
      <c r="H239" s="226">
        <f t="shared" si="11"/>
        <v>0</v>
      </c>
      <c r="I239" s="42">
        <f t="shared" si="9"/>
        <v>0</v>
      </c>
      <c r="J239" s="29"/>
    </row>
    <row r="240" spans="1:10" x14ac:dyDescent="0.25">
      <c r="A240" s="38">
        <f>Données!A240</f>
        <v>5817</v>
      </c>
      <c r="B240" s="171" t="str">
        <f>Données!B240</f>
        <v>Grandcour</v>
      </c>
      <c r="C240" s="353">
        <f>VPI!R240</f>
        <v>21852.23221700843</v>
      </c>
      <c r="D240" s="524">
        <f>Effort!I240</f>
        <v>-1.0089415201222494</v>
      </c>
      <c r="E240" s="209">
        <f>PCS!F246/Aide!C240</f>
        <v>1.2491588835832419</v>
      </c>
      <c r="F240" s="522">
        <f>Effort!G240</f>
        <v>-6.7596381490135489</v>
      </c>
      <c r="G240" s="381">
        <f t="shared" si="10"/>
        <v>6.9998555124745412</v>
      </c>
      <c r="H240" s="226">
        <f t="shared" si="11"/>
        <v>0</v>
      </c>
      <c r="I240" s="42">
        <f t="shared" si="9"/>
        <v>0</v>
      </c>
      <c r="J240" s="29"/>
    </row>
    <row r="241" spans="1:10" x14ac:dyDescent="0.25">
      <c r="A241" s="38">
        <f>Données!A241</f>
        <v>5819</v>
      </c>
      <c r="B241" s="171" t="str">
        <f>Données!B241</f>
        <v>Henniez</v>
      </c>
      <c r="C241" s="353">
        <f>VPI!R241</f>
        <v>11442.507547725303</v>
      </c>
      <c r="D241" s="524">
        <f>Effort!I241</f>
        <v>9.2276082755715993</v>
      </c>
      <c r="E241" s="209">
        <f>PCS!F247/Aide!C241</f>
        <v>1.822752566516437</v>
      </c>
      <c r="F241" s="522">
        <f>Effort!G241</f>
        <v>-8.8630664468129599</v>
      </c>
      <c r="G241" s="381">
        <f t="shared" si="10"/>
        <v>19.913427288900998</v>
      </c>
      <c r="H241" s="226">
        <f t="shared" si="11"/>
        <v>0</v>
      </c>
      <c r="I241" s="42">
        <f t="shared" si="9"/>
        <v>0</v>
      </c>
      <c r="J241" s="29"/>
    </row>
    <row r="242" spans="1:10" x14ac:dyDescent="0.25">
      <c r="A242" s="38">
        <f>Données!A242</f>
        <v>5821</v>
      </c>
      <c r="B242" s="171" t="str">
        <f>Données!B242</f>
        <v>Missy</v>
      </c>
      <c r="C242" s="353">
        <f>VPI!R242</f>
        <v>7871.5501639965696</v>
      </c>
      <c r="D242" s="524">
        <f>Effort!I242</f>
        <v>1.5009064232080433</v>
      </c>
      <c r="E242" s="209">
        <f>PCS!F248/Aide!C242</f>
        <v>2.0351963293423512</v>
      </c>
      <c r="F242" s="522">
        <f>Effort!G242</f>
        <v>-2.4597059807327959</v>
      </c>
      <c r="G242" s="381">
        <f t="shared" si="10"/>
        <v>5.9958087332831909</v>
      </c>
      <c r="H242" s="226">
        <f t="shared" si="11"/>
        <v>0</v>
      </c>
      <c r="I242" s="42">
        <f t="shared" si="9"/>
        <v>0</v>
      </c>
      <c r="J242" s="29"/>
    </row>
    <row r="243" spans="1:10" x14ac:dyDescent="0.25">
      <c r="A243" s="38">
        <f>Données!A243</f>
        <v>5822</v>
      </c>
      <c r="B243" s="171" t="str">
        <f>Données!B243</f>
        <v>Payerne</v>
      </c>
      <c r="C243" s="353">
        <f>VPI!R243</f>
        <v>237529.8930471511</v>
      </c>
      <c r="D243" s="524">
        <f>Effort!I243</f>
        <v>-15.545225354486888</v>
      </c>
      <c r="E243" s="209">
        <f>PCS!F249/Aide!C243</f>
        <v>3.479046739754811</v>
      </c>
      <c r="F243" s="522">
        <f>Effort!G243</f>
        <v>-7.179662188365338</v>
      </c>
      <c r="G243" s="381">
        <f t="shared" si="10"/>
        <v>-4.8865164263667396</v>
      </c>
      <c r="H243" s="226">
        <f t="shared" si="11"/>
        <v>0</v>
      </c>
      <c r="I243" s="42">
        <f t="shared" si="9"/>
        <v>0</v>
      </c>
      <c r="J243" s="29"/>
    </row>
    <row r="244" spans="1:10" x14ac:dyDescent="0.25">
      <c r="A244" s="38">
        <f>Données!A244</f>
        <v>5827</v>
      </c>
      <c r="B244" s="171" t="str">
        <f>Données!B244</f>
        <v>Trey</v>
      </c>
      <c r="C244" s="353">
        <f>VPI!R244</f>
        <v>6158.3041346806722</v>
      </c>
      <c r="D244" s="524">
        <f>Effort!I244</f>
        <v>-11.928070456894748</v>
      </c>
      <c r="E244" s="209">
        <f>PCS!F250/Aide!C244</f>
        <v>2.1052427285928874</v>
      </c>
      <c r="F244" s="522">
        <f>Effort!G244</f>
        <v>-8.8691909326670739</v>
      </c>
      <c r="G244" s="381">
        <f t="shared" si="10"/>
        <v>-0.95363679563478598</v>
      </c>
      <c r="H244" s="226">
        <f t="shared" si="11"/>
        <v>0</v>
      </c>
      <c r="I244" s="42">
        <f t="shared" si="9"/>
        <v>0</v>
      </c>
      <c r="J244" s="29"/>
    </row>
    <row r="245" spans="1:10" x14ac:dyDescent="0.25">
      <c r="A245" s="38">
        <f>Données!A245</f>
        <v>5828</v>
      </c>
      <c r="B245" s="171" t="str">
        <f>Données!B245</f>
        <v>Treytorrens (Payerne)</v>
      </c>
      <c r="C245" s="353">
        <f>VPI!R245</f>
        <v>2288.504365079365</v>
      </c>
      <c r="D245" s="524">
        <f>Effort!I245</f>
        <v>-20.405344977139542</v>
      </c>
      <c r="E245" s="209">
        <f>PCS!F251/Aide!C245</f>
        <v>1.3216273677044568</v>
      </c>
      <c r="F245" s="522">
        <f>Effort!G245</f>
        <v>-11.33156918178522</v>
      </c>
      <c r="G245" s="381">
        <f t="shared" si="10"/>
        <v>-7.752148427649864</v>
      </c>
      <c r="H245" s="226">
        <f t="shared" si="11"/>
        <v>0</v>
      </c>
      <c r="I245" s="42">
        <f t="shared" si="9"/>
        <v>0</v>
      </c>
      <c r="J245" s="29"/>
    </row>
    <row r="246" spans="1:10" x14ac:dyDescent="0.25">
      <c r="A246" s="38">
        <f>Données!A246</f>
        <v>5830</v>
      </c>
      <c r="B246" s="171" t="str">
        <f>Données!B246</f>
        <v>Villarzel</v>
      </c>
      <c r="C246" s="353">
        <f>VPI!R246</f>
        <v>12469.37329599799</v>
      </c>
      <c r="D246" s="524">
        <f>Effort!I246</f>
        <v>3.4156014650668514</v>
      </c>
      <c r="E246" s="209">
        <f>PCS!F252/Aide!C246</f>
        <v>3.2789759380387222</v>
      </c>
      <c r="F246" s="522">
        <f>Effort!G246</f>
        <v>-7.4442602703861684</v>
      </c>
      <c r="G246" s="381">
        <f t="shared" si="10"/>
        <v>14.138837673491743</v>
      </c>
      <c r="H246" s="226">
        <f t="shared" si="11"/>
        <v>0</v>
      </c>
      <c r="I246" s="42">
        <f t="shared" si="9"/>
        <v>0</v>
      </c>
      <c r="J246" s="29"/>
    </row>
    <row r="247" spans="1:10" x14ac:dyDescent="0.25">
      <c r="A247" s="38">
        <f>Données!A247</f>
        <v>5831</v>
      </c>
      <c r="B247" s="171" t="str">
        <f>Données!B247</f>
        <v>Valbroye</v>
      </c>
      <c r="C247" s="353">
        <f>VPI!R247</f>
        <v>83737.262655956278</v>
      </c>
      <c r="D247" s="524">
        <f>Effort!I247</f>
        <v>-4.7082816872703575</v>
      </c>
      <c r="E247" s="209">
        <f>PCS!F253/Aide!C247</f>
        <v>3.0242586987883424</v>
      </c>
      <c r="F247" s="522">
        <f>Effort!G247</f>
        <v>-9.4058743871326964</v>
      </c>
      <c r="G247" s="381">
        <f t="shared" si="10"/>
        <v>7.7218513986506814</v>
      </c>
      <c r="H247" s="226">
        <f t="shared" si="11"/>
        <v>0</v>
      </c>
      <c r="I247" s="42">
        <f t="shared" si="9"/>
        <v>0</v>
      </c>
      <c r="J247" s="29"/>
    </row>
    <row r="248" spans="1:10" x14ac:dyDescent="0.25">
      <c r="A248" s="38">
        <f>Données!A248</f>
        <v>5841</v>
      </c>
      <c r="B248" s="171" t="str">
        <f>Données!B248</f>
        <v>Château-d'Oex</v>
      </c>
      <c r="C248" s="353">
        <f>VPI!R248</f>
        <v>108627.58984858803</v>
      </c>
      <c r="D248" s="524">
        <f>Effort!I248</f>
        <v>-7.9418240872268342</v>
      </c>
      <c r="E248" s="209">
        <f>PCS!F254/Aide!C248</f>
        <v>7.5098224690161777</v>
      </c>
      <c r="F248" s="522">
        <f>Effort!G248</f>
        <v>-19.033591869159441</v>
      </c>
      <c r="G248" s="381">
        <f t="shared" si="10"/>
        <v>18.601590250948785</v>
      </c>
      <c r="H248" s="226">
        <f t="shared" si="11"/>
        <v>0</v>
      </c>
      <c r="I248" s="42">
        <f t="shared" si="9"/>
        <v>0</v>
      </c>
      <c r="J248" s="29"/>
    </row>
    <row r="249" spans="1:10" x14ac:dyDescent="0.25">
      <c r="A249" s="38">
        <f>Données!A249</f>
        <v>5842</v>
      </c>
      <c r="B249" s="171" t="str">
        <f>Données!B249</f>
        <v>Rossinière</v>
      </c>
      <c r="C249" s="353">
        <f>VPI!R249</f>
        <v>14504.788146274859</v>
      </c>
      <c r="D249" s="524">
        <f>Effort!I249</f>
        <v>-15.688452942553781</v>
      </c>
      <c r="E249" s="209">
        <f>PCS!F255/Aide!C249</f>
        <v>2.4894210543346298</v>
      </c>
      <c r="F249" s="522">
        <f>Effort!G249</f>
        <v>-26.256624176903987</v>
      </c>
      <c r="G249" s="381">
        <f t="shared" si="10"/>
        <v>13.057592288684836</v>
      </c>
      <c r="H249" s="226">
        <f t="shared" si="11"/>
        <v>0</v>
      </c>
      <c r="I249" s="42">
        <f t="shared" si="9"/>
        <v>0</v>
      </c>
      <c r="J249" s="29"/>
    </row>
    <row r="250" spans="1:10" x14ac:dyDescent="0.25">
      <c r="A250" s="38">
        <f>Données!A250</f>
        <v>5843</v>
      </c>
      <c r="B250" s="171" t="str">
        <f>Données!B250</f>
        <v>Rougemont</v>
      </c>
      <c r="C250" s="353">
        <f>VPI!R250</f>
        <v>100453.05146272083</v>
      </c>
      <c r="D250" s="524">
        <f>Effort!I250</f>
        <v>49.319199222366585</v>
      </c>
      <c r="E250" s="209">
        <f>PCS!F256/Aide!C250</f>
        <v>6.33943260784197</v>
      </c>
      <c r="F250" s="522">
        <f>Effort!G250</f>
        <v>-0.70549067640792484</v>
      </c>
      <c r="G250" s="381">
        <f t="shared" si="10"/>
        <v>56.364122506616482</v>
      </c>
      <c r="H250" s="226">
        <f t="shared" si="11"/>
        <v>0</v>
      </c>
      <c r="I250" s="42">
        <f t="shared" si="9"/>
        <v>0</v>
      </c>
      <c r="J250" s="29"/>
    </row>
    <row r="251" spans="1:10" x14ac:dyDescent="0.25">
      <c r="A251" s="38">
        <f>Données!A251</f>
        <v>5851</v>
      </c>
      <c r="B251" s="171" t="str">
        <f>Données!B251</f>
        <v>Allaman</v>
      </c>
      <c r="C251" s="353">
        <f>VPI!R251</f>
        <v>24279.81507965273</v>
      </c>
      <c r="D251" s="524">
        <f>Effort!I251</f>
        <v>33.385040446135406</v>
      </c>
      <c r="E251" s="209">
        <f>PCS!F257/Aide!C251</f>
        <v>0.91514947404277369</v>
      </c>
      <c r="F251" s="522">
        <f>Effort!G251</f>
        <v>0</v>
      </c>
      <c r="G251" s="381">
        <f t="shared" si="10"/>
        <v>34.300189920178177</v>
      </c>
      <c r="H251" s="226">
        <f t="shared" si="11"/>
        <v>0</v>
      </c>
      <c r="I251" s="42">
        <f t="shared" si="9"/>
        <v>0</v>
      </c>
      <c r="J251" s="29"/>
    </row>
    <row r="252" spans="1:10" x14ac:dyDescent="0.25">
      <c r="A252" s="38">
        <f>Données!A252</f>
        <v>5852</v>
      </c>
      <c r="B252" s="171" t="str">
        <f>Données!B252</f>
        <v>Bursinel</v>
      </c>
      <c r="C252" s="353">
        <f>VPI!R252</f>
        <v>40701.690718752099</v>
      </c>
      <c r="D252" s="524">
        <f>Effort!I252</f>
        <v>41.313938092906191</v>
      </c>
      <c r="E252" s="209">
        <f>PCS!F258/Aide!C252</f>
        <v>0.98476928825793253</v>
      </c>
      <c r="F252" s="522">
        <f>Effort!G252</f>
        <v>0</v>
      </c>
      <c r="G252" s="381">
        <f t="shared" si="10"/>
        <v>42.298707381164121</v>
      </c>
      <c r="H252" s="226">
        <f t="shared" si="11"/>
        <v>0</v>
      </c>
      <c r="I252" s="42">
        <f t="shared" si="9"/>
        <v>0</v>
      </c>
      <c r="J252" s="29"/>
    </row>
    <row r="253" spans="1:10" x14ac:dyDescent="0.25">
      <c r="A253" s="38">
        <f>Données!A253</f>
        <v>5853</v>
      </c>
      <c r="B253" s="171" t="str">
        <f>Données!B253</f>
        <v>Bursins</v>
      </c>
      <c r="C253" s="353">
        <f>VPI!R253</f>
        <v>41997.209489150475</v>
      </c>
      <c r="D253" s="524">
        <f>Effort!I253</f>
        <v>33.501478763559717</v>
      </c>
      <c r="E253" s="209">
        <f>PCS!F259/Aide!C253</f>
        <v>7.9311844537206619</v>
      </c>
      <c r="F253" s="522">
        <f>Effort!G253</f>
        <v>-0.10518181890819001</v>
      </c>
      <c r="G253" s="381">
        <f t="shared" si="10"/>
        <v>41.537845036188571</v>
      </c>
      <c r="H253" s="226">
        <f t="shared" si="11"/>
        <v>0</v>
      </c>
      <c r="I253" s="42">
        <f t="shared" si="9"/>
        <v>0</v>
      </c>
      <c r="J253" s="29"/>
    </row>
    <row r="254" spans="1:10" x14ac:dyDescent="0.25">
      <c r="A254" s="38">
        <f>Données!A254</f>
        <v>5854</v>
      </c>
      <c r="B254" s="171" t="str">
        <f>Données!B254</f>
        <v>Burtigny</v>
      </c>
      <c r="C254" s="353">
        <f>VPI!R254</f>
        <v>10782.892174980714</v>
      </c>
      <c r="D254" s="524">
        <f>Effort!I254</f>
        <v>7.0387606068871449</v>
      </c>
      <c r="E254" s="209">
        <f>PCS!F260/Aide!C254</f>
        <v>5.6023044670858955</v>
      </c>
      <c r="F254" s="522">
        <f>Effort!G254</f>
        <v>-3.4058096123868422</v>
      </c>
      <c r="G254" s="381">
        <f t="shared" si="10"/>
        <v>16.046874686359882</v>
      </c>
      <c r="H254" s="226">
        <f t="shared" si="11"/>
        <v>0</v>
      </c>
      <c r="I254" s="42">
        <f t="shared" si="9"/>
        <v>0</v>
      </c>
      <c r="J254" s="29"/>
    </row>
    <row r="255" spans="1:10" x14ac:dyDescent="0.25">
      <c r="A255" s="38">
        <f>Données!A255</f>
        <v>5855</v>
      </c>
      <c r="B255" s="171" t="str">
        <f>Données!B255</f>
        <v>Dully</v>
      </c>
      <c r="C255" s="353">
        <f>VPI!R255</f>
        <v>98130.783845823462</v>
      </c>
      <c r="D255" s="524">
        <f>Effort!I255</f>
        <v>48.318811066876371</v>
      </c>
      <c r="E255" s="209">
        <f>PCS!F261/Aide!C255</f>
        <v>2.7607087641900074</v>
      </c>
      <c r="F255" s="522">
        <f>Effort!G255</f>
        <v>0</v>
      </c>
      <c r="G255" s="381">
        <f t="shared" si="10"/>
        <v>51.079519831066378</v>
      </c>
      <c r="H255" s="226">
        <f t="shared" si="11"/>
        <v>0</v>
      </c>
      <c r="I255" s="42">
        <f t="shared" si="9"/>
        <v>0</v>
      </c>
      <c r="J255" s="29"/>
    </row>
    <row r="256" spans="1:10" x14ac:dyDescent="0.25">
      <c r="A256" s="38">
        <f>Données!A256</f>
        <v>5856</v>
      </c>
      <c r="B256" s="171" t="str">
        <f>Données!B256</f>
        <v>Essertines-sur-Rolle</v>
      </c>
      <c r="C256" s="353">
        <f>VPI!R256</f>
        <v>35711.178597082457</v>
      </c>
      <c r="D256" s="524">
        <f>Effort!I256</f>
        <v>31.762260108886117</v>
      </c>
      <c r="E256" s="209">
        <f>PCS!F262/Aide!C256</f>
        <v>3.9158333746908203</v>
      </c>
      <c r="F256" s="522">
        <f>Effort!G256</f>
        <v>0</v>
      </c>
      <c r="G256" s="381">
        <f t="shared" si="10"/>
        <v>35.678093483576937</v>
      </c>
      <c r="H256" s="226">
        <f t="shared" si="11"/>
        <v>0</v>
      </c>
      <c r="I256" s="42">
        <f t="shared" si="9"/>
        <v>0</v>
      </c>
      <c r="J256" s="29"/>
    </row>
    <row r="257" spans="1:10" x14ac:dyDescent="0.25">
      <c r="A257" s="38">
        <f>Données!A257</f>
        <v>5857</v>
      </c>
      <c r="B257" s="171" t="str">
        <f>Données!B257</f>
        <v>Gilly</v>
      </c>
      <c r="C257" s="353">
        <f>VPI!R257</f>
        <v>82138.568992248052</v>
      </c>
      <c r="D257" s="524">
        <f>Effort!I257</f>
        <v>33.220054478053413</v>
      </c>
      <c r="E257" s="209">
        <f>PCS!F263/Aide!C257</f>
        <v>1.7082960139376497</v>
      </c>
      <c r="F257" s="522">
        <f>Effort!G257</f>
        <v>0</v>
      </c>
      <c r="G257" s="381">
        <f t="shared" si="10"/>
        <v>34.928350491991061</v>
      </c>
      <c r="H257" s="226">
        <f t="shared" si="11"/>
        <v>0</v>
      </c>
      <c r="I257" s="42">
        <f t="shared" si="9"/>
        <v>0</v>
      </c>
      <c r="J257" s="29"/>
    </row>
    <row r="258" spans="1:10" x14ac:dyDescent="0.25">
      <c r="A258" s="38">
        <f>Données!A258</f>
        <v>5858</v>
      </c>
      <c r="B258" s="171" t="str">
        <f>Données!B258</f>
        <v>Luins</v>
      </c>
      <c r="C258" s="353">
        <f>VPI!R258</f>
        <v>40277.440146315326</v>
      </c>
      <c r="D258" s="524">
        <f>Effort!I258</f>
        <v>36.117531144137907</v>
      </c>
      <c r="E258" s="209">
        <f>PCS!F264/Aide!C258</f>
        <v>1.4539644224474724</v>
      </c>
      <c r="F258" s="522">
        <f>Effort!G258</f>
        <v>0</v>
      </c>
      <c r="G258" s="381">
        <f t="shared" si="10"/>
        <v>37.571495566585376</v>
      </c>
      <c r="H258" s="226">
        <f t="shared" si="11"/>
        <v>0</v>
      </c>
      <c r="I258" s="42">
        <f t="shared" si="9"/>
        <v>0</v>
      </c>
      <c r="J258" s="29"/>
    </row>
    <row r="259" spans="1:10" x14ac:dyDescent="0.25">
      <c r="A259" s="38">
        <f>Données!A259</f>
        <v>5859</v>
      </c>
      <c r="B259" s="171" t="str">
        <f>Données!B259</f>
        <v>Mont-sur-Rolle</v>
      </c>
      <c r="C259" s="353">
        <f>VPI!R259</f>
        <v>146440.66164065379</v>
      </c>
      <c r="D259" s="524">
        <f>Effort!I259</f>
        <v>31.112317342989428</v>
      </c>
      <c r="E259" s="209">
        <f>PCS!F265/Aide!C259</f>
        <v>2.4692331757371426</v>
      </c>
      <c r="F259" s="522">
        <f>Effort!G259</f>
        <v>0</v>
      </c>
      <c r="G259" s="381">
        <f t="shared" si="10"/>
        <v>33.581550518726573</v>
      </c>
      <c r="H259" s="226">
        <f t="shared" si="11"/>
        <v>0</v>
      </c>
      <c r="I259" s="42">
        <f t="shared" si="9"/>
        <v>0</v>
      </c>
      <c r="J259" s="29"/>
    </row>
    <row r="260" spans="1:10" x14ac:dyDescent="0.25">
      <c r="A260" s="38">
        <f>Données!A260</f>
        <v>5860</v>
      </c>
      <c r="B260" s="171" t="str">
        <f>Données!B260</f>
        <v>Perroy</v>
      </c>
      <c r="C260" s="353">
        <f>VPI!R260</f>
        <v>110194.28576674461</v>
      </c>
      <c r="D260" s="524">
        <f>Effort!I260</f>
        <v>36.911212837607842</v>
      </c>
      <c r="E260" s="209">
        <f>PCS!F266/Aide!C260</f>
        <v>3.3257253536335218</v>
      </c>
      <c r="F260" s="522">
        <f>Effort!G260</f>
        <v>0</v>
      </c>
      <c r="G260" s="381">
        <f t="shared" si="10"/>
        <v>40.236938191241364</v>
      </c>
      <c r="H260" s="226">
        <f t="shared" si="11"/>
        <v>0</v>
      </c>
      <c r="I260" s="42">
        <f t="shared" si="9"/>
        <v>0</v>
      </c>
      <c r="J260" s="29"/>
    </row>
    <row r="261" spans="1:10" x14ac:dyDescent="0.25">
      <c r="A261" s="38">
        <f>Données!A261</f>
        <v>5861</v>
      </c>
      <c r="B261" s="171" t="str">
        <f>Données!B261</f>
        <v>Rolle</v>
      </c>
      <c r="C261" s="353">
        <f>VPI!R261</f>
        <v>663825.23287759279</v>
      </c>
      <c r="D261" s="524">
        <f>Effort!I261</f>
        <v>42.29591228067207</v>
      </c>
      <c r="E261" s="209">
        <f>PCS!F267/Aide!C261</f>
        <v>1.5634690105119577</v>
      </c>
      <c r="F261" s="522">
        <f>Effort!G261</f>
        <v>0</v>
      </c>
      <c r="G261" s="381">
        <f t="shared" si="10"/>
        <v>43.859381291184029</v>
      </c>
      <c r="H261" s="226">
        <f t="shared" si="11"/>
        <v>0</v>
      </c>
      <c r="I261" s="42">
        <f t="shared" si="9"/>
        <v>0</v>
      </c>
      <c r="J261" s="29"/>
    </row>
    <row r="262" spans="1:10" x14ac:dyDescent="0.25">
      <c r="A262" s="38">
        <f>Données!A262</f>
        <v>5862</v>
      </c>
      <c r="B262" s="171" t="str">
        <f>Données!B262</f>
        <v>Tartegnin</v>
      </c>
      <c r="C262" s="353">
        <f>VPI!R262</f>
        <v>8093.970937390457</v>
      </c>
      <c r="D262" s="524">
        <f>Effort!I262</f>
        <v>21.506269400070845</v>
      </c>
      <c r="E262" s="209">
        <f>PCS!F268/Aide!C262</f>
        <v>0.28655835534143714</v>
      </c>
      <c r="F262" s="522">
        <f>Effort!G262</f>
        <v>0</v>
      </c>
      <c r="G262" s="381">
        <f t="shared" si="10"/>
        <v>21.792827755412283</v>
      </c>
      <c r="H262" s="226">
        <f t="shared" si="11"/>
        <v>0</v>
      </c>
      <c r="I262" s="42">
        <f t="shared" ref="I262:I305" si="12">-H262*C262</f>
        <v>0</v>
      </c>
      <c r="J262" s="29"/>
    </row>
    <row r="263" spans="1:10" x14ac:dyDescent="0.25">
      <c r="A263" s="38">
        <f>Données!A263</f>
        <v>5863</v>
      </c>
      <c r="B263" s="171" t="str">
        <f>Données!B263</f>
        <v>Vinzel</v>
      </c>
      <c r="C263" s="353">
        <f>VPI!R263</f>
        <v>21922.221840386148</v>
      </c>
      <c r="D263" s="524">
        <f>Effort!I263</f>
        <v>34.293886084002281</v>
      </c>
      <c r="E263" s="209">
        <f>PCS!F269/Aide!C263</f>
        <v>2.6224456361485005</v>
      </c>
      <c r="F263" s="522">
        <f>Effort!G263</f>
        <v>0</v>
      </c>
      <c r="G263" s="381">
        <f t="shared" ref="G263:G305" si="13">D263+E263-F263</f>
        <v>36.916331720150779</v>
      </c>
      <c r="H263" s="226">
        <f t="shared" ref="H263:H305" si="14">IF(G263&lt;H$5,G263-H$5,0)</f>
        <v>0</v>
      </c>
      <c r="I263" s="42">
        <f t="shared" si="12"/>
        <v>0</v>
      </c>
      <c r="J263" s="29"/>
    </row>
    <row r="264" spans="1:10" x14ac:dyDescent="0.25">
      <c r="A264" s="38">
        <f>Données!A264</f>
        <v>5871</v>
      </c>
      <c r="B264" s="171" t="str">
        <f>Données!B264</f>
        <v>L'Abbaye</v>
      </c>
      <c r="C264" s="353">
        <f>VPI!R264</f>
        <v>49484.284679945325</v>
      </c>
      <c r="D264" s="524">
        <f>Effort!I264</f>
        <v>11.864538898106158</v>
      </c>
      <c r="E264" s="209">
        <f>PCS!F270/Aide!C264</f>
        <v>7.2854894706825597</v>
      </c>
      <c r="F264" s="522">
        <f>Effort!G264</f>
        <v>-7.0682246733997749</v>
      </c>
      <c r="G264" s="381">
        <f t="shared" si="13"/>
        <v>26.218253042188493</v>
      </c>
      <c r="H264" s="226">
        <f t="shared" si="14"/>
        <v>0</v>
      </c>
      <c r="I264" s="42">
        <f t="shared" si="12"/>
        <v>0</v>
      </c>
      <c r="J264" s="29"/>
    </row>
    <row r="265" spans="1:10" x14ac:dyDescent="0.25">
      <c r="A265" s="38">
        <f>Données!A265</f>
        <v>5872</v>
      </c>
      <c r="B265" s="171" t="str">
        <f>Données!B265</f>
        <v>Le Chenit</v>
      </c>
      <c r="C265" s="353">
        <f>VPI!R265</f>
        <v>234098.82523259622</v>
      </c>
      <c r="D265" s="524">
        <f>Effort!I265</f>
        <v>21.541683446790724</v>
      </c>
      <c r="E265" s="209">
        <f>PCS!F271/Aide!C265</f>
        <v>16.265641385498938</v>
      </c>
      <c r="F265" s="522">
        <f>Effort!G265</f>
        <v>-6.5709414737626277</v>
      </c>
      <c r="G265" s="381">
        <f t="shared" si="13"/>
        <v>44.378266306052296</v>
      </c>
      <c r="H265" s="226">
        <f t="shared" si="14"/>
        <v>0</v>
      </c>
      <c r="I265" s="42">
        <f t="shared" si="12"/>
        <v>0</v>
      </c>
      <c r="J265" s="29"/>
    </row>
    <row r="266" spans="1:10" x14ac:dyDescent="0.25">
      <c r="A266" s="38">
        <f>Données!A266</f>
        <v>5873</v>
      </c>
      <c r="B266" s="171" t="str">
        <f>Données!B266</f>
        <v>Le Lieu</v>
      </c>
      <c r="C266" s="353">
        <f>VPI!R266</f>
        <v>30412.639654224466</v>
      </c>
      <c r="D266" s="524">
        <f>Effort!I266</f>
        <v>0.52250776060142812</v>
      </c>
      <c r="E266" s="209">
        <f>PCS!F272/Aide!C266</f>
        <v>12.172717962302123</v>
      </c>
      <c r="F266" s="522">
        <f>Effort!G266</f>
        <v>-22.797114627887265</v>
      </c>
      <c r="G266" s="381">
        <f t="shared" si="13"/>
        <v>35.492340350790812</v>
      </c>
      <c r="H266" s="226">
        <f t="shared" si="14"/>
        <v>0</v>
      </c>
      <c r="I266" s="42">
        <f t="shared" si="12"/>
        <v>0</v>
      </c>
      <c r="J266" s="29"/>
    </row>
    <row r="267" spans="1:10" x14ac:dyDescent="0.25">
      <c r="A267" s="38">
        <f>Données!A267</f>
        <v>5882</v>
      </c>
      <c r="B267" s="171" t="str">
        <f>Données!B267</f>
        <v>Chardonne</v>
      </c>
      <c r="C267" s="353">
        <f>VPI!R267</f>
        <v>178990.25503852809</v>
      </c>
      <c r="D267" s="524">
        <f>Effort!I267</f>
        <v>29.816452406221778</v>
      </c>
      <c r="E267" s="209">
        <f>PCS!F273/Aide!C267</f>
        <v>3.4712661304731851</v>
      </c>
      <c r="F267" s="522">
        <f>Effort!G267</f>
        <v>-2.1488961490447545</v>
      </c>
      <c r="G267" s="381">
        <f t="shared" si="13"/>
        <v>35.436614685739713</v>
      </c>
      <c r="H267" s="226">
        <f t="shared" si="14"/>
        <v>0</v>
      </c>
      <c r="I267" s="42">
        <f t="shared" si="12"/>
        <v>0</v>
      </c>
      <c r="J267" s="29"/>
    </row>
    <row r="268" spans="1:10" x14ac:dyDescent="0.25">
      <c r="A268" s="38">
        <f>Données!A268</f>
        <v>5883</v>
      </c>
      <c r="B268" s="171" t="str">
        <f>Données!B268</f>
        <v>Corseaux</v>
      </c>
      <c r="C268" s="353">
        <f>VPI!R268</f>
        <v>167834.94979180559</v>
      </c>
      <c r="D268" s="524">
        <f>Effort!I268</f>
        <v>37.136353755197121</v>
      </c>
      <c r="E268" s="209">
        <f>PCS!F274/Aide!C268</f>
        <v>2.5499796111053836</v>
      </c>
      <c r="F268" s="522">
        <f>Effort!G268</f>
        <v>0</v>
      </c>
      <c r="G268" s="381">
        <f t="shared" si="13"/>
        <v>39.686333366302506</v>
      </c>
      <c r="H268" s="226">
        <f t="shared" si="14"/>
        <v>0</v>
      </c>
      <c r="I268" s="42">
        <f t="shared" si="12"/>
        <v>0</v>
      </c>
      <c r="J268" s="29"/>
    </row>
    <row r="269" spans="1:10" x14ac:dyDescent="0.25">
      <c r="A269" s="38">
        <f>Données!A269</f>
        <v>5884</v>
      </c>
      <c r="B269" s="171" t="str">
        <f>Données!B269</f>
        <v>Corsier-sur-Vevey</v>
      </c>
      <c r="C269" s="353">
        <f>VPI!R269</f>
        <v>122060.78000997694</v>
      </c>
      <c r="D269" s="524">
        <f>Effort!I269</f>
        <v>9.4261051188423828</v>
      </c>
      <c r="E269" s="209">
        <f>PCS!F275/Aide!C269</f>
        <v>3.317760217220461</v>
      </c>
      <c r="F269" s="522">
        <f>Effort!G269</f>
        <v>-10.807548664135295</v>
      </c>
      <c r="G269" s="381">
        <f t="shared" si="13"/>
        <v>23.551414000198136</v>
      </c>
      <c r="H269" s="226">
        <f t="shared" si="14"/>
        <v>0</v>
      </c>
      <c r="I269" s="42">
        <f t="shared" si="12"/>
        <v>0</v>
      </c>
      <c r="J269" s="29"/>
    </row>
    <row r="270" spans="1:10" x14ac:dyDescent="0.25">
      <c r="A270" s="38">
        <f>Données!A270</f>
        <v>5885</v>
      </c>
      <c r="B270" s="171" t="str">
        <f>Données!B270</f>
        <v>Jongny</v>
      </c>
      <c r="C270" s="353">
        <f>VPI!R270</f>
        <v>85101.147065913159</v>
      </c>
      <c r="D270" s="524">
        <f>Effort!I270</f>
        <v>30.006420580655572</v>
      </c>
      <c r="E270" s="209">
        <f>PCS!F276/Aide!C270</f>
        <v>3.9895472235766269</v>
      </c>
      <c r="F270" s="522">
        <f>Effort!G270</f>
        <v>-0.86551850526141538</v>
      </c>
      <c r="G270" s="381">
        <f t="shared" si="13"/>
        <v>34.861486309493614</v>
      </c>
      <c r="H270" s="226">
        <f t="shared" si="14"/>
        <v>0</v>
      </c>
      <c r="I270" s="42">
        <f t="shared" si="12"/>
        <v>0</v>
      </c>
      <c r="J270" s="29"/>
    </row>
    <row r="271" spans="1:10" x14ac:dyDescent="0.25">
      <c r="A271" s="38">
        <f>Données!A271</f>
        <v>5886</v>
      </c>
      <c r="B271" s="171" t="str">
        <f>Données!B271</f>
        <v>Montreux</v>
      </c>
      <c r="C271" s="353">
        <f>VPI!R271</f>
        <v>1096049.6436560636</v>
      </c>
      <c r="D271" s="524">
        <f>Effort!I271</f>
        <v>6.773572307275586</v>
      </c>
      <c r="E271" s="209">
        <f>PCS!F277/Aide!C271</f>
        <v>10.078213038921678</v>
      </c>
      <c r="F271" s="522">
        <f>Effort!G271</f>
        <v>-5.775964794992567</v>
      </c>
      <c r="G271" s="381">
        <f t="shared" si="13"/>
        <v>22.627750141189832</v>
      </c>
      <c r="H271" s="226">
        <f t="shared" si="14"/>
        <v>0</v>
      </c>
      <c r="I271" s="42">
        <f t="shared" si="12"/>
        <v>0</v>
      </c>
      <c r="J271" s="29"/>
    </row>
    <row r="272" spans="1:10" x14ac:dyDescent="0.25">
      <c r="A272" s="38">
        <f>Données!A272</f>
        <v>5889</v>
      </c>
      <c r="B272" s="171" t="str">
        <f>Données!B272</f>
        <v>La Tour-de-Peilz</v>
      </c>
      <c r="C272" s="353">
        <f>VPI!R272</f>
        <v>674464.00637600874</v>
      </c>
      <c r="D272" s="524">
        <f>Effort!I272</f>
        <v>25.697971298155913</v>
      </c>
      <c r="E272" s="209">
        <f>PCS!F278/Aide!C272</f>
        <v>2.5265295388498505</v>
      </c>
      <c r="F272" s="522">
        <f>Effort!G272</f>
        <v>-0.21766166964602243</v>
      </c>
      <c r="G272" s="381">
        <f t="shared" si="13"/>
        <v>28.442162506651787</v>
      </c>
      <c r="H272" s="226">
        <f t="shared" si="14"/>
        <v>0</v>
      </c>
      <c r="I272" s="42">
        <f t="shared" si="12"/>
        <v>0</v>
      </c>
      <c r="J272" s="29"/>
    </row>
    <row r="273" spans="1:10" x14ac:dyDescent="0.25">
      <c r="A273" s="38">
        <f>Données!A273</f>
        <v>5890</v>
      </c>
      <c r="B273" s="171" t="str">
        <f>Données!B273</f>
        <v>Vevey</v>
      </c>
      <c r="C273" s="353">
        <f>VPI!R273</f>
        <v>858874.45047675935</v>
      </c>
      <c r="D273" s="524">
        <f>Effort!I273</f>
        <v>10.911840707903529</v>
      </c>
      <c r="E273" s="209">
        <f>PCS!F279/Aide!C273</f>
        <v>3.9485924026701125</v>
      </c>
      <c r="F273" s="522">
        <f>Effort!G273</f>
        <v>-4.3537056493690951</v>
      </c>
      <c r="G273" s="381">
        <f t="shared" si="13"/>
        <v>19.214138759942735</v>
      </c>
      <c r="H273" s="226">
        <f t="shared" si="14"/>
        <v>0</v>
      </c>
      <c r="I273" s="42">
        <f t="shared" si="12"/>
        <v>0</v>
      </c>
      <c r="J273" s="29"/>
    </row>
    <row r="274" spans="1:10" x14ac:dyDescent="0.25">
      <c r="A274" s="38">
        <f>Données!A274</f>
        <v>5891</v>
      </c>
      <c r="B274" s="171" t="str">
        <f>Données!B274</f>
        <v>Veytaux</v>
      </c>
      <c r="C274" s="353">
        <f>VPI!R274</f>
        <v>43940.417859726374</v>
      </c>
      <c r="D274" s="524">
        <f>Effort!I274</f>
        <v>20.565274005148197</v>
      </c>
      <c r="E274" s="209">
        <f>PCS!F280/Aide!C274</f>
        <v>3.5816011241041039</v>
      </c>
      <c r="F274" s="522">
        <f>Effort!G274</f>
        <v>-10.405856423726197</v>
      </c>
      <c r="G274" s="381">
        <f t="shared" si="13"/>
        <v>34.5527315529785</v>
      </c>
      <c r="H274" s="226">
        <f t="shared" si="14"/>
        <v>0</v>
      </c>
      <c r="I274" s="42">
        <f t="shared" si="12"/>
        <v>0</v>
      </c>
      <c r="J274" s="29"/>
    </row>
    <row r="275" spans="1:10" x14ac:dyDescent="0.25">
      <c r="A275" s="38">
        <f>Données!A275</f>
        <v>5892</v>
      </c>
      <c r="B275" s="171" t="str">
        <f>Données!B275</f>
        <v>Blonay-Saint-Légier</v>
      </c>
      <c r="C275" s="353">
        <f>VPI!R275</f>
        <v>693176.17061999615</v>
      </c>
      <c r="D275" s="524">
        <f>Effort!I275</f>
        <v>25.088002140661544</v>
      </c>
      <c r="E275" s="209">
        <f>PCS!F281/Aide!C275</f>
        <v>4.1631713369760677</v>
      </c>
      <c r="F275" s="522">
        <f>Effort!G275</f>
        <v>-2.7064726512987649</v>
      </c>
      <c r="G275" s="381">
        <f t="shared" si="13"/>
        <v>31.957646128936375</v>
      </c>
      <c r="H275" s="226">
        <f t="shared" si="14"/>
        <v>0</v>
      </c>
      <c r="I275" s="42">
        <f t="shared" si="12"/>
        <v>0</v>
      </c>
      <c r="J275" s="29"/>
    </row>
    <row r="276" spans="1:10" x14ac:dyDescent="0.25">
      <c r="A276" s="38">
        <f>Données!A276</f>
        <v>5902</v>
      </c>
      <c r="B276" s="171" t="str">
        <f>Données!B276</f>
        <v>Belmont-sur-Yverdon</v>
      </c>
      <c r="C276" s="353">
        <f>VPI!R276</f>
        <v>11718.07192496429</v>
      </c>
      <c r="D276" s="524">
        <f>Effort!I276</f>
        <v>18.220310287605656</v>
      </c>
      <c r="E276" s="209">
        <f>PCS!F282/Aide!C276</f>
        <v>7.1914689156728997</v>
      </c>
      <c r="F276" s="522">
        <f>Effort!G276</f>
        <v>-0.37492909110046885</v>
      </c>
      <c r="G276" s="381">
        <f t="shared" si="13"/>
        <v>25.786708294379025</v>
      </c>
      <c r="H276" s="226">
        <f t="shared" si="14"/>
        <v>0</v>
      </c>
      <c r="I276" s="42">
        <f t="shared" si="12"/>
        <v>0</v>
      </c>
      <c r="J276" s="29"/>
    </row>
    <row r="277" spans="1:10" x14ac:dyDescent="0.25">
      <c r="A277" s="38">
        <f>Données!A277</f>
        <v>5903</v>
      </c>
      <c r="B277" s="171" t="str">
        <f>Données!B277</f>
        <v>Bioley-Magnoux</v>
      </c>
      <c r="C277" s="353">
        <f>VPI!R277</f>
        <v>5023.7843849206347</v>
      </c>
      <c r="D277" s="524">
        <f>Effort!I277</f>
        <v>-22.659018572639809</v>
      </c>
      <c r="E277" s="209">
        <f>PCS!F283/Aide!C277</f>
        <v>2.1795282522207566</v>
      </c>
      <c r="F277" s="522">
        <f>Effort!G277</f>
        <v>-27.665937618455622</v>
      </c>
      <c r="G277" s="381">
        <f t="shared" si="13"/>
        <v>7.186447298036569</v>
      </c>
      <c r="H277" s="226">
        <f t="shared" si="14"/>
        <v>0</v>
      </c>
      <c r="I277" s="42">
        <f t="shared" si="12"/>
        <v>0</v>
      </c>
      <c r="J277" s="29"/>
    </row>
    <row r="278" spans="1:10" x14ac:dyDescent="0.25">
      <c r="A278" s="38">
        <f>Données!A278</f>
        <v>5904</v>
      </c>
      <c r="B278" s="171" t="str">
        <f>Données!B278</f>
        <v>Chamblon</v>
      </c>
      <c r="C278" s="353">
        <f>VPI!R278</f>
        <v>21692.89514545034</v>
      </c>
      <c r="D278" s="524">
        <f>Effort!I278</f>
        <v>27.257889576600061</v>
      </c>
      <c r="E278" s="209">
        <f>PCS!F284/Aide!C278</f>
        <v>2.1416334559540666</v>
      </c>
      <c r="F278" s="522">
        <f>Effort!G278</f>
        <v>0</v>
      </c>
      <c r="G278" s="381">
        <f t="shared" si="13"/>
        <v>29.399523032554129</v>
      </c>
      <c r="H278" s="226">
        <f t="shared" si="14"/>
        <v>0</v>
      </c>
      <c r="I278" s="42">
        <f t="shared" si="12"/>
        <v>0</v>
      </c>
      <c r="J278" s="29"/>
    </row>
    <row r="279" spans="1:10" x14ac:dyDescent="0.25">
      <c r="A279" s="38">
        <f>Données!A279</f>
        <v>5905</v>
      </c>
      <c r="B279" s="171" t="str">
        <f>Données!B279</f>
        <v>Champvent</v>
      </c>
      <c r="C279" s="353">
        <f>VPI!R279</f>
        <v>21633.757449586756</v>
      </c>
      <c r="D279" s="524">
        <f>Effort!I279</f>
        <v>15.874363026233111</v>
      </c>
      <c r="E279" s="209">
        <f>PCS!F285/Aide!C279</f>
        <v>3.3058711676258596</v>
      </c>
      <c r="F279" s="522">
        <f>Effort!G279</f>
        <v>-4.1148517778255815</v>
      </c>
      <c r="G279" s="381">
        <f t="shared" si="13"/>
        <v>23.295085971684554</v>
      </c>
      <c r="H279" s="226">
        <f t="shared" si="14"/>
        <v>0</v>
      </c>
      <c r="I279" s="42">
        <f t="shared" si="12"/>
        <v>0</v>
      </c>
      <c r="J279" s="29"/>
    </row>
    <row r="280" spans="1:10" x14ac:dyDescent="0.25">
      <c r="A280" s="38">
        <f>Données!A280</f>
        <v>5907</v>
      </c>
      <c r="B280" s="171" t="str">
        <f>Données!B280</f>
        <v>Chavannes-le-Chêne</v>
      </c>
      <c r="C280" s="353">
        <f>VPI!R280</f>
        <v>9890.8899187559018</v>
      </c>
      <c r="D280" s="524">
        <f>Effort!I280</f>
        <v>13.275347400896704</v>
      </c>
      <c r="E280" s="209">
        <f>PCS!F286/Aide!C280</f>
        <v>1.8348960658822895</v>
      </c>
      <c r="F280" s="522">
        <f>Effort!G280</f>
        <v>-4.9008644202524643</v>
      </c>
      <c r="G280" s="381">
        <f t="shared" si="13"/>
        <v>20.011107887031457</v>
      </c>
      <c r="H280" s="226">
        <f t="shared" si="14"/>
        <v>0</v>
      </c>
      <c r="I280" s="42">
        <f t="shared" si="12"/>
        <v>0</v>
      </c>
      <c r="J280" s="29"/>
    </row>
    <row r="281" spans="1:10" x14ac:dyDescent="0.25">
      <c r="A281" s="38">
        <f>Données!A281</f>
        <v>5908</v>
      </c>
      <c r="B281" s="171" t="str">
        <f>Données!B281</f>
        <v>Chêne-Pâquier</v>
      </c>
      <c r="C281" s="353">
        <f>VPI!R281</f>
        <v>6502.346088577403</v>
      </c>
      <c r="D281" s="524">
        <f>Effort!I281</f>
        <v>29.414629508318047</v>
      </c>
      <c r="E281" s="209">
        <f>PCS!F287/Aide!C281</f>
        <v>0.87992932428667214</v>
      </c>
      <c r="F281" s="522">
        <f>Effort!G281</f>
        <v>-1.034586646408227</v>
      </c>
      <c r="G281" s="381">
        <f t="shared" si="13"/>
        <v>31.329145479012944</v>
      </c>
      <c r="H281" s="226">
        <f t="shared" si="14"/>
        <v>0</v>
      </c>
      <c r="I281" s="42">
        <f t="shared" si="12"/>
        <v>0</v>
      </c>
      <c r="J281" s="29"/>
    </row>
    <row r="282" spans="1:10" x14ac:dyDescent="0.25">
      <c r="A282" s="38">
        <f>Données!A282</f>
        <v>5909</v>
      </c>
      <c r="B282" s="171" t="str">
        <f>Données!B282</f>
        <v>Cheseaux-Noréaz</v>
      </c>
      <c r="C282" s="353">
        <f>VPI!R282</f>
        <v>39252.843107523055</v>
      </c>
      <c r="D282" s="524">
        <f>Effort!I282</f>
        <v>32.413128005766822</v>
      </c>
      <c r="E282" s="209">
        <f>PCS!F288/Aide!C282</f>
        <v>1.2244049397478862</v>
      </c>
      <c r="F282" s="522">
        <f>Effort!G282</f>
        <v>-0.72312446966221322</v>
      </c>
      <c r="G282" s="381">
        <f t="shared" si="13"/>
        <v>34.360657415176917</v>
      </c>
      <c r="H282" s="226">
        <f t="shared" si="14"/>
        <v>0</v>
      </c>
      <c r="I282" s="42">
        <f t="shared" si="12"/>
        <v>0</v>
      </c>
      <c r="J282" s="29"/>
    </row>
    <row r="283" spans="1:10" x14ac:dyDescent="0.25">
      <c r="A283" s="38">
        <f>Données!A283</f>
        <v>5910</v>
      </c>
      <c r="B283" s="171" t="str">
        <f>Données!B283</f>
        <v>Cronay</v>
      </c>
      <c r="C283" s="353">
        <f>VPI!R283</f>
        <v>9974.6879714090483</v>
      </c>
      <c r="D283" s="524">
        <f>Effort!I283</f>
        <v>-0.59507586066677476</v>
      </c>
      <c r="E283" s="209">
        <f>PCS!F289/Aide!C283</f>
        <v>-0.51662017045251585</v>
      </c>
      <c r="F283" s="522">
        <f>Effort!G283</f>
        <v>-10.059247615623907</v>
      </c>
      <c r="G283" s="381">
        <f t="shared" si="13"/>
        <v>8.9475515845046161</v>
      </c>
      <c r="H283" s="226">
        <f t="shared" si="14"/>
        <v>0</v>
      </c>
      <c r="I283" s="42">
        <f t="shared" si="12"/>
        <v>0</v>
      </c>
      <c r="J283" s="29"/>
    </row>
    <row r="284" spans="1:10" x14ac:dyDescent="0.25">
      <c r="A284" s="38">
        <f>Données!A284</f>
        <v>5911</v>
      </c>
      <c r="B284" s="171" t="str">
        <f>Données!B284</f>
        <v>Cuarny</v>
      </c>
      <c r="C284" s="353">
        <f>VPI!R284</f>
        <v>6938.982891321557</v>
      </c>
      <c r="D284" s="524">
        <f>Effort!I284</f>
        <v>15.150020483744841</v>
      </c>
      <c r="E284" s="209">
        <f>PCS!F290/Aide!C284</f>
        <v>0.14422863057519278</v>
      </c>
      <c r="F284" s="522">
        <f>Effort!G284</f>
        <v>-1.2282946387199163</v>
      </c>
      <c r="G284" s="381">
        <f t="shared" si="13"/>
        <v>16.522543753039951</v>
      </c>
      <c r="H284" s="226">
        <f t="shared" si="14"/>
        <v>0</v>
      </c>
      <c r="I284" s="42">
        <f t="shared" si="12"/>
        <v>0</v>
      </c>
      <c r="J284" s="29"/>
    </row>
    <row r="285" spans="1:10" x14ac:dyDescent="0.25">
      <c r="A285" s="38">
        <f>Données!A285</f>
        <v>5912</v>
      </c>
      <c r="B285" s="171" t="str">
        <f>Données!B285</f>
        <v>Démoret</v>
      </c>
      <c r="C285" s="353">
        <f>VPI!R285</f>
        <v>4068.1026902439612</v>
      </c>
      <c r="D285" s="524">
        <f>Effort!I285</f>
        <v>5.4616707340470594</v>
      </c>
      <c r="E285" s="209">
        <f>PCS!F291/Aide!C285</f>
        <v>2.7971098240191212</v>
      </c>
      <c r="F285" s="522">
        <f>Effort!G285</f>
        <v>-2.6824354774738048</v>
      </c>
      <c r="G285" s="381">
        <f t="shared" si="13"/>
        <v>10.941216035539986</v>
      </c>
      <c r="H285" s="226">
        <f t="shared" si="14"/>
        <v>0</v>
      </c>
      <c r="I285" s="42">
        <f t="shared" si="12"/>
        <v>0</v>
      </c>
      <c r="J285" s="29"/>
    </row>
    <row r="286" spans="1:10" x14ac:dyDescent="0.25">
      <c r="A286" s="38">
        <f>Données!A286</f>
        <v>5913</v>
      </c>
      <c r="B286" s="171" t="str">
        <f>Données!B286</f>
        <v>Donneloye</v>
      </c>
      <c r="C286" s="353">
        <f>VPI!R286</f>
        <v>19877.397448309883</v>
      </c>
      <c r="D286" s="524">
        <f>Effort!I286</f>
        <v>6.7139217311341497</v>
      </c>
      <c r="E286" s="209">
        <f>PCS!F292/Aide!C286</f>
        <v>2.3173265071437483</v>
      </c>
      <c r="F286" s="522">
        <f>Effort!G286</f>
        <v>-2.1611137642951754</v>
      </c>
      <c r="G286" s="381">
        <f t="shared" si="13"/>
        <v>11.192362002573073</v>
      </c>
      <c r="H286" s="226">
        <f t="shared" si="14"/>
        <v>0</v>
      </c>
      <c r="I286" s="42">
        <f t="shared" si="12"/>
        <v>0</v>
      </c>
      <c r="J286" s="29"/>
    </row>
    <row r="287" spans="1:10" x14ac:dyDescent="0.25">
      <c r="A287" s="38">
        <f>Données!A287</f>
        <v>5914</v>
      </c>
      <c r="B287" s="171" t="str">
        <f>Données!B287</f>
        <v>Ependes</v>
      </c>
      <c r="C287" s="353">
        <f>VPI!R287</f>
        <v>10654.485759200121</v>
      </c>
      <c r="D287" s="524">
        <f>Effort!I287</f>
        <v>8.463206762037558</v>
      </c>
      <c r="E287" s="209">
        <f>PCS!F293/Aide!C287</f>
        <v>2.2794882408124137</v>
      </c>
      <c r="F287" s="522">
        <f>Effort!G287</f>
        <v>-6.0683333373992063</v>
      </c>
      <c r="G287" s="381">
        <f t="shared" si="13"/>
        <v>16.81102834024918</v>
      </c>
      <c r="H287" s="226">
        <f t="shared" si="14"/>
        <v>0</v>
      </c>
      <c r="I287" s="42">
        <f t="shared" si="12"/>
        <v>0</v>
      </c>
      <c r="J287" s="29"/>
    </row>
    <row r="288" spans="1:10" x14ac:dyDescent="0.25">
      <c r="A288" s="38">
        <f>Données!A288</f>
        <v>5919</v>
      </c>
      <c r="B288" s="171" t="str">
        <f>Données!B288</f>
        <v>Mathod</v>
      </c>
      <c r="C288" s="353">
        <f>VPI!R288</f>
        <v>21548.298328397002</v>
      </c>
      <c r="D288" s="524">
        <f>Effort!I288</f>
        <v>12.142894175819713</v>
      </c>
      <c r="E288" s="209">
        <f>PCS!F294/Aide!C288</f>
        <v>6.3355492354628016</v>
      </c>
      <c r="F288" s="522">
        <f>Effort!G288</f>
        <v>-9.6873756269897928</v>
      </c>
      <c r="G288" s="381">
        <f t="shared" si="13"/>
        <v>28.165819038272303</v>
      </c>
      <c r="H288" s="226">
        <f t="shared" si="14"/>
        <v>0</v>
      </c>
      <c r="I288" s="42">
        <f t="shared" si="12"/>
        <v>0</v>
      </c>
      <c r="J288" s="29"/>
    </row>
    <row r="289" spans="1:10" x14ac:dyDescent="0.25">
      <c r="A289" s="38">
        <f>Données!A289</f>
        <v>5921</v>
      </c>
      <c r="B289" s="171" t="str">
        <f>Données!B289</f>
        <v>Molondin</v>
      </c>
      <c r="C289" s="353">
        <f>VPI!R289</f>
        <v>5680.8817283950611</v>
      </c>
      <c r="D289" s="524">
        <f>Effort!I289</f>
        <v>-10.543860150902805</v>
      </c>
      <c r="E289" s="209">
        <f>PCS!F295/Aide!C289</f>
        <v>2.1028971506813998</v>
      </c>
      <c r="F289" s="522">
        <f>Effort!G289</f>
        <v>-11.320881472016321</v>
      </c>
      <c r="G289" s="381">
        <f t="shared" si="13"/>
        <v>2.879918471794916</v>
      </c>
      <c r="H289" s="226">
        <f t="shared" si="14"/>
        <v>0</v>
      </c>
      <c r="I289" s="42">
        <f t="shared" si="12"/>
        <v>0</v>
      </c>
      <c r="J289" s="29"/>
    </row>
    <row r="290" spans="1:10" x14ac:dyDescent="0.25">
      <c r="A290" s="38">
        <f>Données!A290</f>
        <v>5922</v>
      </c>
      <c r="B290" s="171" t="str">
        <f>Données!B290</f>
        <v>Montagny-près-Yverdon</v>
      </c>
      <c r="C290" s="353">
        <f>VPI!R290</f>
        <v>33186.709071572135</v>
      </c>
      <c r="D290" s="524">
        <f>Effort!I290</f>
        <v>25.794962412840579</v>
      </c>
      <c r="E290" s="209">
        <f>PCS!F296/Aide!C290</f>
        <v>4.3800745559467416</v>
      </c>
      <c r="F290" s="522">
        <f>Effort!G290</f>
        <v>-4.7992630190319172</v>
      </c>
      <c r="G290" s="381">
        <f t="shared" si="13"/>
        <v>34.974299987819236</v>
      </c>
      <c r="H290" s="226">
        <f t="shared" si="14"/>
        <v>0</v>
      </c>
      <c r="I290" s="42">
        <f t="shared" si="12"/>
        <v>0</v>
      </c>
      <c r="J290" s="29"/>
    </row>
    <row r="291" spans="1:10" x14ac:dyDescent="0.25">
      <c r="A291" s="38">
        <f>Données!A291</f>
        <v>5923</v>
      </c>
      <c r="B291" s="171" t="str">
        <f>Données!B291</f>
        <v>Oppens</v>
      </c>
      <c r="C291" s="353">
        <f>VPI!R291</f>
        <v>4798.3716723042917</v>
      </c>
      <c r="D291" s="524">
        <f>Effort!I291</f>
        <v>-8.2381453596347534</v>
      </c>
      <c r="E291" s="209">
        <f>PCS!F297/Aide!C291</f>
        <v>3.3534574015757004</v>
      </c>
      <c r="F291" s="522">
        <f>Effort!G291</f>
        <v>-12.311466315317093</v>
      </c>
      <c r="G291" s="381">
        <f t="shared" si="13"/>
        <v>7.4267783572580397</v>
      </c>
      <c r="H291" s="226">
        <f t="shared" si="14"/>
        <v>0</v>
      </c>
      <c r="I291" s="42">
        <f t="shared" si="12"/>
        <v>0</v>
      </c>
      <c r="J291" s="29"/>
    </row>
    <row r="292" spans="1:10" x14ac:dyDescent="0.25">
      <c r="A292" s="38">
        <f>Données!A292</f>
        <v>5924</v>
      </c>
      <c r="B292" s="171" t="str">
        <f>Données!B292</f>
        <v>Orges</v>
      </c>
      <c r="C292" s="353">
        <f>VPI!R292</f>
        <v>12515.741993747673</v>
      </c>
      <c r="D292" s="524">
        <f>Effort!I292</f>
        <v>24.552022960240109</v>
      </c>
      <c r="E292" s="209">
        <f>PCS!F298/Aide!C292</f>
        <v>7.1476029982632401</v>
      </c>
      <c r="F292" s="522">
        <f>Effort!G292</f>
        <v>0</v>
      </c>
      <c r="G292" s="381">
        <f t="shared" si="13"/>
        <v>31.699625958503347</v>
      </c>
      <c r="H292" s="226">
        <f t="shared" si="14"/>
        <v>0</v>
      </c>
      <c r="I292" s="42">
        <f t="shared" si="12"/>
        <v>0</v>
      </c>
      <c r="J292" s="29"/>
    </row>
    <row r="293" spans="1:10" x14ac:dyDescent="0.25">
      <c r="A293" s="38">
        <f>Données!A293</f>
        <v>5925</v>
      </c>
      <c r="B293" s="171" t="str">
        <f>Données!B293</f>
        <v>Orzens</v>
      </c>
      <c r="C293" s="353">
        <f>VPI!R293</f>
        <v>5885.1778481012652</v>
      </c>
      <c r="D293" s="524">
        <f>Effort!I293</f>
        <v>13.186096059061967</v>
      </c>
      <c r="E293" s="209">
        <f>PCS!F299/Aide!C293</f>
        <v>11.636512399042394</v>
      </c>
      <c r="F293" s="522">
        <f>Effort!G293</f>
        <v>-1.9479529457236546</v>
      </c>
      <c r="G293" s="381">
        <f t="shared" si="13"/>
        <v>26.770561403828015</v>
      </c>
      <c r="H293" s="226">
        <f t="shared" si="14"/>
        <v>0</v>
      </c>
      <c r="I293" s="42">
        <f t="shared" si="12"/>
        <v>0</v>
      </c>
      <c r="J293" s="29"/>
    </row>
    <row r="294" spans="1:10" x14ac:dyDescent="0.25">
      <c r="A294" s="38">
        <f>Données!A294</f>
        <v>5926</v>
      </c>
      <c r="B294" s="171" t="str">
        <f>Données!B294</f>
        <v>Pomy</v>
      </c>
      <c r="C294" s="353">
        <f>VPI!R294</f>
        <v>27361.56181889947</v>
      </c>
      <c r="D294" s="524">
        <f>Effort!I294</f>
        <v>22.419700033411313</v>
      </c>
      <c r="E294" s="209">
        <f>PCS!F300/Aide!C294</f>
        <v>3.2507219649487658</v>
      </c>
      <c r="F294" s="522">
        <f>Effort!G294</f>
        <v>-0.54634884592380506</v>
      </c>
      <c r="G294" s="381">
        <f t="shared" si="13"/>
        <v>26.216770844283886</v>
      </c>
      <c r="H294" s="226">
        <f t="shared" si="14"/>
        <v>0</v>
      </c>
      <c r="I294" s="42">
        <f t="shared" si="12"/>
        <v>0</v>
      </c>
      <c r="J294" s="29"/>
    </row>
    <row r="295" spans="1:10" x14ac:dyDescent="0.25">
      <c r="A295" s="38">
        <f>Données!A295</f>
        <v>5928</v>
      </c>
      <c r="B295" s="171" t="str">
        <f>Données!B295</f>
        <v>Rovray</v>
      </c>
      <c r="C295" s="353">
        <f>VPI!R295</f>
        <v>5562.4200865991261</v>
      </c>
      <c r="D295" s="524">
        <f>Effort!I295</f>
        <v>15.045729871932888</v>
      </c>
      <c r="E295" s="209">
        <f>PCS!F301/Aide!C295</f>
        <v>0.71697119921022168</v>
      </c>
      <c r="F295" s="522">
        <f>Effort!G295</f>
        <v>0</v>
      </c>
      <c r="G295" s="381">
        <f t="shared" si="13"/>
        <v>15.762701071143109</v>
      </c>
      <c r="H295" s="226">
        <f t="shared" si="14"/>
        <v>0</v>
      </c>
      <c r="I295" s="42">
        <f t="shared" si="12"/>
        <v>0</v>
      </c>
      <c r="J295" s="29"/>
    </row>
    <row r="296" spans="1:10" x14ac:dyDescent="0.25">
      <c r="A296" s="38">
        <f>Données!A296</f>
        <v>5929</v>
      </c>
      <c r="B296" s="171" t="str">
        <f>Données!B296</f>
        <v>Suchy</v>
      </c>
      <c r="C296" s="353">
        <f>VPI!R296</f>
        <v>19817.928233868191</v>
      </c>
      <c r="D296" s="524">
        <f>Effort!I296</f>
        <v>18.608011861431883</v>
      </c>
      <c r="E296" s="209">
        <f>PCS!F302/Aide!C296</f>
        <v>2.4227797393041737</v>
      </c>
      <c r="F296" s="522">
        <f>Effort!G296</f>
        <v>-0.69925592933151925</v>
      </c>
      <c r="G296" s="381">
        <f t="shared" si="13"/>
        <v>21.73004753006758</v>
      </c>
      <c r="H296" s="226">
        <f t="shared" si="14"/>
        <v>0</v>
      </c>
      <c r="I296" s="42">
        <f t="shared" si="12"/>
        <v>0</v>
      </c>
      <c r="J296" s="29"/>
    </row>
    <row r="297" spans="1:10" x14ac:dyDescent="0.25">
      <c r="A297" s="38">
        <f>Données!A297</f>
        <v>5930</v>
      </c>
      <c r="B297" s="171" t="str">
        <f>Données!B297</f>
        <v>Suscévaz</v>
      </c>
      <c r="C297" s="353">
        <f>VPI!R297</f>
        <v>5767.7688822867358</v>
      </c>
      <c r="D297" s="524">
        <f>Effort!I297</f>
        <v>10.274989210374386</v>
      </c>
      <c r="E297" s="209">
        <f>PCS!F303/Aide!C297</f>
        <v>0.43688383696140098</v>
      </c>
      <c r="F297" s="522">
        <f>Effort!G297</f>
        <v>-5.9826963855187776</v>
      </c>
      <c r="G297" s="381">
        <f t="shared" si="13"/>
        <v>16.694569432854564</v>
      </c>
      <c r="H297" s="226">
        <f t="shared" si="14"/>
        <v>0</v>
      </c>
      <c r="I297" s="42">
        <f t="shared" si="12"/>
        <v>0</v>
      </c>
      <c r="J297" s="29"/>
    </row>
    <row r="298" spans="1:10" x14ac:dyDescent="0.25">
      <c r="A298" s="38">
        <f>Données!A298</f>
        <v>5931</v>
      </c>
      <c r="B298" s="171" t="str">
        <f>Données!B298</f>
        <v>Treycovagnes</v>
      </c>
      <c r="C298" s="353">
        <f>VPI!R298</f>
        <v>15378.452365711239</v>
      </c>
      <c r="D298" s="524">
        <f>Effort!I298</f>
        <v>17.51457225085295</v>
      </c>
      <c r="E298" s="209">
        <f>PCS!F304/Aide!C298</f>
        <v>3.1078406892597337</v>
      </c>
      <c r="F298" s="522">
        <f>Effort!G298</f>
        <v>-2.0787713253260165</v>
      </c>
      <c r="G298" s="381">
        <f t="shared" si="13"/>
        <v>22.701184265438702</v>
      </c>
      <c r="H298" s="226">
        <f t="shared" si="14"/>
        <v>0</v>
      </c>
      <c r="I298" s="42">
        <f t="shared" si="12"/>
        <v>0</v>
      </c>
      <c r="J298" s="29"/>
    </row>
    <row r="299" spans="1:10" x14ac:dyDescent="0.25">
      <c r="A299" s="38">
        <f>Données!A299</f>
        <v>5932</v>
      </c>
      <c r="B299" s="171" t="str">
        <f>Données!B299</f>
        <v>Ursins</v>
      </c>
      <c r="C299" s="353">
        <f>VPI!R299</f>
        <v>6819.2739438524613</v>
      </c>
      <c r="D299" s="524">
        <f>Effort!I299</f>
        <v>12.51881570233085</v>
      </c>
      <c r="E299" s="209">
        <f>PCS!F305/Aide!C299</f>
        <v>0</v>
      </c>
      <c r="F299" s="522">
        <f>Effort!G299</f>
        <v>-3.1669125950834354</v>
      </c>
      <c r="G299" s="381">
        <f t="shared" si="13"/>
        <v>15.685728297414284</v>
      </c>
      <c r="H299" s="226">
        <f t="shared" si="14"/>
        <v>0</v>
      </c>
      <c r="I299" s="42">
        <f t="shared" si="12"/>
        <v>0</v>
      </c>
      <c r="J299" s="29"/>
    </row>
    <row r="300" spans="1:10" x14ac:dyDescent="0.25">
      <c r="A300" s="38">
        <f>Données!A300</f>
        <v>5933</v>
      </c>
      <c r="B300" s="171" t="str">
        <f>Données!B300</f>
        <v>Valeyres-sous-Montagny</v>
      </c>
      <c r="C300" s="353">
        <f>VPI!R300</f>
        <v>22563.405559232429</v>
      </c>
      <c r="D300" s="524">
        <f>Effort!I300</f>
        <v>12.402325038318111</v>
      </c>
      <c r="E300" s="209">
        <f>PCS!F306/Aide!C300</f>
        <v>1.6321897819600608</v>
      </c>
      <c r="F300" s="522">
        <f>Effort!G300</f>
        <v>-8.27354346641261</v>
      </c>
      <c r="G300" s="381">
        <f t="shared" si="13"/>
        <v>22.30805828669078</v>
      </c>
      <c r="H300" s="226">
        <f t="shared" si="14"/>
        <v>0</v>
      </c>
      <c r="I300" s="42">
        <f t="shared" si="12"/>
        <v>0</v>
      </c>
      <c r="J300" s="29"/>
    </row>
    <row r="301" spans="1:10" x14ac:dyDescent="0.25">
      <c r="A301" s="38">
        <f>Données!A301</f>
        <v>5934</v>
      </c>
      <c r="B301" s="171" t="str">
        <f>Données!B301</f>
        <v>Valeyres-sous-Ursins</v>
      </c>
      <c r="C301" s="353">
        <f>VPI!R301</f>
        <v>7577.6382278481005</v>
      </c>
      <c r="D301" s="524">
        <f>Effort!I301</f>
        <v>17.391603320415573</v>
      </c>
      <c r="E301" s="209">
        <f>PCS!F307/Aide!C301</f>
        <v>2.358688744774724</v>
      </c>
      <c r="F301" s="522">
        <f>Effort!G301</f>
        <v>-0.73908534040749019</v>
      </c>
      <c r="G301" s="381">
        <f t="shared" si="13"/>
        <v>20.489377405597789</v>
      </c>
      <c r="H301" s="226">
        <f t="shared" si="14"/>
        <v>0</v>
      </c>
      <c r="I301" s="42">
        <f t="shared" si="12"/>
        <v>0</v>
      </c>
      <c r="J301" s="29"/>
    </row>
    <row r="302" spans="1:10" x14ac:dyDescent="0.25">
      <c r="A302" s="38">
        <f>Données!A302</f>
        <v>5935</v>
      </c>
      <c r="B302" s="171" t="str">
        <f>Données!B302</f>
        <v>Villars-Epeney</v>
      </c>
      <c r="C302" s="353">
        <f>VPI!R302</f>
        <v>3928.0620213791694</v>
      </c>
      <c r="D302" s="524">
        <f>Effort!I302</f>
        <v>26.568728288816445</v>
      </c>
      <c r="E302" s="209">
        <f>PCS!F308/Aide!C302</f>
        <v>3.6714351559389251</v>
      </c>
      <c r="F302" s="522">
        <f>Effort!G302</f>
        <v>-1.3069303529385579</v>
      </c>
      <c r="G302" s="381">
        <f t="shared" si="13"/>
        <v>31.547093797693929</v>
      </c>
      <c r="H302" s="226">
        <f t="shared" si="14"/>
        <v>0</v>
      </c>
      <c r="I302" s="42">
        <f t="shared" si="12"/>
        <v>0</v>
      </c>
      <c r="J302" s="29"/>
    </row>
    <row r="303" spans="1:10" x14ac:dyDescent="0.25">
      <c r="A303" s="38">
        <f>Données!A303</f>
        <v>5937</v>
      </c>
      <c r="B303" s="171" t="str">
        <f>Données!B303</f>
        <v>Vugelles-La Mothe</v>
      </c>
      <c r="C303" s="353">
        <f>VPI!R303</f>
        <v>3185.9394172567995</v>
      </c>
      <c r="D303" s="524">
        <f>Effort!I303</f>
        <v>1.4368964613278621</v>
      </c>
      <c r="E303" s="209">
        <f>PCS!F309/Aide!C303</f>
        <v>2.5226076040454086</v>
      </c>
      <c r="F303" s="522">
        <f>Effort!G303</f>
        <v>-7.3700895900067795</v>
      </c>
      <c r="G303" s="381">
        <f t="shared" si="13"/>
        <v>11.32959365538005</v>
      </c>
      <c r="H303" s="226">
        <f t="shared" si="14"/>
        <v>0</v>
      </c>
      <c r="I303" s="42">
        <f t="shared" si="12"/>
        <v>0</v>
      </c>
      <c r="J303" s="29"/>
    </row>
    <row r="304" spans="1:10" x14ac:dyDescent="0.25">
      <c r="A304" s="38">
        <f>Données!A304</f>
        <v>5938</v>
      </c>
      <c r="B304" s="171" t="str">
        <f>Données!B304</f>
        <v>Yverdon-les-Bains</v>
      </c>
      <c r="C304" s="353">
        <f>VPI!R304</f>
        <v>794891.37980729085</v>
      </c>
      <c r="D304" s="524">
        <f>Effort!I304</f>
        <v>-28.563500399946648</v>
      </c>
      <c r="E304" s="209">
        <f>PCS!F310/Aide!C304</f>
        <v>4.2683369026124645</v>
      </c>
      <c r="F304" s="522">
        <f>Effort!G304</f>
        <v>-13.826320174488133</v>
      </c>
      <c r="G304" s="381">
        <f t="shared" si="13"/>
        <v>-10.46884332284605</v>
      </c>
      <c r="H304" s="226">
        <f t="shared" si="14"/>
        <v>-2.46884332284605</v>
      </c>
      <c r="I304" s="42">
        <f t="shared" si="12"/>
        <v>1962462.2754251135</v>
      </c>
      <c r="J304" s="29"/>
    </row>
    <row r="305" spans="1:12" x14ac:dyDescent="0.25">
      <c r="A305" s="38">
        <f>Données!A305</f>
        <v>5939</v>
      </c>
      <c r="B305" s="171" t="str">
        <f>Données!B305</f>
        <v>Yvonand</v>
      </c>
      <c r="C305" s="353">
        <f>VPI!R305</f>
        <v>92828.645169819079</v>
      </c>
      <c r="D305" s="524">
        <f>Effort!I305</f>
        <v>1.2833598582406971</v>
      </c>
      <c r="E305" s="211">
        <f>PCS!F311/Aide!C305</f>
        <v>3.8764377024107906</v>
      </c>
      <c r="F305" s="522">
        <f>Effort!G305</f>
        <v>-6.3634198691911434</v>
      </c>
      <c r="G305" s="381">
        <f t="shared" si="13"/>
        <v>11.523217429842632</v>
      </c>
      <c r="H305" s="226">
        <f t="shared" si="14"/>
        <v>0</v>
      </c>
      <c r="I305" s="42">
        <f t="shared" si="12"/>
        <v>0</v>
      </c>
      <c r="J305" s="29"/>
    </row>
    <row r="306" spans="1:12" x14ac:dyDescent="0.25">
      <c r="A306" s="25"/>
      <c r="B306" s="175">
        <f>COUNTA(B6:B305)</f>
        <v>300</v>
      </c>
      <c r="C306" s="429">
        <f>VPI!R306</f>
        <v>37643741.933631986</v>
      </c>
      <c r="D306" s="62">
        <f>Effort!I306</f>
        <v>17.685457669411683</v>
      </c>
      <c r="E306" s="62">
        <f>PCS!F312/Aide!C306</f>
        <v>3.8576484653418466</v>
      </c>
      <c r="F306" s="62">
        <f>Effort!G306</f>
        <v>-4.2381562902401964</v>
      </c>
      <c r="G306" s="351">
        <f>D306-F306</f>
        <v>21.923613959651881</v>
      </c>
      <c r="H306" s="428"/>
      <c r="I306" s="30">
        <f>SUM(I6:I305)</f>
        <v>4057425.6420743242</v>
      </c>
      <c r="K306" s="10"/>
      <c r="L306" s="10"/>
    </row>
    <row r="307" spans="1:12" x14ac:dyDescent="0.25">
      <c r="I307" s="23"/>
      <c r="J307" s="5"/>
    </row>
    <row r="308" spans="1:12" x14ac:dyDescent="0.25">
      <c r="I308" s="23"/>
    </row>
  </sheetData>
  <sheetProtection sheet="1" objects="1" scenarios="1"/>
  <mergeCells count="6">
    <mergeCell ref="C4:C5"/>
    <mergeCell ref="B4:B5"/>
    <mergeCell ref="A4:A5"/>
    <mergeCell ref="I4:I5"/>
    <mergeCell ref="G4:G5"/>
    <mergeCell ref="D4:D5"/>
  </mergeCells>
  <phoneticPr fontId="21" type="noConversion"/>
  <conditionalFormatting sqref="D6:G306">
    <cfRule type="cellIs" dxfId="6" priority="3" operator="lessThan">
      <formula>0</formula>
    </cfRule>
    <cfRule type="cellIs" dxfId="5" priority="4" operator="greaterThan">
      <formula>0</formula>
    </cfRule>
  </conditionalFormatting>
  <conditionalFormatting sqref="H5">
    <cfRule type="cellIs" dxfId="4" priority="1" operator="lessThan">
      <formula>0</formula>
    </cfRule>
    <cfRule type="cellIs" dxfId="3" priority="2" operator="greaterThan">
      <formula>0</formula>
    </cfRule>
  </conditionalFormatting>
  <hyperlinks>
    <hyperlink ref="C1" location="Effort!A1" display="← Précédent" xr:uid="{AB4DD465-687C-427D-8055-D2BD3588A1AC}"/>
    <hyperlink ref="E1" location="Taux!A1" display="Suivant →" xr:uid="{595CC61F-6155-4574-887D-9823ED57B9F9}"/>
    <hyperlink ref="D1" location="'Table des matières'!A1" display="Table des             matières" xr:uid="{FC746932-0F9A-4D6A-946B-B9E5F79E5828}"/>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6" tint="0.39997558519241921"/>
  </sheetPr>
  <dimension ref="A1:R311"/>
  <sheetViews>
    <sheetView workbookViewId="0">
      <pane ySplit="5" topLeftCell="A6" activePane="bottomLeft" state="frozen"/>
      <selection pane="bottomLeft"/>
    </sheetView>
  </sheetViews>
  <sheetFormatPr baseColWidth="10" defaultColWidth="10.75" defaultRowHeight="15" x14ac:dyDescent="0.25"/>
  <cols>
    <col min="1" max="1" width="7.25" style="11" customWidth="1"/>
    <col min="2" max="2" width="20.25" style="11" bestFit="1" customWidth="1"/>
    <col min="3" max="3" width="16.125" style="5" customWidth="1"/>
    <col min="4" max="4" width="22.375" style="5" customWidth="1"/>
    <col min="5" max="6" width="12.125" style="5" customWidth="1"/>
    <col min="7" max="7" width="16.5" style="5" customWidth="1"/>
    <col min="8" max="8" width="12.125" style="11" customWidth="1"/>
    <col min="9" max="9" width="12" style="11" customWidth="1"/>
    <col min="10" max="10" width="9.25" style="11" bestFit="1" customWidth="1"/>
    <col min="11" max="11" width="8.875" style="13" bestFit="1" customWidth="1"/>
    <col min="12" max="12" width="11.75" style="13" bestFit="1" customWidth="1"/>
    <col min="13" max="13" width="12.5" style="13" bestFit="1" customWidth="1"/>
    <col min="14" max="14" width="6.75" style="11" customWidth="1"/>
    <col min="15" max="15" width="12.25" style="11" customWidth="1"/>
    <col min="16" max="16" width="12.625" style="11" customWidth="1"/>
    <col min="17" max="17" width="9.625" style="11" customWidth="1"/>
    <col min="18" max="18" width="11.25" style="5" bestFit="1" customWidth="1"/>
    <col min="19" max="16384" width="10.75" style="11"/>
  </cols>
  <sheetData>
    <row r="1" spans="1:18" s="295" customFormat="1" ht="26.25" x14ac:dyDescent="0.4">
      <c r="A1" s="282" t="s">
        <v>407</v>
      </c>
      <c r="B1" s="287"/>
      <c r="C1" s="415" t="s">
        <v>409</v>
      </c>
      <c r="D1" s="306" t="s">
        <v>401</v>
      </c>
      <c r="E1" s="414" t="s">
        <v>410</v>
      </c>
      <c r="F1" s="292"/>
      <c r="G1" s="292"/>
      <c r="H1" s="291"/>
      <c r="I1" s="291"/>
      <c r="J1" s="291"/>
      <c r="K1" s="294"/>
      <c r="L1" s="294"/>
      <c r="M1" s="294"/>
      <c r="N1" s="291"/>
      <c r="O1" s="291"/>
      <c r="P1" s="291"/>
      <c r="Q1" s="291"/>
      <c r="R1" s="290"/>
    </row>
    <row r="2" spans="1:18" s="33" customFormat="1" ht="15.75" x14ac:dyDescent="0.25">
      <c r="A2" s="360" t="str">
        <f>Paramètres!B4</f>
        <v>Acomptes 2022</v>
      </c>
      <c r="B2" s="32"/>
      <c r="C2" s="34"/>
      <c r="D2" s="34"/>
      <c r="E2" s="34"/>
      <c r="F2" s="34"/>
      <c r="G2" s="34"/>
      <c r="H2" s="222"/>
      <c r="I2" s="222"/>
      <c r="J2" s="222"/>
      <c r="K2" s="80"/>
      <c r="L2" s="80"/>
      <c r="M2" s="80"/>
      <c r="N2" s="222"/>
      <c r="O2" s="222"/>
      <c r="P2" s="222"/>
      <c r="Q2" s="222"/>
      <c r="R2" s="5"/>
    </row>
    <row r="3" spans="1:18" ht="26.1" customHeight="1" x14ac:dyDescent="0.25">
      <c r="D3" s="4"/>
      <c r="H3" s="81"/>
      <c r="I3" s="81"/>
    </row>
    <row r="4" spans="1:18" ht="36.75" customHeight="1" x14ac:dyDescent="0.25">
      <c r="A4" s="638" t="s">
        <v>44</v>
      </c>
      <c r="B4" s="638" t="s">
        <v>84</v>
      </c>
      <c r="C4" s="638" t="s">
        <v>417</v>
      </c>
      <c r="D4" s="355" t="s">
        <v>504</v>
      </c>
      <c r="E4" s="644" t="s">
        <v>301</v>
      </c>
      <c r="F4" s="644" t="s">
        <v>441</v>
      </c>
      <c r="G4" s="510" t="s">
        <v>503</v>
      </c>
      <c r="H4" s="649" t="s">
        <v>525</v>
      </c>
      <c r="I4" s="508" t="s">
        <v>113</v>
      </c>
      <c r="J4" s="647" t="s">
        <v>442</v>
      </c>
      <c r="K4" s="5"/>
      <c r="L4" s="11"/>
      <c r="M4" s="11"/>
      <c r="R4" s="11"/>
    </row>
    <row r="5" spans="1:18" x14ac:dyDescent="0.25">
      <c r="A5" s="640"/>
      <c r="B5" s="640"/>
      <c r="C5" s="640"/>
      <c r="D5" s="379" t="s">
        <v>489</v>
      </c>
      <c r="E5" s="645"/>
      <c r="F5" s="645"/>
      <c r="G5" s="530" t="s">
        <v>440</v>
      </c>
      <c r="H5" s="650"/>
      <c r="I5" s="536">
        <f>Paramètres!B46</f>
        <v>92.188000000000002</v>
      </c>
      <c r="J5" s="651"/>
      <c r="K5" s="5"/>
      <c r="L5" s="11"/>
      <c r="M5" s="11"/>
      <c r="R5" s="11"/>
    </row>
    <row r="6" spans="1:18" x14ac:dyDescent="0.25">
      <c r="A6" s="36">
        <f>Données!A6</f>
        <v>5401</v>
      </c>
      <c r="B6" s="202" t="str">
        <f>Données!B6</f>
        <v>Aigle</v>
      </c>
      <c r="C6" s="352">
        <f>VPI!R6</f>
        <v>283957.57045177044</v>
      </c>
      <c r="D6" s="543">
        <f>Données!AP6</f>
        <v>2.7778836528192832</v>
      </c>
      <c r="E6" s="421">
        <f>VPI!Q6</f>
        <v>66</v>
      </c>
      <c r="F6" s="245">
        <f>E6-D6</f>
        <v>63.222116347180716</v>
      </c>
      <c r="G6" s="59">
        <f>Effort!I6+Aide!I6/Taux!C6+Effort!K6/Taux!C6</f>
        <v>-9.0063651531624558</v>
      </c>
      <c r="H6" s="82">
        <f>F6+G6</f>
        <v>54.21575119401826</v>
      </c>
      <c r="I6" s="226">
        <f>IF(H6&gt;$I$5,H6-$I$5,0)</f>
        <v>0</v>
      </c>
      <c r="J6" s="64">
        <f>-I6*C6</f>
        <v>0</v>
      </c>
      <c r="K6" s="5"/>
      <c r="L6" s="10"/>
      <c r="M6" s="11"/>
      <c r="R6" s="11"/>
    </row>
    <row r="7" spans="1:18" x14ac:dyDescent="0.25">
      <c r="A7" s="38">
        <f>Données!A7</f>
        <v>5402</v>
      </c>
      <c r="B7" s="200" t="str">
        <f>Données!B7</f>
        <v>Bex</v>
      </c>
      <c r="C7" s="353">
        <f>VPI!R7</f>
        <v>178942.44507064961</v>
      </c>
      <c r="D7" s="544">
        <f>Données!AP7</f>
        <v>-3.2616918003402584</v>
      </c>
      <c r="E7" s="422">
        <f>VPI!Q7</f>
        <v>71</v>
      </c>
      <c r="F7" s="244">
        <f t="shared" ref="F7:F70" si="0">E7-D7</f>
        <v>74.261691800340259</v>
      </c>
      <c r="G7" s="241">
        <f>Effort!I7+Aide!I7/Taux!C7+Effort!K7/Taux!C7</f>
        <v>-17.798388290487516</v>
      </c>
      <c r="H7" s="83">
        <f t="shared" ref="H7:H70" si="1">F7+G7</f>
        <v>56.463303509852743</v>
      </c>
      <c r="I7" s="226">
        <f t="shared" ref="I7:I70" si="2">IF(H7&gt;$I$5,H7-$I$5,0)</f>
        <v>0</v>
      </c>
      <c r="J7" s="42">
        <f t="shared" ref="J7:J70" si="3">-I7*C7</f>
        <v>0</v>
      </c>
      <c r="K7" s="5"/>
      <c r="L7" s="10"/>
      <c r="M7" s="11"/>
      <c r="R7" s="11"/>
    </row>
    <row r="8" spans="1:18" x14ac:dyDescent="0.25">
      <c r="A8" s="38">
        <f>Données!A8</f>
        <v>5403</v>
      </c>
      <c r="B8" s="200" t="str">
        <f>Données!B8</f>
        <v>Chessel</v>
      </c>
      <c r="C8" s="353">
        <f>VPI!R8</f>
        <v>10796.246764670586</v>
      </c>
      <c r="D8" s="544">
        <f>Données!AP8</f>
        <v>11.646717585626469</v>
      </c>
      <c r="E8" s="422">
        <f>VPI!Q8</f>
        <v>74</v>
      </c>
      <c r="F8" s="244">
        <f t="shared" si="0"/>
        <v>62.353282414373531</v>
      </c>
      <c r="G8" s="241">
        <f>Effort!I8+Aide!I8/Taux!C8+Effort!K8/Taux!C8</f>
        <v>7.4960962479869089</v>
      </c>
      <c r="H8" s="83">
        <f t="shared" si="1"/>
        <v>69.849378662360436</v>
      </c>
      <c r="I8" s="226">
        <f t="shared" si="2"/>
        <v>0</v>
      </c>
      <c r="J8" s="42">
        <f t="shared" si="3"/>
        <v>0</v>
      </c>
      <c r="K8" s="5"/>
      <c r="L8" s="10"/>
      <c r="M8" s="11"/>
      <c r="R8" s="11"/>
    </row>
    <row r="9" spans="1:18" x14ac:dyDescent="0.25">
      <c r="A9" s="38">
        <f>Données!A9</f>
        <v>5404</v>
      </c>
      <c r="B9" s="200" t="str">
        <f>Données!B9</f>
        <v>Corbeyrier</v>
      </c>
      <c r="C9" s="353">
        <f>VPI!R9</f>
        <v>11266.447111519699</v>
      </c>
      <c r="D9" s="544">
        <f>Données!AP9</f>
        <v>23.054184696711388</v>
      </c>
      <c r="E9" s="422">
        <f>VPI!Q9</f>
        <v>74</v>
      </c>
      <c r="F9" s="244">
        <f t="shared" si="0"/>
        <v>50.945815303288612</v>
      </c>
      <c r="G9" s="241">
        <f>Effort!I9+Aide!I9/Taux!C9+Effort!K9/Taux!C9</f>
        <v>-0.92783910223159083</v>
      </c>
      <c r="H9" s="83">
        <f t="shared" si="1"/>
        <v>50.017976201057024</v>
      </c>
      <c r="I9" s="226">
        <f t="shared" si="2"/>
        <v>0</v>
      </c>
      <c r="J9" s="42">
        <f t="shared" si="3"/>
        <v>0</v>
      </c>
      <c r="K9" s="5"/>
      <c r="L9" s="10"/>
      <c r="M9" s="11"/>
      <c r="R9" s="11"/>
    </row>
    <row r="10" spans="1:18" x14ac:dyDescent="0.25">
      <c r="A10" s="38">
        <f>Données!A10</f>
        <v>5405</v>
      </c>
      <c r="B10" s="200" t="str">
        <f>Données!B10</f>
        <v>Gryon</v>
      </c>
      <c r="C10" s="353">
        <f>VPI!R10</f>
        <v>68176.099678718238</v>
      </c>
      <c r="D10" s="544">
        <f>Données!AP10</f>
        <v>32.045557413322754</v>
      </c>
      <c r="E10" s="422">
        <f>VPI!Q10</f>
        <v>73.5</v>
      </c>
      <c r="F10" s="244">
        <f t="shared" si="0"/>
        <v>41.454442586677246</v>
      </c>
      <c r="G10" s="241">
        <f>Effort!I10+Aide!I10/Taux!C10+Effort!K10/Taux!C10</f>
        <v>18.403633857301447</v>
      </c>
      <c r="H10" s="83">
        <f t="shared" si="1"/>
        <v>59.858076443978689</v>
      </c>
      <c r="I10" s="226">
        <f t="shared" si="2"/>
        <v>0</v>
      </c>
      <c r="J10" s="42">
        <f t="shared" si="3"/>
        <v>0</v>
      </c>
      <c r="K10" s="5"/>
      <c r="L10" s="10"/>
      <c r="M10" s="11"/>
      <c r="R10" s="11"/>
    </row>
    <row r="11" spans="1:18" x14ac:dyDescent="0.25">
      <c r="A11" s="38">
        <f>Données!A11</f>
        <v>5406</v>
      </c>
      <c r="B11" s="200" t="str">
        <f>Données!B11</f>
        <v>Lavey-Morcles</v>
      </c>
      <c r="C11" s="353">
        <f>VPI!R11</f>
        <v>21824.791081856485</v>
      </c>
      <c r="D11" s="544">
        <f>Données!AP11</f>
        <v>15.526785841333849</v>
      </c>
      <c r="E11" s="422">
        <f>VPI!Q11</f>
        <v>71.5</v>
      </c>
      <c r="F11" s="244">
        <f t="shared" si="0"/>
        <v>55.973214158666153</v>
      </c>
      <c r="G11" s="241">
        <f>Effort!I11+Aide!I11/Taux!C11+Effort!K11/Taux!C11</f>
        <v>-5.9997477270307797E-2</v>
      </c>
      <c r="H11" s="83">
        <f t="shared" si="1"/>
        <v>55.913216681395845</v>
      </c>
      <c r="I11" s="226">
        <f t="shared" si="2"/>
        <v>0</v>
      </c>
      <c r="J11" s="42">
        <f t="shared" si="3"/>
        <v>0</v>
      </c>
      <c r="K11" s="5"/>
      <c r="L11" s="10"/>
      <c r="M11" s="11"/>
      <c r="R11" s="11"/>
    </row>
    <row r="12" spans="1:18" x14ac:dyDescent="0.25">
      <c r="A12" s="38">
        <f>Données!A12</f>
        <v>5407</v>
      </c>
      <c r="B12" s="200" t="str">
        <f>Données!B12</f>
        <v>Leysin</v>
      </c>
      <c r="C12" s="353">
        <f>VPI!R12</f>
        <v>90748.112777121743</v>
      </c>
      <c r="D12" s="544">
        <f>Données!AP12</f>
        <v>-1.583819881460619</v>
      </c>
      <c r="E12" s="422">
        <f>VPI!Q12</f>
        <v>78</v>
      </c>
      <c r="F12" s="244">
        <f t="shared" si="0"/>
        <v>79.583819881460613</v>
      </c>
      <c r="G12" s="241">
        <f>Effort!I12+Aide!I12/Taux!C12+Effort!K12/Taux!C12</f>
        <v>-18.48814368826207</v>
      </c>
      <c r="H12" s="83">
        <f t="shared" si="1"/>
        <v>61.095676193198543</v>
      </c>
      <c r="I12" s="226">
        <f t="shared" si="2"/>
        <v>0</v>
      </c>
      <c r="J12" s="42">
        <f t="shared" si="3"/>
        <v>0</v>
      </c>
      <c r="K12" s="5"/>
      <c r="L12" s="10"/>
      <c r="M12" s="11"/>
      <c r="R12" s="11"/>
    </row>
    <row r="13" spans="1:18" x14ac:dyDescent="0.25">
      <c r="A13" s="38">
        <f>Données!A13</f>
        <v>5408</v>
      </c>
      <c r="B13" s="200" t="str">
        <f>Données!B13</f>
        <v>Noville</v>
      </c>
      <c r="C13" s="353">
        <f>VPI!R13</f>
        <v>43666.640444665623</v>
      </c>
      <c r="D13" s="544">
        <f>Données!AP13</f>
        <v>6.5894025040624706</v>
      </c>
      <c r="E13" s="422">
        <f>VPI!Q13</f>
        <v>78.5</v>
      </c>
      <c r="F13" s="244">
        <f t="shared" si="0"/>
        <v>71.910597495937523</v>
      </c>
      <c r="G13" s="241">
        <f>Effort!I13+Aide!I13/Taux!C13+Effort!K13/Taux!C13</f>
        <v>21.26348696484251</v>
      </c>
      <c r="H13" s="83">
        <f t="shared" si="1"/>
        <v>93.174084460780037</v>
      </c>
      <c r="I13" s="226">
        <f t="shared" si="2"/>
        <v>0.98608446078003453</v>
      </c>
      <c r="J13" s="42">
        <f t="shared" si="3"/>
        <v>-43058.995596953748</v>
      </c>
      <c r="K13" s="5"/>
      <c r="L13" s="10"/>
      <c r="M13" s="11"/>
      <c r="R13" s="11"/>
    </row>
    <row r="14" spans="1:18" x14ac:dyDescent="0.25">
      <c r="A14" s="38">
        <f>Données!A14</f>
        <v>5409</v>
      </c>
      <c r="B14" s="200" t="str">
        <f>Données!B14</f>
        <v>Ollon</v>
      </c>
      <c r="C14" s="353">
        <f>VPI!R14</f>
        <v>388986.52146492567</v>
      </c>
      <c r="D14" s="544">
        <f>Données!AP14</f>
        <v>28.215100373195629</v>
      </c>
      <c r="E14" s="422">
        <f>VPI!Q14</f>
        <v>68</v>
      </c>
      <c r="F14" s="244">
        <f t="shared" si="0"/>
        <v>39.784899626804375</v>
      </c>
      <c r="G14" s="241">
        <f>Effort!I14+Aide!I14/Taux!C14+Effort!K14/Taux!C14</f>
        <v>19.209456207935538</v>
      </c>
      <c r="H14" s="83">
        <f t="shared" si="1"/>
        <v>58.994355834739913</v>
      </c>
      <c r="I14" s="226">
        <f t="shared" si="2"/>
        <v>0</v>
      </c>
      <c r="J14" s="42">
        <f t="shared" si="3"/>
        <v>0</v>
      </c>
      <c r="K14" s="5"/>
      <c r="L14" s="10"/>
      <c r="M14" s="11"/>
      <c r="R14" s="11"/>
    </row>
    <row r="15" spans="1:18" x14ac:dyDescent="0.25">
      <c r="A15" s="38">
        <f>Données!A15</f>
        <v>5410</v>
      </c>
      <c r="B15" s="200" t="str">
        <f>Données!B15</f>
        <v>Ormont-Dessous</v>
      </c>
      <c r="C15" s="353">
        <f>VPI!R15</f>
        <v>39516.146697267235</v>
      </c>
      <c r="D15" s="544">
        <f>Données!AP15</f>
        <v>21.304199625974395</v>
      </c>
      <c r="E15" s="422">
        <f>VPI!Q15</f>
        <v>77</v>
      </c>
      <c r="F15" s="244">
        <f t="shared" si="0"/>
        <v>55.695800374025609</v>
      </c>
      <c r="G15" s="241">
        <f>Effort!I15+Aide!I15/Taux!C15+Effort!K15/Taux!C15</f>
        <v>-0.21838884581859475</v>
      </c>
      <c r="H15" s="83">
        <f t="shared" si="1"/>
        <v>55.477411528207014</v>
      </c>
      <c r="I15" s="226">
        <f t="shared" si="2"/>
        <v>0</v>
      </c>
      <c r="J15" s="42">
        <f t="shared" si="3"/>
        <v>0</v>
      </c>
      <c r="K15" s="5"/>
      <c r="L15" s="10"/>
      <c r="M15" s="11"/>
      <c r="R15" s="11"/>
    </row>
    <row r="16" spans="1:18" x14ac:dyDescent="0.25">
      <c r="A16" s="38">
        <f>Données!A16</f>
        <v>5411</v>
      </c>
      <c r="B16" s="200" t="str">
        <f>Données!B16</f>
        <v>Ormont-Dessus</v>
      </c>
      <c r="C16" s="353">
        <f>VPI!R16</f>
        <v>68020.566453850552</v>
      </c>
      <c r="D16" s="544">
        <f>Données!AP16</f>
        <v>32.652126647757761</v>
      </c>
      <c r="E16" s="422">
        <f>VPI!Q16</f>
        <v>76</v>
      </c>
      <c r="F16" s="244">
        <f t="shared" si="0"/>
        <v>43.347873352242239</v>
      </c>
      <c r="G16" s="241">
        <f>Effort!I16+Aide!I16/Taux!C16+Effort!K16/Taux!C16</f>
        <v>15.977058431961872</v>
      </c>
      <c r="H16" s="83">
        <f t="shared" si="1"/>
        <v>59.324931784204111</v>
      </c>
      <c r="I16" s="226">
        <f t="shared" si="2"/>
        <v>0</v>
      </c>
      <c r="J16" s="42">
        <f t="shared" si="3"/>
        <v>0</v>
      </c>
      <c r="K16" s="5"/>
      <c r="L16" s="10"/>
      <c r="M16" s="11"/>
      <c r="R16" s="11"/>
    </row>
    <row r="17" spans="1:18" x14ac:dyDescent="0.25">
      <c r="A17" s="38">
        <f>Données!A17</f>
        <v>5412</v>
      </c>
      <c r="B17" s="200" t="str">
        <f>Données!B17</f>
        <v>Rennaz</v>
      </c>
      <c r="C17" s="353">
        <f>VPI!R17</f>
        <v>24252.718750309756</v>
      </c>
      <c r="D17" s="544">
        <f>Données!AP17</f>
        <v>18.109180357050008</v>
      </c>
      <c r="E17" s="422">
        <f>VPI!Q17</f>
        <v>69</v>
      </c>
      <c r="F17" s="244">
        <f t="shared" si="0"/>
        <v>50.890819642949992</v>
      </c>
      <c r="G17" s="241">
        <f>Effort!I17+Aide!I17/Taux!C17+Effort!K17/Taux!C17</f>
        <v>12.360981579920381</v>
      </c>
      <c r="H17" s="83">
        <f t="shared" si="1"/>
        <v>63.25180122287037</v>
      </c>
      <c r="I17" s="226">
        <f t="shared" si="2"/>
        <v>0</v>
      </c>
      <c r="J17" s="42">
        <f t="shared" si="3"/>
        <v>0</v>
      </c>
      <c r="K17" s="5"/>
      <c r="L17" s="10"/>
      <c r="M17" s="11"/>
      <c r="R17" s="11"/>
    </row>
    <row r="18" spans="1:18" x14ac:dyDescent="0.25">
      <c r="A18" s="38">
        <f>Données!A18</f>
        <v>5413</v>
      </c>
      <c r="B18" s="200" t="str">
        <f>Données!B18</f>
        <v>Roche</v>
      </c>
      <c r="C18" s="353">
        <f>VPI!R18</f>
        <v>47951.627432220594</v>
      </c>
      <c r="D18" s="544">
        <f>Données!AP18</f>
        <v>9.5615784258397625</v>
      </c>
      <c r="E18" s="422">
        <f>VPI!Q18</f>
        <v>68</v>
      </c>
      <c r="F18" s="244">
        <f t="shared" si="0"/>
        <v>58.438421574160238</v>
      </c>
      <c r="G18" s="241">
        <f>Effort!I18+Aide!I18/Taux!C18+Effort!K18/Taux!C18</f>
        <v>10.129320106015928</v>
      </c>
      <c r="H18" s="83">
        <f t="shared" si="1"/>
        <v>68.567741680176169</v>
      </c>
      <c r="I18" s="226">
        <f t="shared" si="2"/>
        <v>0</v>
      </c>
      <c r="J18" s="42">
        <f t="shared" si="3"/>
        <v>0</v>
      </c>
      <c r="K18" s="5"/>
      <c r="L18" s="10"/>
      <c r="M18" s="11"/>
      <c r="R18" s="11"/>
    </row>
    <row r="19" spans="1:18" x14ac:dyDescent="0.25">
      <c r="A19" s="38">
        <f>Données!A19</f>
        <v>5414</v>
      </c>
      <c r="B19" s="200" t="str">
        <f>Données!B19</f>
        <v>Villeneuve</v>
      </c>
      <c r="C19" s="353">
        <f>VPI!R19</f>
        <v>159309.32612133506</v>
      </c>
      <c r="D19" s="544">
        <f>Données!AP19</f>
        <v>9.8676768420934344</v>
      </c>
      <c r="E19" s="422">
        <f>VPI!Q19</f>
        <v>67.5</v>
      </c>
      <c r="F19" s="244">
        <f t="shared" si="0"/>
        <v>57.632323157906569</v>
      </c>
      <c r="G19" s="241">
        <f>Effort!I19+Aide!I19/Taux!C19+Effort!K19/Taux!C19</f>
        <v>-8.6570926036389189</v>
      </c>
      <c r="H19" s="83">
        <f t="shared" si="1"/>
        <v>48.975230554267654</v>
      </c>
      <c r="I19" s="226">
        <f t="shared" si="2"/>
        <v>0</v>
      </c>
      <c r="J19" s="42">
        <f t="shared" si="3"/>
        <v>0</v>
      </c>
      <c r="K19" s="5"/>
      <c r="L19" s="10"/>
      <c r="M19" s="11"/>
      <c r="R19" s="11"/>
    </row>
    <row r="20" spans="1:18" x14ac:dyDescent="0.25">
      <c r="A20" s="38">
        <f>Données!A20</f>
        <v>5415</v>
      </c>
      <c r="B20" s="200" t="str">
        <f>Données!B20</f>
        <v>Yvorne</v>
      </c>
      <c r="C20" s="353">
        <f>VPI!R20</f>
        <v>38141.091526902295</v>
      </c>
      <c r="D20" s="544">
        <f>Données!AP20</f>
        <v>25.898877736666854</v>
      </c>
      <c r="E20" s="422">
        <f>VPI!Q20</f>
        <v>71.5</v>
      </c>
      <c r="F20" s="244">
        <f t="shared" si="0"/>
        <v>45.601122263333146</v>
      </c>
      <c r="G20" s="241">
        <f>Effort!I20+Aide!I20/Taux!C20+Effort!K20/Taux!C20</f>
        <v>19.169107497189742</v>
      </c>
      <c r="H20" s="83">
        <f t="shared" si="1"/>
        <v>64.770229760522881</v>
      </c>
      <c r="I20" s="226">
        <f t="shared" si="2"/>
        <v>0</v>
      </c>
      <c r="J20" s="42">
        <f t="shared" si="3"/>
        <v>0</v>
      </c>
      <c r="K20" s="5"/>
      <c r="L20" s="10"/>
      <c r="M20" s="11"/>
      <c r="R20" s="11"/>
    </row>
    <row r="21" spans="1:18" x14ac:dyDescent="0.25">
      <c r="A21" s="38">
        <f>Données!A21</f>
        <v>5422</v>
      </c>
      <c r="B21" s="200" t="str">
        <f>Données!B21</f>
        <v>Aubonne</v>
      </c>
      <c r="C21" s="353">
        <f>VPI!R21</f>
        <v>257139.62131053992</v>
      </c>
      <c r="D21" s="544">
        <f>Données!AP21</f>
        <v>34.942777772534328</v>
      </c>
      <c r="E21" s="422">
        <f>VPI!Q21</f>
        <v>68.92</v>
      </c>
      <c r="F21" s="244">
        <f t="shared" si="0"/>
        <v>33.977222227465674</v>
      </c>
      <c r="G21" s="241">
        <f>Effort!I21+Aide!I21/Taux!C21+Effort!K21/Taux!C21</f>
        <v>34.870713216727452</v>
      </c>
      <c r="H21" s="83">
        <f t="shared" si="1"/>
        <v>68.847935444193126</v>
      </c>
      <c r="I21" s="226">
        <f t="shared" si="2"/>
        <v>0</v>
      </c>
      <c r="J21" s="42">
        <f t="shared" si="3"/>
        <v>0</v>
      </c>
      <c r="K21" s="5"/>
      <c r="L21" s="10"/>
      <c r="M21" s="11"/>
      <c r="R21" s="11"/>
    </row>
    <row r="22" spans="1:18" x14ac:dyDescent="0.25">
      <c r="A22" s="38">
        <f>Données!A22</f>
        <v>5423</v>
      </c>
      <c r="B22" s="200" t="str">
        <f>Données!B22</f>
        <v>Ballens</v>
      </c>
      <c r="C22" s="353">
        <f>VPI!R22</f>
        <v>17113.568875479887</v>
      </c>
      <c r="D22" s="544">
        <f>Données!AP22</f>
        <v>19.504450661855692</v>
      </c>
      <c r="E22" s="422">
        <f>VPI!Q22</f>
        <v>73</v>
      </c>
      <c r="F22" s="244">
        <f t="shared" si="0"/>
        <v>53.495549338144308</v>
      </c>
      <c r="G22" s="241">
        <f>Effort!I22+Aide!I22/Taux!C22+Effort!K22/Taux!C22</f>
        <v>10.531390554451088</v>
      </c>
      <c r="H22" s="83">
        <f t="shared" si="1"/>
        <v>64.026939892595394</v>
      </c>
      <c r="I22" s="226">
        <f t="shared" si="2"/>
        <v>0</v>
      </c>
      <c r="J22" s="42">
        <f t="shared" si="3"/>
        <v>0</v>
      </c>
      <c r="K22" s="5"/>
      <c r="L22" s="10"/>
      <c r="M22" s="11"/>
      <c r="R22" s="11"/>
    </row>
    <row r="23" spans="1:18" x14ac:dyDescent="0.25">
      <c r="A23" s="38">
        <f>Données!A23</f>
        <v>5424</v>
      </c>
      <c r="B23" s="200" t="str">
        <f>Données!B23</f>
        <v>Berolle</v>
      </c>
      <c r="C23" s="353">
        <f>VPI!R23</f>
        <v>9114.6527235419599</v>
      </c>
      <c r="D23" s="544">
        <f>Données!AP23</f>
        <v>19.511868454474957</v>
      </c>
      <c r="E23" s="422">
        <f>VPI!Q23</f>
        <v>75.5</v>
      </c>
      <c r="F23" s="244">
        <f t="shared" si="0"/>
        <v>55.988131545525043</v>
      </c>
      <c r="G23" s="241">
        <f>Effort!I23+Aide!I23/Taux!C23+Effort!K23/Taux!C23</f>
        <v>11.051183857160236</v>
      </c>
      <c r="H23" s="83">
        <f t="shared" si="1"/>
        <v>67.039315402685276</v>
      </c>
      <c r="I23" s="226">
        <f t="shared" si="2"/>
        <v>0</v>
      </c>
      <c r="J23" s="42">
        <f t="shared" si="3"/>
        <v>0</v>
      </c>
      <c r="K23" s="5"/>
      <c r="L23" s="10"/>
      <c r="M23" s="11"/>
      <c r="R23" s="11"/>
    </row>
    <row r="24" spans="1:18" x14ac:dyDescent="0.25">
      <c r="A24" s="38">
        <f>Données!A24</f>
        <v>5425</v>
      </c>
      <c r="B24" s="200" t="str">
        <f>Données!B24</f>
        <v>Bière</v>
      </c>
      <c r="C24" s="353">
        <f>VPI!R24</f>
        <v>40150.134165172873</v>
      </c>
      <c r="D24" s="544">
        <f>Données!AP24</f>
        <v>9.7233097767264702</v>
      </c>
      <c r="E24" s="422">
        <f>VPI!Q24</f>
        <v>69</v>
      </c>
      <c r="F24" s="244">
        <f t="shared" si="0"/>
        <v>59.276690223273533</v>
      </c>
      <c r="G24" s="241">
        <f>Effort!I24+Aide!I24/Taux!C24+Effort!K24/Taux!C24</f>
        <v>-6.1733490874127774</v>
      </c>
      <c r="H24" s="83">
        <f t="shared" si="1"/>
        <v>53.103341135860759</v>
      </c>
      <c r="I24" s="226">
        <f t="shared" si="2"/>
        <v>0</v>
      </c>
      <c r="J24" s="42">
        <f t="shared" si="3"/>
        <v>0</v>
      </c>
      <c r="K24" s="5"/>
      <c r="L24" s="10"/>
      <c r="M24" s="11"/>
      <c r="R24" s="11"/>
    </row>
    <row r="25" spans="1:18" x14ac:dyDescent="0.25">
      <c r="A25" s="38">
        <f>Données!A25</f>
        <v>5426</v>
      </c>
      <c r="B25" s="200" t="str">
        <f>Données!B25</f>
        <v>Bougy-Villars</v>
      </c>
      <c r="C25" s="353">
        <f>VPI!R25</f>
        <v>55602.19681468232</v>
      </c>
      <c r="D25" s="544">
        <f>Données!AP25</f>
        <v>48</v>
      </c>
      <c r="E25" s="422">
        <f>VPI!Q25</f>
        <v>64.5</v>
      </c>
      <c r="F25" s="244">
        <f t="shared" si="0"/>
        <v>16.5</v>
      </c>
      <c r="G25" s="241">
        <f>Effort!I25+Aide!I25/Taux!C25+Effort!K25/Taux!C25</f>
        <v>47.825483116671613</v>
      </c>
      <c r="H25" s="83">
        <f t="shared" si="1"/>
        <v>64.32548311667162</v>
      </c>
      <c r="I25" s="226">
        <f t="shared" si="2"/>
        <v>0</v>
      </c>
      <c r="J25" s="42">
        <f t="shared" si="3"/>
        <v>0</v>
      </c>
      <c r="K25" s="5"/>
      <c r="L25" s="10"/>
      <c r="M25" s="11"/>
      <c r="R25" s="11"/>
    </row>
    <row r="26" spans="1:18" x14ac:dyDescent="0.25">
      <c r="A26" s="38">
        <f>Données!A26</f>
        <v>5427</v>
      </c>
      <c r="B26" s="200" t="str">
        <f>Données!B26</f>
        <v>Féchy</v>
      </c>
      <c r="C26" s="353">
        <f>VPI!R26</f>
        <v>77005.502299275147</v>
      </c>
      <c r="D26" s="544">
        <f>Données!AP26</f>
        <v>46.144113023833398</v>
      </c>
      <c r="E26" s="422">
        <f>VPI!Q26</f>
        <v>64</v>
      </c>
      <c r="F26" s="244">
        <f t="shared" si="0"/>
        <v>17.855886976166602</v>
      </c>
      <c r="G26" s="241">
        <f>Effort!I26+Aide!I26/Taux!C26+Effort!K26/Taux!C26</f>
        <v>42.284316190511603</v>
      </c>
      <c r="H26" s="83">
        <f t="shared" si="1"/>
        <v>60.140203166678205</v>
      </c>
      <c r="I26" s="226">
        <f t="shared" si="2"/>
        <v>0</v>
      </c>
      <c r="J26" s="42">
        <f t="shared" si="3"/>
        <v>0</v>
      </c>
      <c r="K26" s="5"/>
      <c r="L26" s="10"/>
      <c r="M26" s="11"/>
      <c r="R26" s="11"/>
    </row>
    <row r="27" spans="1:18" x14ac:dyDescent="0.25">
      <c r="A27" s="38">
        <f>Données!A27</f>
        <v>5428</v>
      </c>
      <c r="B27" s="200" t="str">
        <f>Données!B27</f>
        <v>Gimel</v>
      </c>
      <c r="C27" s="353">
        <f>VPI!R27</f>
        <v>70160.017528660552</v>
      </c>
      <c r="D27" s="544">
        <f>Données!AP27</f>
        <v>14.371691594362892</v>
      </c>
      <c r="E27" s="422">
        <f>VPI!Q27</f>
        <v>74.5</v>
      </c>
      <c r="F27" s="244">
        <f t="shared" si="0"/>
        <v>60.128308405637107</v>
      </c>
      <c r="G27" s="241">
        <f>Effort!I27+Aide!I27/Taux!C27+Effort!K27/Taux!C27</f>
        <v>10.446781904290228</v>
      </c>
      <c r="H27" s="83">
        <f t="shared" si="1"/>
        <v>70.575090309927333</v>
      </c>
      <c r="I27" s="226">
        <f t="shared" si="2"/>
        <v>0</v>
      </c>
      <c r="J27" s="42">
        <f t="shared" si="3"/>
        <v>0</v>
      </c>
      <c r="K27" s="5"/>
      <c r="L27" s="10"/>
      <c r="M27" s="11"/>
      <c r="R27" s="11"/>
    </row>
    <row r="28" spans="1:18" x14ac:dyDescent="0.25">
      <c r="A28" s="38">
        <f>Données!A28</f>
        <v>5429</v>
      </c>
      <c r="B28" s="200" t="str">
        <f>Données!B28</f>
        <v>Longirod</v>
      </c>
      <c r="C28" s="353">
        <f>VPI!R28</f>
        <v>16136.097907481106</v>
      </c>
      <c r="D28" s="544">
        <f>Données!AP28</f>
        <v>19.387681600710568</v>
      </c>
      <c r="E28" s="422">
        <f>VPI!Q28</f>
        <v>77.5</v>
      </c>
      <c r="F28" s="244">
        <f t="shared" si="0"/>
        <v>58.112318399289435</v>
      </c>
      <c r="G28" s="241">
        <f>Effort!I28+Aide!I28/Taux!C28+Effort!K28/Taux!C28</f>
        <v>12.427769772178257</v>
      </c>
      <c r="H28" s="83">
        <f t="shared" si="1"/>
        <v>70.540088171467687</v>
      </c>
      <c r="I28" s="226">
        <f t="shared" si="2"/>
        <v>0</v>
      </c>
      <c r="J28" s="42">
        <f t="shared" si="3"/>
        <v>0</v>
      </c>
      <c r="K28" s="5"/>
      <c r="L28" s="10"/>
      <c r="M28" s="11"/>
      <c r="R28" s="11"/>
    </row>
    <row r="29" spans="1:18" x14ac:dyDescent="0.25">
      <c r="A29" s="38">
        <f>Données!A29</f>
        <v>5430</v>
      </c>
      <c r="B29" s="200" t="str">
        <f>Données!B29</f>
        <v>Marchissy</v>
      </c>
      <c r="C29" s="353">
        <f>VPI!R29</f>
        <v>14848.61677419355</v>
      </c>
      <c r="D29" s="544">
        <f>Données!AP29</f>
        <v>19.714806027974355</v>
      </c>
      <c r="E29" s="422">
        <f>VPI!Q29</f>
        <v>77.5</v>
      </c>
      <c r="F29" s="244">
        <f t="shared" si="0"/>
        <v>57.785193972025645</v>
      </c>
      <c r="G29" s="241">
        <f>Effort!I29+Aide!I29/Taux!C29+Effort!K29/Taux!C29</f>
        <v>-6.9396544009282479</v>
      </c>
      <c r="H29" s="83">
        <f t="shared" si="1"/>
        <v>50.845539571097397</v>
      </c>
      <c r="I29" s="226">
        <f t="shared" si="2"/>
        <v>0</v>
      </c>
      <c r="J29" s="42">
        <f t="shared" si="3"/>
        <v>0</v>
      </c>
      <c r="K29" s="5"/>
      <c r="L29" s="10"/>
      <c r="M29" s="11"/>
      <c r="R29" s="11"/>
    </row>
    <row r="30" spans="1:18" x14ac:dyDescent="0.25">
      <c r="A30" s="38">
        <f>Données!A30</f>
        <v>5431</v>
      </c>
      <c r="B30" s="200" t="str">
        <f>Données!B30</f>
        <v>Mollens</v>
      </c>
      <c r="C30" s="353">
        <f>VPI!R30</f>
        <v>9333.1487396041775</v>
      </c>
      <c r="D30" s="544">
        <f>Données!AP30</f>
        <v>24.134605109058086</v>
      </c>
      <c r="E30" s="422">
        <f>VPI!Q30</f>
        <v>74</v>
      </c>
      <c r="F30" s="244">
        <f t="shared" si="0"/>
        <v>49.865394890941914</v>
      </c>
      <c r="G30" s="241">
        <f>Effort!I30+Aide!I30/Taux!C30+Effort!K30/Taux!C30</f>
        <v>7.5854170809330519</v>
      </c>
      <c r="H30" s="83">
        <f t="shared" si="1"/>
        <v>57.45081197187497</v>
      </c>
      <c r="I30" s="226">
        <f t="shared" si="2"/>
        <v>0</v>
      </c>
      <c r="J30" s="42">
        <f t="shared" si="3"/>
        <v>0</v>
      </c>
      <c r="K30" s="5"/>
      <c r="L30" s="10"/>
      <c r="M30" s="11"/>
      <c r="R30" s="11"/>
    </row>
    <row r="31" spans="1:18" x14ac:dyDescent="0.25">
      <c r="A31" s="38">
        <f>Données!A31</f>
        <v>5434</v>
      </c>
      <c r="B31" s="200" t="str">
        <f>Données!B31</f>
        <v>Saint-George</v>
      </c>
      <c r="C31" s="353">
        <f>VPI!R31</f>
        <v>40791.515913403804</v>
      </c>
      <c r="D31" s="544">
        <f>Données!AP31</f>
        <v>26.752923797217164</v>
      </c>
      <c r="E31" s="422">
        <f>VPI!Q31</f>
        <v>69.5</v>
      </c>
      <c r="F31" s="244">
        <f t="shared" si="0"/>
        <v>42.747076202782836</v>
      </c>
      <c r="G31" s="241">
        <f>Effort!I31+Aide!I31/Taux!C31+Effort!K31/Taux!C31</f>
        <v>24.577284424181155</v>
      </c>
      <c r="H31" s="83">
        <f t="shared" si="1"/>
        <v>67.324360626963994</v>
      </c>
      <c r="I31" s="226">
        <f t="shared" si="2"/>
        <v>0</v>
      </c>
      <c r="J31" s="42">
        <f t="shared" si="3"/>
        <v>0</v>
      </c>
      <c r="K31" s="5"/>
      <c r="L31" s="10"/>
      <c r="M31" s="11"/>
      <c r="R31" s="11"/>
    </row>
    <row r="32" spans="1:18" x14ac:dyDescent="0.25">
      <c r="A32" s="38">
        <f>Données!A32</f>
        <v>5435</v>
      </c>
      <c r="B32" s="200" t="str">
        <f>Données!B32</f>
        <v>Saint-Livres</v>
      </c>
      <c r="C32" s="353">
        <f>VPI!R32</f>
        <v>26337.98545829628</v>
      </c>
      <c r="D32" s="544">
        <f>Données!AP32</f>
        <v>25.608593741305594</v>
      </c>
      <c r="E32" s="422">
        <f>VPI!Q32</f>
        <v>69</v>
      </c>
      <c r="F32" s="244">
        <f t="shared" si="0"/>
        <v>43.391406258694403</v>
      </c>
      <c r="G32" s="241">
        <f>Effort!I32+Aide!I32/Taux!C32+Effort!K32/Taux!C32</f>
        <v>25.247707235564839</v>
      </c>
      <c r="H32" s="83">
        <f t="shared" si="1"/>
        <v>68.639113494259249</v>
      </c>
      <c r="I32" s="226">
        <f t="shared" si="2"/>
        <v>0</v>
      </c>
      <c r="J32" s="42">
        <f t="shared" si="3"/>
        <v>0</v>
      </c>
      <c r="K32" s="5"/>
      <c r="L32" s="10"/>
      <c r="M32" s="11"/>
      <c r="R32" s="11"/>
    </row>
    <row r="33" spans="1:18" x14ac:dyDescent="0.25">
      <c r="A33" s="38">
        <f>Données!A33</f>
        <v>5436</v>
      </c>
      <c r="B33" s="200" t="str">
        <f>Données!B33</f>
        <v>Saint-Oyens</v>
      </c>
      <c r="C33" s="353">
        <f>VPI!R33</f>
        <v>16753.686386728143</v>
      </c>
      <c r="D33" s="544">
        <f>Données!AP33</f>
        <v>25.533858467861194</v>
      </c>
      <c r="E33" s="422">
        <f>VPI!Q33</f>
        <v>81</v>
      </c>
      <c r="F33" s="244">
        <f t="shared" si="0"/>
        <v>55.466141532138806</v>
      </c>
      <c r="G33" s="241">
        <f>Effort!I33+Aide!I33/Taux!C33+Effort!K33/Taux!C33</f>
        <v>23.253636269635507</v>
      </c>
      <c r="H33" s="83">
        <f t="shared" si="1"/>
        <v>78.719777801774313</v>
      </c>
      <c r="I33" s="226">
        <f t="shared" si="2"/>
        <v>0</v>
      </c>
      <c r="J33" s="42">
        <f t="shared" si="3"/>
        <v>0</v>
      </c>
      <c r="K33" s="5"/>
      <c r="L33" s="10"/>
      <c r="M33" s="11"/>
      <c r="R33" s="11"/>
    </row>
    <row r="34" spans="1:18" x14ac:dyDescent="0.25">
      <c r="A34" s="38">
        <f>Données!A34</f>
        <v>5437</v>
      </c>
      <c r="B34" s="200" t="str">
        <f>Données!B34</f>
        <v>Saubraz</v>
      </c>
      <c r="C34" s="353">
        <f>VPI!R34</f>
        <v>13378.426818540998</v>
      </c>
      <c r="D34" s="544">
        <f>Données!AP34</f>
        <v>18.835674293020329</v>
      </c>
      <c r="E34" s="422">
        <f>VPI!Q34</f>
        <v>80</v>
      </c>
      <c r="F34" s="244">
        <f t="shared" si="0"/>
        <v>61.164325706979668</v>
      </c>
      <c r="G34" s="241">
        <f>Effort!I34+Aide!I34/Taux!C34+Effort!K34/Taux!C34</f>
        <v>16.955566739422153</v>
      </c>
      <c r="H34" s="83">
        <f t="shared" si="1"/>
        <v>78.119892446401821</v>
      </c>
      <c r="I34" s="226">
        <f t="shared" si="2"/>
        <v>0</v>
      </c>
      <c r="J34" s="42">
        <f t="shared" si="3"/>
        <v>0</v>
      </c>
      <c r="K34" s="5"/>
      <c r="L34" s="10"/>
      <c r="M34" s="11"/>
      <c r="R34" s="11"/>
    </row>
    <row r="35" spans="1:18" x14ac:dyDescent="0.25">
      <c r="A35" s="38">
        <f>Données!A35</f>
        <v>5451</v>
      </c>
      <c r="B35" s="200" t="str">
        <f>Données!B35</f>
        <v>Avenches</v>
      </c>
      <c r="C35" s="353">
        <f>VPI!R35</f>
        <v>128992.08671525712</v>
      </c>
      <c r="D35" s="544">
        <f>Données!AP35</f>
        <v>14.321693371198114</v>
      </c>
      <c r="E35" s="422">
        <f>VPI!Q35</f>
        <v>66.5</v>
      </c>
      <c r="F35" s="244">
        <f t="shared" si="0"/>
        <v>52.178306628801884</v>
      </c>
      <c r="G35" s="241">
        <f>Effort!I35+Aide!I35/Taux!C35+Effort!K35/Taux!C35</f>
        <v>0.38345314153963983</v>
      </c>
      <c r="H35" s="83">
        <f t="shared" si="1"/>
        <v>52.561759770341524</v>
      </c>
      <c r="I35" s="226">
        <f t="shared" si="2"/>
        <v>0</v>
      </c>
      <c r="J35" s="42">
        <f t="shared" si="3"/>
        <v>0</v>
      </c>
      <c r="K35" s="5"/>
      <c r="L35" s="10"/>
      <c r="M35" s="11"/>
      <c r="R35" s="11"/>
    </row>
    <row r="36" spans="1:18" x14ac:dyDescent="0.25">
      <c r="A36" s="38">
        <f>Données!A36</f>
        <v>5456</v>
      </c>
      <c r="B36" s="200" t="str">
        <f>Données!B36</f>
        <v>Cudrefin</v>
      </c>
      <c r="C36" s="353">
        <f>VPI!R36</f>
        <v>64212.312252410848</v>
      </c>
      <c r="D36" s="544">
        <f>Données!AP36</f>
        <v>22.960238145009722</v>
      </c>
      <c r="E36" s="422">
        <f>VPI!Q36</f>
        <v>59</v>
      </c>
      <c r="F36" s="244">
        <f t="shared" si="0"/>
        <v>36.039761854990275</v>
      </c>
      <c r="G36" s="241">
        <f>Effort!I36+Aide!I36/Taux!C36+Effort!K36/Taux!C36</f>
        <v>20.07388994364528</v>
      </c>
      <c r="H36" s="83">
        <f t="shared" si="1"/>
        <v>56.113651798635559</v>
      </c>
      <c r="I36" s="226">
        <f t="shared" si="2"/>
        <v>0</v>
      </c>
      <c r="J36" s="42">
        <f t="shared" si="3"/>
        <v>0</v>
      </c>
      <c r="K36" s="5"/>
      <c r="L36" s="10"/>
      <c r="M36" s="11"/>
      <c r="R36" s="11"/>
    </row>
    <row r="37" spans="1:18" x14ac:dyDescent="0.25">
      <c r="A37" s="38">
        <f>Données!A37</f>
        <v>5458</v>
      </c>
      <c r="B37" s="200" t="str">
        <f>Données!B37</f>
        <v>Faoug</v>
      </c>
      <c r="C37" s="353">
        <f>VPI!R37</f>
        <v>32193.574318729454</v>
      </c>
      <c r="D37" s="544">
        <f>Données!AP37</f>
        <v>27.698303388572093</v>
      </c>
      <c r="E37" s="422">
        <f>VPI!Q37</f>
        <v>66</v>
      </c>
      <c r="F37" s="244">
        <f t="shared" si="0"/>
        <v>38.301696611427907</v>
      </c>
      <c r="G37" s="241">
        <f>Effort!I37+Aide!I37/Taux!C37+Effort!K37/Taux!C37</f>
        <v>22.494096581027488</v>
      </c>
      <c r="H37" s="83">
        <f t="shared" si="1"/>
        <v>60.795793192455392</v>
      </c>
      <c r="I37" s="226">
        <f t="shared" si="2"/>
        <v>0</v>
      </c>
      <c r="J37" s="42">
        <f t="shared" si="3"/>
        <v>0</v>
      </c>
      <c r="K37" s="5"/>
      <c r="L37" s="10"/>
      <c r="M37" s="11"/>
      <c r="R37" s="11"/>
    </row>
    <row r="38" spans="1:18" x14ac:dyDescent="0.25">
      <c r="A38" s="38">
        <f>Données!A38</f>
        <v>5464</v>
      </c>
      <c r="B38" s="200" t="str">
        <f>Données!B38</f>
        <v>Vully-les-Lacs</v>
      </c>
      <c r="C38" s="353">
        <f>VPI!R38</f>
        <v>111582.51347109246</v>
      </c>
      <c r="D38" s="544">
        <f>Données!AP38</f>
        <v>20.396524305067096</v>
      </c>
      <c r="E38" s="422">
        <f>VPI!Q38</f>
        <v>67</v>
      </c>
      <c r="F38" s="244">
        <f t="shared" si="0"/>
        <v>46.603475694932904</v>
      </c>
      <c r="G38" s="241">
        <f>Effort!I38+Aide!I38/Taux!C38+Effort!K38/Taux!C38</f>
        <v>14.669905556744563</v>
      </c>
      <c r="H38" s="83">
        <f t="shared" si="1"/>
        <v>61.273381251677463</v>
      </c>
      <c r="I38" s="226">
        <f t="shared" si="2"/>
        <v>0</v>
      </c>
      <c r="J38" s="42">
        <f t="shared" si="3"/>
        <v>0</v>
      </c>
      <c r="K38" s="5"/>
      <c r="L38" s="10"/>
      <c r="M38" s="11"/>
      <c r="R38" s="11"/>
    </row>
    <row r="39" spans="1:18" x14ac:dyDescent="0.25">
      <c r="A39" s="38">
        <f>Données!A39</f>
        <v>5471</v>
      </c>
      <c r="B39" s="200" t="str">
        <f>Données!B39</f>
        <v>Bettens</v>
      </c>
      <c r="C39" s="353">
        <f>VPI!R39</f>
        <v>20380.173113086941</v>
      </c>
      <c r="D39" s="544">
        <f>Données!AP39</f>
        <v>23.86521485290881</v>
      </c>
      <c r="E39" s="422">
        <f>VPI!Q39</f>
        <v>70</v>
      </c>
      <c r="F39" s="244">
        <f t="shared" si="0"/>
        <v>46.134785147091193</v>
      </c>
      <c r="G39" s="241">
        <f>Effort!I39+Aide!I39/Taux!C39+Effort!K39/Taux!C39</f>
        <v>20.170342734186328</v>
      </c>
      <c r="H39" s="83">
        <f t="shared" si="1"/>
        <v>66.305127881277514</v>
      </c>
      <c r="I39" s="226">
        <f t="shared" si="2"/>
        <v>0</v>
      </c>
      <c r="J39" s="42">
        <f t="shared" si="3"/>
        <v>0</v>
      </c>
      <c r="K39" s="5"/>
      <c r="L39" s="10"/>
      <c r="M39" s="11"/>
      <c r="R39" s="11"/>
    </row>
    <row r="40" spans="1:18" x14ac:dyDescent="0.25">
      <c r="A40" s="38">
        <f>Données!A40</f>
        <v>5472</v>
      </c>
      <c r="B40" s="200" t="str">
        <f>Données!B40</f>
        <v>Bournens</v>
      </c>
      <c r="C40" s="353">
        <f>VPI!R40</f>
        <v>20138.784507874909</v>
      </c>
      <c r="D40" s="544">
        <f>Données!AP40</f>
        <v>24.782948831015382</v>
      </c>
      <c r="E40" s="422">
        <f>VPI!Q40</f>
        <v>72</v>
      </c>
      <c r="F40" s="244">
        <f t="shared" si="0"/>
        <v>47.217051168984618</v>
      </c>
      <c r="G40" s="241">
        <f>Effort!I40+Aide!I40/Taux!C40+Effort!K40/Taux!C40</f>
        <v>27.405912721586766</v>
      </c>
      <c r="H40" s="83">
        <f t="shared" si="1"/>
        <v>74.622963890571384</v>
      </c>
      <c r="I40" s="226">
        <f t="shared" si="2"/>
        <v>0</v>
      </c>
      <c r="J40" s="42">
        <f t="shared" si="3"/>
        <v>0</v>
      </c>
      <c r="K40" s="5"/>
      <c r="L40" s="10"/>
      <c r="M40" s="11"/>
      <c r="R40" s="11"/>
    </row>
    <row r="41" spans="1:18" x14ac:dyDescent="0.25">
      <c r="A41" s="38">
        <f>Données!A41</f>
        <v>5473</v>
      </c>
      <c r="B41" s="200" t="str">
        <f>Données!B41</f>
        <v>Boussens</v>
      </c>
      <c r="C41" s="353">
        <f>VPI!R41</f>
        <v>37766.597979852122</v>
      </c>
      <c r="D41" s="544">
        <f>Données!AP41</f>
        <v>25.093803010760865</v>
      </c>
      <c r="E41" s="422">
        <f>VPI!Q41</f>
        <v>67.5</v>
      </c>
      <c r="F41" s="244">
        <f t="shared" si="0"/>
        <v>42.406196989239135</v>
      </c>
      <c r="G41" s="241">
        <f>Effort!I41+Aide!I41/Taux!C41+Effort!K41/Taux!C41</f>
        <v>26.447062094538492</v>
      </c>
      <c r="H41" s="83">
        <f t="shared" si="1"/>
        <v>68.85325908377763</v>
      </c>
      <c r="I41" s="226">
        <f t="shared" si="2"/>
        <v>0</v>
      </c>
      <c r="J41" s="42">
        <f t="shared" si="3"/>
        <v>0</v>
      </c>
      <c r="K41" s="5"/>
      <c r="L41" s="10"/>
      <c r="M41" s="11"/>
      <c r="R41" s="11"/>
    </row>
    <row r="42" spans="1:18" x14ac:dyDescent="0.25">
      <c r="A42" s="38">
        <f>Données!A42</f>
        <v>5474</v>
      </c>
      <c r="B42" s="200" t="str">
        <f>Données!B42</f>
        <v>La Chaux (Cossonay)</v>
      </c>
      <c r="C42" s="353">
        <f>VPI!R42</f>
        <v>13181.653644203574</v>
      </c>
      <c r="D42" s="544">
        <f>Données!AP42</f>
        <v>27.372790620849411</v>
      </c>
      <c r="E42" s="422">
        <f>VPI!Q42</f>
        <v>77</v>
      </c>
      <c r="F42" s="244">
        <f t="shared" si="0"/>
        <v>49.627209379150585</v>
      </c>
      <c r="G42" s="241">
        <f>Effort!I42+Aide!I42/Taux!C42+Effort!K42/Taux!C42</f>
        <v>4.440854142613194</v>
      </c>
      <c r="H42" s="83">
        <f t="shared" si="1"/>
        <v>54.068063521763776</v>
      </c>
      <c r="I42" s="226">
        <f t="shared" si="2"/>
        <v>0</v>
      </c>
      <c r="J42" s="42">
        <f t="shared" si="3"/>
        <v>0</v>
      </c>
      <c r="K42" s="5"/>
      <c r="L42" s="10"/>
      <c r="M42" s="11"/>
      <c r="R42" s="11"/>
    </row>
    <row r="43" spans="1:18" x14ac:dyDescent="0.25">
      <c r="A43" s="38">
        <f>Données!A43</f>
        <v>5475</v>
      </c>
      <c r="B43" s="200" t="str">
        <f>Données!B43</f>
        <v>Chavannes-le-Veyron</v>
      </c>
      <c r="C43" s="353">
        <f>VPI!R43</f>
        <v>3874.542905998469</v>
      </c>
      <c r="D43" s="544">
        <f>Données!AP43</f>
        <v>-1.6693660236977736</v>
      </c>
      <c r="E43" s="422">
        <f>VPI!Q43</f>
        <v>77</v>
      </c>
      <c r="F43" s="244">
        <f t="shared" si="0"/>
        <v>78.669366023697776</v>
      </c>
      <c r="G43" s="241">
        <f>Effort!I43+Aide!I43/Taux!C43+Effort!K43/Taux!C43</f>
        <v>1.6022813891647374</v>
      </c>
      <c r="H43" s="83">
        <f t="shared" si="1"/>
        <v>80.271647412862507</v>
      </c>
      <c r="I43" s="226">
        <f t="shared" si="2"/>
        <v>0</v>
      </c>
      <c r="J43" s="42">
        <f t="shared" si="3"/>
        <v>0</v>
      </c>
      <c r="K43" s="5"/>
      <c r="L43" s="10"/>
      <c r="M43" s="11"/>
      <c r="R43" s="11"/>
    </row>
    <row r="44" spans="1:18" x14ac:dyDescent="0.25">
      <c r="A44" s="38">
        <f>Données!A44</f>
        <v>5476</v>
      </c>
      <c r="B44" s="200" t="str">
        <f>Données!B44</f>
        <v>Chevilly</v>
      </c>
      <c r="C44" s="353">
        <f>VPI!R44</f>
        <v>11841.851486486486</v>
      </c>
      <c r="D44" s="544">
        <f>Données!AP44</f>
        <v>28.501468424122233</v>
      </c>
      <c r="E44" s="422">
        <f>VPI!Q44</f>
        <v>74</v>
      </c>
      <c r="F44" s="244">
        <f t="shared" si="0"/>
        <v>45.498531575877763</v>
      </c>
      <c r="G44" s="241">
        <f>Effort!I44+Aide!I44/Taux!C44+Effort!K44/Taux!C44</f>
        <v>24.905101347941347</v>
      </c>
      <c r="H44" s="83">
        <f t="shared" si="1"/>
        <v>70.403632923819117</v>
      </c>
      <c r="I44" s="226">
        <f t="shared" si="2"/>
        <v>0</v>
      </c>
      <c r="J44" s="42">
        <f t="shared" si="3"/>
        <v>0</v>
      </c>
      <c r="K44" s="5"/>
      <c r="L44" s="10"/>
      <c r="M44" s="11"/>
      <c r="R44" s="11"/>
    </row>
    <row r="45" spans="1:18" x14ac:dyDescent="0.25">
      <c r="A45" s="38">
        <f>Données!A45</f>
        <v>5477</v>
      </c>
      <c r="B45" s="200" t="str">
        <f>Données!B45</f>
        <v>Cossonay</v>
      </c>
      <c r="C45" s="353">
        <f>VPI!R45</f>
        <v>119044.37813513582</v>
      </c>
      <c r="D45" s="544">
        <f>Données!AP45</f>
        <v>19.833906613601396</v>
      </c>
      <c r="E45" s="422">
        <f>VPI!Q45</f>
        <v>69.5</v>
      </c>
      <c r="F45" s="244">
        <f t="shared" si="0"/>
        <v>49.6660933863986</v>
      </c>
      <c r="G45" s="241">
        <f>Effort!I45+Aide!I45/Taux!C45+Effort!K45/Taux!C45</f>
        <v>2.304470058013333</v>
      </c>
      <c r="H45" s="83">
        <f t="shared" si="1"/>
        <v>51.970563444411937</v>
      </c>
      <c r="I45" s="226">
        <f t="shared" si="2"/>
        <v>0</v>
      </c>
      <c r="J45" s="42">
        <f t="shared" si="3"/>
        <v>0</v>
      </c>
      <c r="K45" s="5"/>
      <c r="L45" s="10"/>
      <c r="M45" s="11"/>
      <c r="R45" s="11"/>
    </row>
    <row r="46" spans="1:18" x14ac:dyDescent="0.25">
      <c r="A46" s="38">
        <f>Données!A46</f>
        <v>5479</v>
      </c>
      <c r="B46" s="200" t="str">
        <f>Données!B46</f>
        <v>Cuarnens</v>
      </c>
      <c r="C46" s="353">
        <f>VPI!R46</f>
        <v>18064.580944641726</v>
      </c>
      <c r="D46" s="544">
        <f>Données!AP46</f>
        <v>24.558638603168927</v>
      </c>
      <c r="E46" s="422">
        <f>VPI!Q46</f>
        <v>77</v>
      </c>
      <c r="F46" s="244">
        <f t="shared" si="0"/>
        <v>52.44136139683107</v>
      </c>
      <c r="G46" s="241">
        <f>Effort!I46+Aide!I46/Taux!C46+Effort!K46/Taux!C46</f>
        <v>16.924246580074211</v>
      </c>
      <c r="H46" s="83">
        <f t="shared" si="1"/>
        <v>69.365607976905281</v>
      </c>
      <c r="I46" s="226">
        <f t="shared" si="2"/>
        <v>0</v>
      </c>
      <c r="J46" s="42">
        <f t="shared" si="3"/>
        <v>0</v>
      </c>
      <c r="K46" s="5"/>
      <c r="L46" s="10"/>
      <c r="M46" s="11"/>
      <c r="R46" s="11"/>
    </row>
    <row r="47" spans="1:18" x14ac:dyDescent="0.25">
      <c r="A47" s="38">
        <f>Données!A47</f>
        <v>5480</v>
      </c>
      <c r="B47" s="200" t="str">
        <f>Données!B47</f>
        <v>Daillens</v>
      </c>
      <c r="C47" s="353">
        <f>VPI!R47</f>
        <v>40967.735913324992</v>
      </c>
      <c r="D47" s="544">
        <f>Données!AP47</f>
        <v>28.420641541312239</v>
      </c>
      <c r="E47" s="422">
        <f>VPI!Q47</f>
        <v>66</v>
      </c>
      <c r="F47" s="244">
        <f t="shared" si="0"/>
        <v>37.579358458687764</v>
      </c>
      <c r="G47" s="241">
        <f>Effort!I47+Aide!I47/Taux!C47+Effort!K47/Taux!C47</f>
        <v>16.569789128145704</v>
      </c>
      <c r="H47" s="83">
        <f t="shared" si="1"/>
        <v>54.149147586833465</v>
      </c>
      <c r="I47" s="226">
        <f t="shared" si="2"/>
        <v>0</v>
      </c>
      <c r="J47" s="42">
        <f t="shared" si="3"/>
        <v>0</v>
      </c>
      <c r="K47" s="5"/>
      <c r="L47" s="10"/>
      <c r="M47" s="11"/>
      <c r="R47" s="11"/>
    </row>
    <row r="48" spans="1:18" x14ac:dyDescent="0.25">
      <c r="A48" s="38">
        <f>Données!A48</f>
        <v>5481</v>
      </c>
      <c r="B48" s="200" t="str">
        <f>Données!B48</f>
        <v>Dizy</v>
      </c>
      <c r="C48" s="353">
        <f>VPI!R48</f>
        <v>8106.5312898245948</v>
      </c>
      <c r="D48" s="544">
        <f>Données!AP48</f>
        <v>29.254154607673641</v>
      </c>
      <c r="E48" s="422">
        <f>VPI!Q48</f>
        <v>75</v>
      </c>
      <c r="F48" s="244">
        <f t="shared" si="0"/>
        <v>45.745845392326359</v>
      </c>
      <c r="G48" s="241">
        <f>Effort!I48+Aide!I48/Taux!C48+Effort!K48/Taux!C48</f>
        <v>20.559005808094259</v>
      </c>
      <c r="H48" s="83">
        <f t="shared" si="1"/>
        <v>66.304851200420615</v>
      </c>
      <c r="I48" s="226">
        <f t="shared" si="2"/>
        <v>0</v>
      </c>
      <c r="J48" s="42">
        <f t="shared" si="3"/>
        <v>0</v>
      </c>
      <c r="K48" s="5"/>
      <c r="L48" s="10"/>
      <c r="M48" s="11"/>
      <c r="R48" s="11"/>
    </row>
    <row r="49" spans="1:18" x14ac:dyDescent="0.25">
      <c r="A49" s="38">
        <f>Données!A49</f>
        <v>5482</v>
      </c>
      <c r="B49" s="200" t="str">
        <f>Données!B49</f>
        <v>Eclépens</v>
      </c>
      <c r="C49" s="353">
        <f>VPI!R49</f>
        <v>70435.439965635131</v>
      </c>
      <c r="D49" s="544">
        <f>Données!AP49</f>
        <v>32.244140572408256</v>
      </c>
      <c r="E49" s="422">
        <f>VPI!Q49</f>
        <v>46</v>
      </c>
      <c r="F49" s="244">
        <f t="shared" si="0"/>
        <v>13.755859427591744</v>
      </c>
      <c r="G49" s="241">
        <f>Effort!I49+Aide!I49/Taux!C49+Effort!K49/Taux!C49</f>
        <v>32.939709131488542</v>
      </c>
      <c r="H49" s="83">
        <f t="shared" si="1"/>
        <v>46.695568559080286</v>
      </c>
      <c r="I49" s="226">
        <f t="shared" si="2"/>
        <v>0</v>
      </c>
      <c r="J49" s="42">
        <f t="shared" si="3"/>
        <v>0</v>
      </c>
      <c r="K49" s="5"/>
      <c r="L49" s="10"/>
      <c r="M49" s="11"/>
      <c r="R49" s="11"/>
    </row>
    <row r="50" spans="1:18" x14ac:dyDescent="0.25">
      <c r="A50" s="38">
        <f>Données!A50</f>
        <v>5483</v>
      </c>
      <c r="B50" s="200" t="str">
        <f>Données!B50</f>
        <v>Ferreyres</v>
      </c>
      <c r="C50" s="353">
        <f>VPI!R50</f>
        <v>10817.678140952161</v>
      </c>
      <c r="D50" s="544">
        <f>Données!AP50</f>
        <v>24.091178565677943</v>
      </c>
      <c r="E50" s="422">
        <f>VPI!Q50</f>
        <v>76</v>
      </c>
      <c r="F50" s="244">
        <f t="shared" si="0"/>
        <v>51.908821434322057</v>
      </c>
      <c r="G50" s="241">
        <f>Effort!I50+Aide!I50/Taux!C50+Effort!K50/Taux!C50</f>
        <v>21.755547321963512</v>
      </c>
      <c r="H50" s="83">
        <f t="shared" si="1"/>
        <v>73.664368756285569</v>
      </c>
      <c r="I50" s="226">
        <f t="shared" si="2"/>
        <v>0</v>
      </c>
      <c r="J50" s="42">
        <f t="shared" si="3"/>
        <v>0</v>
      </c>
      <c r="K50" s="5"/>
      <c r="L50" s="10"/>
      <c r="M50" s="11"/>
      <c r="R50" s="11"/>
    </row>
    <row r="51" spans="1:18" x14ac:dyDescent="0.25">
      <c r="A51" s="38">
        <f>Données!A51</f>
        <v>5484</v>
      </c>
      <c r="B51" s="200" t="str">
        <f>Données!B51</f>
        <v>Gollion</v>
      </c>
      <c r="C51" s="353">
        <f>VPI!R51</f>
        <v>34968.588815884439</v>
      </c>
      <c r="D51" s="544">
        <f>Données!AP51</f>
        <v>25.447875391705779</v>
      </c>
      <c r="E51" s="422">
        <f>VPI!Q51</f>
        <v>74</v>
      </c>
      <c r="F51" s="244">
        <f t="shared" si="0"/>
        <v>48.552124608294221</v>
      </c>
      <c r="G51" s="241">
        <f>Effort!I51+Aide!I51/Taux!C51+Effort!K51/Taux!C51</f>
        <v>17.100706633796435</v>
      </c>
      <c r="H51" s="83">
        <f t="shared" si="1"/>
        <v>65.652831242090656</v>
      </c>
      <c r="I51" s="226">
        <f t="shared" si="2"/>
        <v>0</v>
      </c>
      <c r="J51" s="42">
        <f t="shared" si="3"/>
        <v>0</v>
      </c>
      <c r="K51" s="5"/>
      <c r="L51" s="10"/>
      <c r="M51" s="11"/>
      <c r="R51" s="11"/>
    </row>
    <row r="52" spans="1:18" x14ac:dyDescent="0.25">
      <c r="A52" s="38">
        <f>Données!A52</f>
        <v>5485</v>
      </c>
      <c r="B52" s="200" t="str">
        <f>Données!B52</f>
        <v>Grancy</v>
      </c>
      <c r="C52" s="353">
        <f>VPI!R52</f>
        <v>14538.346948228997</v>
      </c>
      <c r="D52" s="544">
        <f>Données!AP52</f>
        <v>30.490933423974806</v>
      </c>
      <c r="E52" s="422">
        <f>VPI!Q52</f>
        <v>70</v>
      </c>
      <c r="F52" s="244">
        <f t="shared" si="0"/>
        <v>39.509066576025191</v>
      </c>
      <c r="G52" s="241">
        <f>Effort!I52+Aide!I52/Taux!C52+Effort!K52/Taux!C52</f>
        <v>21.754919910809171</v>
      </c>
      <c r="H52" s="83">
        <f t="shared" si="1"/>
        <v>61.263986486834362</v>
      </c>
      <c r="I52" s="226">
        <f t="shared" si="2"/>
        <v>0</v>
      </c>
      <c r="J52" s="42">
        <f t="shared" si="3"/>
        <v>0</v>
      </c>
      <c r="K52" s="5"/>
      <c r="L52" s="10"/>
      <c r="M52" s="11"/>
      <c r="R52" s="11"/>
    </row>
    <row r="53" spans="1:18" x14ac:dyDescent="0.25">
      <c r="A53" s="38">
        <f>Données!A53</f>
        <v>5486</v>
      </c>
      <c r="B53" s="200" t="str">
        <f>Données!B53</f>
        <v>L'Isle</v>
      </c>
      <c r="C53" s="353">
        <f>VPI!R53</f>
        <v>37453.794062170404</v>
      </c>
      <c r="D53" s="544">
        <f>Données!AP53</f>
        <v>24.506410264945657</v>
      </c>
      <c r="E53" s="422">
        <f>VPI!Q53</f>
        <v>75</v>
      </c>
      <c r="F53" s="244">
        <f t="shared" si="0"/>
        <v>50.493589735054343</v>
      </c>
      <c r="G53" s="241">
        <f>Effort!I53+Aide!I53/Taux!C53+Effort!K53/Taux!C53</f>
        <v>15.576923100770351</v>
      </c>
      <c r="H53" s="83">
        <f t="shared" si="1"/>
        <v>66.070512835824701</v>
      </c>
      <c r="I53" s="226">
        <f t="shared" si="2"/>
        <v>0</v>
      </c>
      <c r="J53" s="42">
        <f t="shared" si="3"/>
        <v>0</v>
      </c>
      <c r="K53" s="5"/>
      <c r="L53" s="10"/>
      <c r="M53" s="11"/>
      <c r="R53" s="11"/>
    </row>
    <row r="54" spans="1:18" x14ac:dyDescent="0.25">
      <c r="A54" s="38">
        <f>Données!A54</f>
        <v>5487</v>
      </c>
      <c r="B54" s="200" t="str">
        <f>Données!B54</f>
        <v>Lussery-Villars</v>
      </c>
      <c r="C54" s="353">
        <f>VPI!R54</f>
        <v>12890.529066666668</v>
      </c>
      <c r="D54" s="544">
        <f>Données!AP54</f>
        <v>23.205682238934312</v>
      </c>
      <c r="E54" s="422">
        <f>VPI!Q54</f>
        <v>75</v>
      </c>
      <c r="F54" s="244">
        <f t="shared" si="0"/>
        <v>51.794317761065685</v>
      </c>
      <c r="G54" s="241">
        <f>Effort!I54+Aide!I54/Taux!C54+Effort!K54/Taux!C54</f>
        <v>12.254576771725521</v>
      </c>
      <c r="H54" s="83">
        <f t="shared" si="1"/>
        <v>64.048894532791209</v>
      </c>
      <c r="I54" s="226">
        <f t="shared" si="2"/>
        <v>0</v>
      </c>
      <c r="J54" s="42">
        <f t="shared" si="3"/>
        <v>0</v>
      </c>
      <c r="K54" s="5"/>
      <c r="L54" s="10"/>
      <c r="M54" s="11"/>
      <c r="R54" s="11"/>
    </row>
    <row r="55" spans="1:18" x14ac:dyDescent="0.25">
      <c r="A55" s="38">
        <f>Données!A55</f>
        <v>5488</v>
      </c>
      <c r="B55" s="200" t="str">
        <f>Données!B55</f>
        <v>Mauraz</v>
      </c>
      <c r="C55" s="353">
        <f>VPI!R55</f>
        <v>1631.9031355919719</v>
      </c>
      <c r="D55" s="544">
        <f>Données!AP55</f>
        <v>18.933679636806755</v>
      </c>
      <c r="E55" s="422">
        <f>VPI!Q55</f>
        <v>77</v>
      </c>
      <c r="F55" s="244">
        <f t="shared" si="0"/>
        <v>58.066320363193242</v>
      </c>
      <c r="G55" s="241">
        <f>Effort!I55+Aide!I55/Taux!C55+Effort!K55/Taux!C55</f>
        <v>14.163234934138559</v>
      </c>
      <c r="H55" s="83">
        <f t="shared" si="1"/>
        <v>72.2295552973318</v>
      </c>
      <c r="I55" s="226">
        <f t="shared" si="2"/>
        <v>0</v>
      </c>
      <c r="J55" s="42">
        <f t="shared" si="3"/>
        <v>0</v>
      </c>
      <c r="K55" s="5"/>
      <c r="L55" s="10"/>
      <c r="M55" s="11"/>
      <c r="R55" s="11"/>
    </row>
    <row r="56" spans="1:18" x14ac:dyDescent="0.25">
      <c r="A56" s="38">
        <f>Données!A56</f>
        <v>5489</v>
      </c>
      <c r="B56" s="200" t="str">
        <f>Données!B56</f>
        <v>Mex</v>
      </c>
      <c r="C56" s="353">
        <f>VPI!R56</f>
        <v>57470.761557418853</v>
      </c>
      <c r="D56" s="544">
        <f>Données!AP56</f>
        <v>43.042262140641036</v>
      </c>
      <c r="E56" s="422">
        <f>VPI!Q56</f>
        <v>59.5</v>
      </c>
      <c r="F56" s="244">
        <f t="shared" si="0"/>
        <v>16.457737859358964</v>
      </c>
      <c r="G56" s="241">
        <f>Effort!I56+Aide!I56/Taux!C56+Effort!K56/Taux!C56</f>
        <v>38.025081074910872</v>
      </c>
      <c r="H56" s="83">
        <f t="shared" si="1"/>
        <v>54.482818934269837</v>
      </c>
      <c r="I56" s="226">
        <f t="shared" si="2"/>
        <v>0</v>
      </c>
      <c r="J56" s="42">
        <f t="shared" si="3"/>
        <v>0</v>
      </c>
      <c r="K56" s="5"/>
      <c r="L56" s="10"/>
      <c r="M56" s="11"/>
      <c r="R56" s="11"/>
    </row>
    <row r="57" spans="1:18" x14ac:dyDescent="0.25">
      <c r="A57" s="38">
        <f>Données!A57</f>
        <v>5490</v>
      </c>
      <c r="B57" s="200" t="str">
        <f>Données!B57</f>
        <v>Moiry</v>
      </c>
      <c r="C57" s="353">
        <f>VPI!R57</f>
        <v>8655.6964066779783</v>
      </c>
      <c r="D57" s="544">
        <f>Données!AP57</f>
        <v>13.03152021247859</v>
      </c>
      <c r="E57" s="422">
        <f>VPI!Q57</f>
        <v>77.5</v>
      </c>
      <c r="F57" s="244">
        <f t="shared" si="0"/>
        <v>64.468479787521403</v>
      </c>
      <c r="G57" s="241">
        <f>Effort!I57+Aide!I57/Taux!C57+Effort!K57/Taux!C57</f>
        <v>10.815733360351867</v>
      </c>
      <c r="H57" s="83">
        <f t="shared" si="1"/>
        <v>75.284213147873274</v>
      </c>
      <c r="I57" s="226">
        <f t="shared" si="2"/>
        <v>0</v>
      </c>
      <c r="J57" s="42">
        <f t="shared" si="3"/>
        <v>0</v>
      </c>
      <c r="K57" s="5"/>
      <c r="L57" s="10"/>
      <c r="M57" s="11"/>
      <c r="R57" s="11"/>
    </row>
    <row r="58" spans="1:18" x14ac:dyDescent="0.25">
      <c r="A58" s="38">
        <f>Données!A58</f>
        <v>5491</v>
      </c>
      <c r="B58" s="200" t="str">
        <f>Données!B58</f>
        <v>Mont-la-Ville</v>
      </c>
      <c r="C58" s="353">
        <f>VPI!R58</f>
        <v>14318.599966826661</v>
      </c>
      <c r="D58" s="544">
        <f>Données!AP58</f>
        <v>18.081539266579572</v>
      </c>
      <c r="E58" s="422">
        <f>VPI!Q58</f>
        <v>76</v>
      </c>
      <c r="F58" s="244">
        <f t="shared" si="0"/>
        <v>57.918460733420432</v>
      </c>
      <c r="G58" s="241">
        <f>Effort!I58+Aide!I58/Taux!C58+Effort!K58/Taux!C58</f>
        <v>10.643019927075379</v>
      </c>
      <c r="H58" s="83">
        <f t="shared" si="1"/>
        <v>68.561480660495818</v>
      </c>
      <c r="I58" s="226">
        <f t="shared" si="2"/>
        <v>0</v>
      </c>
      <c r="J58" s="42">
        <f t="shared" si="3"/>
        <v>0</v>
      </c>
      <c r="K58" s="5"/>
      <c r="L58" s="10"/>
      <c r="M58" s="11"/>
      <c r="R58" s="11"/>
    </row>
    <row r="59" spans="1:18" x14ac:dyDescent="0.25">
      <c r="A59" s="38">
        <f>Données!A59</f>
        <v>5492</v>
      </c>
      <c r="B59" s="200" t="str">
        <f>Données!B59</f>
        <v>Montricher</v>
      </c>
      <c r="C59" s="353">
        <f>VPI!R59</f>
        <v>157142.15514628743</v>
      </c>
      <c r="D59" s="544">
        <f>Données!AP59</f>
        <v>48.731112868341768</v>
      </c>
      <c r="E59" s="422">
        <f>VPI!Q59</f>
        <v>64</v>
      </c>
      <c r="F59" s="244">
        <f t="shared" si="0"/>
        <v>15.268887131658232</v>
      </c>
      <c r="G59" s="241">
        <f>Effort!I59+Aide!I59/Taux!C59+Effort!K59/Taux!C59</f>
        <v>48</v>
      </c>
      <c r="H59" s="83">
        <f t="shared" si="1"/>
        <v>63.268887131658232</v>
      </c>
      <c r="I59" s="226">
        <f t="shared" si="2"/>
        <v>0</v>
      </c>
      <c r="J59" s="42">
        <f t="shared" si="3"/>
        <v>0</v>
      </c>
      <c r="K59" s="5"/>
      <c r="L59" s="10"/>
      <c r="M59" s="11"/>
      <c r="R59" s="11"/>
    </row>
    <row r="60" spans="1:18" x14ac:dyDescent="0.25">
      <c r="A60" s="38">
        <f>Données!A60</f>
        <v>5493</v>
      </c>
      <c r="B60" s="200" t="str">
        <f>Données!B60</f>
        <v>Orny</v>
      </c>
      <c r="C60" s="353">
        <f>VPI!R60</f>
        <v>12876.853954456508</v>
      </c>
      <c r="D60" s="544">
        <f>Données!AP60</f>
        <v>13.392756541004131</v>
      </c>
      <c r="E60" s="422">
        <f>VPI!Q60</f>
        <v>73</v>
      </c>
      <c r="F60" s="244">
        <f t="shared" si="0"/>
        <v>59.607243458995868</v>
      </c>
      <c r="G60" s="241">
        <f>Effort!I60+Aide!I60/Taux!C60+Effort!K60/Taux!C60</f>
        <v>15.32693708489896</v>
      </c>
      <c r="H60" s="83">
        <f t="shared" si="1"/>
        <v>74.934180543894826</v>
      </c>
      <c r="I60" s="226">
        <f t="shared" si="2"/>
        <v>0</v>
      </c>
      <c r="J60" s="42">
        <f t="shared" si="3"/>
        <v>0</v>
      </c>
      <c r="K60" s="5"/>
      <c r="L60" s="10"/>
      <c r="M60" s="11"/>
      <c r="R60" s="11"/>
    </row>
    <row r="61" spans="1:18" x14ac:dyDescent="0.25">
      <c r="A61" s="38">
        <f>Données!A61</f>
        <v>5495</v>
      </c>
      <c r="B61" s="200" t="str">
        <f>Données!B61</f>
        <v>Penthalaz</v>
      </c>
      <c r="C61" s="353">
        <f>VPI!R61</f>
        <v>93343.047382121076</v>
      </c>
      <c r="D61" s="544">
        <f>Données!AP61</f>
        <v>12.45741438855022</v>
      </c>
      <c r="E61" s="422">
        <f>VPI!Q61</f>
        <v>74</v>
      </c>
      <c r="F61" s="244">
        <f t="shared" si="0"/>
        <v>61.54258561144978</v>
      </c>
      <c r="G61" s="241">
        <f>Effort!I61+Aide!I61/Taux!C61+Effort!K61/Taux!C61</f>
        <v>4.5104440463291215</v>
      </c>
      <c r="H61" s="83">
        <f t="shared" si="1"/>
        <v>66.053029657778907</v>
      </c>
      <c r="I61" s="226">
        <f t="shared" si="2"/>
        <v>0</v>
      </c>
      <c r="J61" s="42">
        <f t="shared" si="3"/>
        <v>0</v>
      </c>
      <c r="K61" s="5"/>
      <c r="L61" s="10"/>
      <c r="M61" s="11"/>
      <c r="R61" s="11"/>
    </row>
    <row r="62" spans="1:18" x14ac:dyDescent="0.25">
      <c r="A62" s="38">
        <f>Données!A62</f>
        <v>5496</v>
      </c>
      <c r="B62" s="200" t="str">
        <f>Données!B62</f>
        <v>Penthaz</v>
      </c>
      <c r="C62" s="353">
        <f>VPI!R62</f>
        <v>60111.570435586618</v>
      </c>
      <c r="D62" s="544">
        <f>Données!AP62</f>
        <v>21.105919822801319</v>
      </c>
      <c r="E62" s="422">
        <f>VPI!Q62</f>
        <v>69.5</v>
      </c>
      <c r="F62" s="244">
        <f t="shared" si="0"/>
        <v>48.394080177198681</v>
      </c>
      <c r="G62" s="241">
        <f>Effort!I62+Aide!I62/Taux!C62+Effort!K62/Taux!C62</f>
        <v>15.111145115294688</v>
      </c>
      <c r="H62" s="83">
        <f t="shared" si="1"/>
        <v>63.505225292493371</v>
      </c>
      <c r="I62" s="226">
        <f t="shared" si="2"/>
        <v>0</v>
      </c>
      <c r="J62" s="42">
        <f t="shared" si="3"/>
        <v>0</v>
      </c>
      <c r="K62" s="5"/>
      <c r="L62" s="10"/>
      <c r="M62" s="11"/>
      <c r="R62" s="11"/>
    </row>
    <row r="63" spans="1:18" x14ac:dyDescent="0.25">
      <c r="A63" s="38">
        <f>Données!A63</f>
        <v>5497</v>
      </c>
      <c r="B63" s="200" t="str">
        <f>Données!B63</f>
        <v>Pompaples</v>
      </c>
      <c r="C63" s="353">
        <f>VPI!R63</f>
        <v>20415.356363636369</v>
      </c>
      <c r="D63" s="544">
        <f>Données!AP63</f>
        <v>17.76955921057764</v>
      </c>
      <c r="E63" s="422">
        <f>VPI!Q63</f>
        <v>66</v>
      </c>
      <c r="F63" s="244">
        <f t="shared" si="0"/>
        <v>48.23044078942236</v>
      </c>
      <c r="G63" s="241">
        <f>Effort!I63+Aide!I63/Taux!C63+Effort!K63/Taux!C63</f>
        <v>7.7408531081352656</v>
      </c>
      <c r="H63" s="83">
        <f t="shared" si="1"/>
        <v>55.971293897557629</v>
      </c>
      <c r="I63" s="226">
        <f t="shared" si="2"/>
        <v>0</v>
      </c>
      <c r="J63" s="42">
        <f t="shared" si="3"/>
        <v>0</v>
      </c>
      <c r="K63" s="5"/>
      <c r="L63" s="10"/>
      <c r="M63" s="11"/>
      <c r="R63" s="11"/>
    </row>
    <row r="64" spans="1:18" x14ac:dyDescent="0.25">
      <c r="A64" s="38">
        <f>Données!A64</f>
        <v>5498</v>
      </c>
      <c r="B64" s="200" t="str">
        <f>Données!B64</f>
        <v>La Sarraz</v>
      </c>
      <c r="C64" s="353">
        <f>VPI!R64</f>
        <v>77489.743908484481</v>
      </c>
      <c r="D64" s="544">
        <f>Données!AP64</f>
        <v>15.962890370799119</v>
      </c>
      <c r="E64" s="422">
        <f>VPI!Q64</f>
        <v>66</v>
      </c>
      <c r="F64" s="244">
        <f t="shared" si="0"/>
        <v>50.037109629200884</v>
      </c>
      <c r="G64" s="241">
        <f>Effort!I64+Aide!I64/Taux!C64+Effort!K64/Taux!C64</f>
        <v>9.9582451293343723</v>
      </c>
      <c r="H64" s="83">
        <f t="shared" si="1"/>
        <v>59.995354758535257</v>
      </c>
      <c r="I64" s="226">
        <f t="shared" si="2"/>
        <v>0</v>
      </c>
      <c r="J64" s="42">
        <f t="shared" si="3"/>
        <v>0</v>
      </c>
      <c r="K64" s="5"/>
      <c r="L64" s="10"/>
      <c r="M64" s="11"/>
      <c r="R64" s="11"/>
    </row>
    <row r="65" spans="1:18" x14ac:dyDescent="0.25">
      <c r="A65" s="38">
        <f>Données!A65</f>
        <v>5499</v>
      </c>
      <c r="B65" s="200" t="str">
        <f>Données!B65</f>
        <v>Senarclens</v>
      </c>
      <c r="C65" s="353">
        <f>VPI!R65</f>
        <v>19645.120071728084</v>
      </c>
      <c r="D65" s="544">
        <f>Données!AP65</f>
        <v>29.602327161851449</v>
      </c>
      <c r="E65" s="422">
        <f>VPI!Q65</f>
        <v>68.5</v>
      </c>
      <c r="F65" s="244">
        <f t="shared" si="0"/>
        <v>38.897672838148551</v>
      </c>
      <c r="G65" s="241">
        <f>Effort!I65+Aide!I65/Taux!C65+Effort!K65/Taux!C65</f>
        <v>16.438208115452014</v>
      </c>
      <c r="H65" s="83">
        <f t="shared" si="1"/>
        <v>55.335880953600565</v>
      </c>
      <c r="I65" s="226">
        <f t="shared" si="2"/>
        <v>0</v>
      </c>
      <c r="J65" s="42">
        <f t="shared" si="3"/>
        <v>0</v>
      </c>
      <c r="K65" s="5"/>
      <c r="L65" s="10"/>
      <c r="M65" s="11"/>
      <c r="R65" s="11"/>
    </row>
    <row r="66" spans="1:18" x14ac:dyDescent="0.25">
      <c r="A66" s="38">
        <f>Données!A66</f>
        <v>5501</v>
      </c>
      <c r="B66" s="200" t="str">
        <f>Données!B66</f>
        <v>Sullens</v>
      </c>
      <c r="C66" s="353">
        <f>VPI!R66</f>
        <v>41909.752277748921</v>
      </c>
      <c r="D66" s="544">
        <f>Données!AP66</f>
        <v>28.127326505791395</v>
      </c>
      <c r="E66" s="422">
        <f>VPI!Q66</f>
        <v>68.5</v>
      </c>
      <c r="F66" s="244">
        <f t="shared" si="0"/>
        <v>40.372673494208605</v>
      </c>
      <c r="G66" s="241">
        <f>Effort!I66+Aide!I66/Taux!C66+Effort!K66/Taux!C66</f>
        <v>27.323128826233383</v>
      </c>
      <c r="H66" s="83">
        <f t="shared" si="1"/>
        <v>67.695802320441985</v>
      </c>
      <c r="I66" s="226">
        <f t="shared" si="2"/>
        <v>0</v>
      </c>
      <c r="J66" s="42">
        <f t="shared" si="3"/>
        <v>0</v>
      </c>
      <c r="K66" s="5"/>
      <c r="L66" s="10"/>
      <c r="M66" s="11"/>
      <c r="R66" s="11"/>
    </row>
    <row r="67" spans="1:18" x14ac:dyDescent="0.25">
      <c r="A67" s="38">
        <f>Données!A67</f>
        <v>5503</v>
      </c>
      <c r="B67" s="200" t="str">
        <f>Données!B67</f>
        <v>Vufflens-la-Ville</v>
      </c>
      <c r="C67" s="353">
        <f>VPI!R67</f>
        <v>67522.299953701979</v>
      </c>
      <c r="D67" s="544">
        <f>Données!AP67</f>
        <v>38.27397254269399</v>
      </c>
      <c r="E67" s="422">
        <f>VPI!Q67</f>
        <v>67</v>
      </c>
      <c r="F67" s="244">
        <f t="shared" si="0"/>
        <v>28.72602745730601</v>
      </c>
      <c r="G67" s="241">
        <f>Effort!I67+Aide!I67/Taux!C67+Effort!K67/Taux!C67</f>
        <v>31.164978247401031</v>
      </c>
      <c r="H67" s="83">
        <f t="shared" si="1"/>
        <v>59.891005704707041</v>
      </c>
      <c r="I67" s="226">
        <f t="shared" si="2"/>
        <v>0</v>
      </c>
      <c r="J67" s="42">
        <f t="shared" si="3"/>
        <v>0</v>
      </c>
      <c r="K67" s="5"/>
      <c r="L67" s="10"/>
      <c r="M67" s="11"/>
      <c r="R67" s="11"/>
    </row>
    <row r="68" spans="1:18" x14ac:dyDescent="0.25">
      <c r="A68" s="38">
        <f>Données!A68</f>
        <v>5511</v>
      </c>
      <c r="B68" s="200" t="str">
        <f>Données!B68</f>
        <v>Assens</v>
      </c>
      <c r="C68" s="353">
        <f>VPI!R68</f>
        <v>66087.783372412887</v>
      </c>
      <c r="D68" s="544">
        <f>Données!AP68</f>
        <v>31.318549241674233</v>
      </c>
      <c r="E68" s="422">
        <f>VPI!Q68</f>
        <v>69.34</v>
      </c>
      <c r="F68" s="244">
        <f t="shared" si="0"/>
        <v>38.02145075832577</v>
      </c>
      <c r="G68" s="241">
        <f>Effort!I68+Aide!I68/Taux!C68+Effort!K68/Taux!C68</f>
        <v>22.864735121788438</v>
      </c>
      <c r="H68" s="83">
        <f t="shared" si="1"/>
        <v>60.886185880114212</v>
      </c>
      <c r="I68" s="226">
        <f t="shared" si="2"/>
        <v>0</v>
      </c>
      <c r="J68" s="42">
        <f t="shared" si="3"/>
        <v>0</v>
      </c>
      <c r="K68" s="5"/>
      <c r="L68" s="10"/>
      <c r="M68" s="11"/>
      <c r="R68" s="11"/>
    </row>
    <row r="69" spans="1:18" x14ac:dyDescent="0.25">
      <c r="A69" s="38">
        <f>Données!A69</f>
        <v>5512</v>
      </c>
      <c r="B69" s="200" t="str">
        <f>Données!B69</f>
        <v>Bercher</v>
      </c>
      <c r="C69" s="353">
        <f>VPI!R69</f>
        <v>40303.726605085889</v>
      </c>
      <c r="D69" s="544">
        <f>Données!AP69</f>
        <v>17.762210737998249</v>
      </c>
      <c r="E69" s="422">
        <f>VPI!Q69</f>
        <v>79</v>
      </c>
      <c r="F69" s="244">
        <f t="shared" si="0"/>
        <v>61.237789262001755</v>
      </c>
      <c r="G69" s="241">
        <f>Effort!I69+Aide!I69/Taux!C69+Effort!K69/Taux!C69</f>
        <v>9.1935608758164236</v>
      </c>
      <c r="H69" s="83">
        <f t="shared" si="1"/>
        <v>70.431350137818185</v>
      </c>
      <c r="I69" s="226">
        <f t="shared" si="2"/>
        <v>0</v>
      </c>
      <c r="J69" s="42">
        <f t="shared" si="3"/>
        <v>0</v>
      </c>
      <c r="K69" s="5"/>
      <c r="L69" s="10"/>
      <c r="M69" s="11"/>
      <c r="R69" s="11"/>
    </row>
    <row r="70" spans="1:18" x14ac:dyDescent="0.25">
      <c r="A70" s="38">
        <f>Données!A70</f>
        <v>5514</v>
      </c>
      <c r="B70" s="200" t="str">
        <f>Données!B70</f>
        <v>Bottens</v>
      </c>
      <c r="C70" s="353">
        <f>VPI!R70</f>
        <v>44188.527468794709</v>
      </c>
      <c r="D70" s="544">
        <f>Données!AP70</f>
        <v>19.287789148594523</v>
      </c>
      <c r="E70" s="422">
        <f>VPI!Q70</f>
        <v>72.5</v>
      </c>
      <c r="F70" s="244">
        <f t="shared" si="0"/>
        <v>53.212210851405473</v>
      </c>
      <c r="G70" s="241">
        <f>Effort!I70+Aide!I70/Taux!C70+Effort!K70/Taux!C70</f>
        <v>20.172960362832551</v>
      </c>
      <c r="H70" s="83">
        <f t="shared" si="1"/>
        <v>73.385171214238028</v>
      </c>
      <c r="I70" s="226">
        <f t="shared" si="2"/>
        <v>0</v>
      </c>
      <c r="J70" s="42">
        <f t="shared" si="3"/>
        <v>0</v>
      </c>
      <c r="K70" s="5"/>
      <c r="L70" s="10"/>
      <c r="M70" s="11"/>
      <c r="R70" s="11"/>
    </row>
    <row r="71" spans="1:18" x14ac:dyDescent="0.25">
      <c r="A71" s="38">
        <f>Données!A71</f>
        <v>5515</v>
      </c>
      <c r="B71" s="200" t="str">
        <f>Données!B71</f>
        <v>Bretigny-sur-Morrens</v>
      </c>
      <c r="C71" s="353">
        <f>VPI!R71</f>
        <v>29581.308918344312</v>
      </c>
      <c r="D71" s="544">
        <f>Données!AP71</f>
        <v>21.529358614449439</v>
      </c>
      <c r="E71" s="422">
        <f>VPI!Q71</f>
        <v>81</v>
      </c>
      <c r="F71" s="244">
        <f t="shared" ref="F71:F134" si="4">E71-D71</f>
        <v>59.470641385550564</v>
      </c>
      <c r="G71" s="241">
        <f>Effort!I71+Aide!I71/Taux!C71+Effort!K71/Taux!C71</f>
        <v>19.428469428476909</v>
      </c>
      <c r="H71" s="83">
        <f t="shared" ref="H71:H134" si="5">F71+G71</f>
        <v>78.899110814027466</v>
      </c>
      <c r="I71" s="226">
        <f t="shared" ref="I71:I134" si="6">IF(H71&gt;$I$5,H71-$I$5,0)</f>
        <v>0</v>
      </c>
      <c r="J71" s="42">
        <f t="shared" ref="J71:J134" si="7">-I71*C71</f>
        <v>0</v>
      </c>
      <c r="K71" s="5"/>
      <c r="L71" s="10"/>
      <c r="M71" s="11"/>
      <c r="R71" s="11"/>
    </row>
    <row r="72" spans="1:18" x14ac:dyDescent="0.25">
      <c r="A72" s="38">
        <f>Données!A72</f>
        <v>5516</v>
      </c>
      <c r="B72" s="200" t="str">
        <f>Données!B72</f>
        <v>Cugy</v>
      </c>
      <c r="C72" s="353">
        <f>VPI!R72</f>
        <v>107018.16986148078</v>
      </c>
      <c r="D72" s="544">
        <f>Données!AP72</f>
        <v>24.686827605079596</v>
      </c>
      <c r="E72" s="422">
        <f>VPI!Q72</f>
        <v>78</v>
      </c>
      <c r="F72" s="244">
        <f t="shared" si="4"/>
        <v>53.3131723949204</v>
      </c>
      <c r="G72" s="241">
        <f>Effort!I72+Aide!I72/Taux!C72+Effort!K72/Taux!C72</f>
        <v>20.726440810092328</v>
      </c>
      <c r="H72" s="83">
        <f t="shared" si="5"/>
        <v>74.039613205012728</v>
      </c>
      <c r="I72" s="226">
        <f t="shared" si="6"/>
        <v>0</v>
      </c>
      <c r="J72" s="42">
        <f t="shared" si="7"/>
        <v>0</v>
      </c>
      <c r="K72" s="5"/>
      <c r="L72" s="10"/>
      <c r="M72" s="11"/>
      <c r="R72" s="11"/>
    </row>
    <row r="73" spans="1:18" x14ac:dyDescent="0.25">
      <c r="A73" s="38">
        <f>Données!A73</f>
        <v>5518</v>
      </c>
      <c r="B73" s="200" t="str">
        <f>Données!B73</f>
        <v>Echallens</v>
      </c>
      <c r="C73" s="353">
        <f>VPI!R73</f>
        <v>178600.86493850421</v>
      </c>
      <c r="D73" s="544">
        <f>Données!AP73</f>
        <v>13.718555942901784</v>
      </c>
      <c r="E73" s="422">
        <f>VPI!Q73</f>
        <v>72.5</v>
      </c>
      <c r="F73" s="244">
        <f t="shared" si="4"/>
        <v>58.781444057098213</v>
      </c>
      <c r="G73" s="241">
        <f>Effort!I73+Aide!I73/Taux!C73+Effort!K73/Taux!C73</f>
        <v>4.3953446332385724</v>
      </c>
      <c r="H73" s="83">
        <f t="shared" si="5"/>
        <v>63.176788690336785</v>
      </c>
      <c r="I73" s="226">
        <f t="shared" si="6"/>
        <v>0</v>
      </c>
      <c r="J73" s="42">
        <f t="shared" si="7"/>
        <v>0</v>
      </c>
      <c r="K73" s="5"/>
      <c r="L73" s="10"/>
      <c r="M73" s="11"/>
      <c r="R73" s="11"/>
    </row>
    <row r="74" spans="1:18" x14ac:dyDescent="0.25">
      <c r="A74" s="38">
        <f>Données!A74</f>
        <v>5520</v>
      </c>
      <c r="B74" s="200" t="str">
        <f>Données!B74</f>
        <v>Essertines-sur-Yverdon</v>
      </c>
      <c r="C74" s="353">
        <f>VPI!R74</f>
        <v>29717.541203363555</v>
      </c>
      <c r="D74" s="544">
        <f>Données!AP74</f>
        <v>18.040453330182526</v>
      </c>
      <c r="E74" s="422">
        <f>VPI!Q74</f>
        <v>73</v>
      </c>
      <c r="F74" s="244">
        <f t="shared" si="4"/>
        <v>54.95954666981747</v>
      </c>
      <c r="G74" s="241">
        <f>Effort!I74+Aide!I74/Taux!C74+Effort!K74/Taux!C74</f>
        <v>11.370370094352706</v>
      </c>
      <c r="H74" s="83">
        <f t="shared" si="5"/>
        <v>66.329916764170179</v>
      </c>
      <c r="I74" s="226">
        <f t="shared" si="6"/>
        <v>0</v>
      </c>
      <c r="J74" s="42">
        <f t="shared" si="7"/>
        <v>0</v>
      </c>
      <c r="K74" s="5"/>
      <c r="L74" s="10"/>
      <c r="M74" s="11"/>
      <c r="R74" s="11"/>
    </row>
    <row r="75" spans="1:18" x14ac:dyDescent="0.25">
      <c r="A75" s="38">
        <f>Données!A75</f>
        <v>5521</v>
      </c>
      <c r="B75" s="200" t="str">
        <f>Données!B75</f>
        <v>Etagnières</v>
      </c>
      <c r="C75" s="353">
        <f>VPI!R75</f>
        <v>46728.684482765391</v>
      </c>
      <c r="D75" s="544">
        <f>Données!AP75</f>
        <v>29.360762269607907</v>
      </c>
      <c r="E75" s="422">
        <f>VPI!Q75</f>
        <v>73</v>
      </c>
      <c r="F75" s="244">
        <f t="shared" si="4"/>
        <v>43.639237730392097</v>
      </c>
      <c r="G75" s="241">
        <f>Effort!I75+Aide!I75/Taux!C75+Effort!K75/Taux!C75</f>
        <v>25.676918737205959</v>
      </c>
      <c r="H75" s="83">
        <f t="shared" si="5"/>
        <v>69.316156467598063</v>
      </c>
      <c r="I75" s="226">
        <f t="shared" si="6"/>
        <v>0</v>
      </c>
      <c r="J75" s="42">
        <f t="shared" si="7"/>
        <v>0</v>
      </c>
      <c r="K75" s="5"/>
      <c r="L75" s="10"/>
      <c r="M75" s="11"/>
      <c r="R75" s="11"/>
    </row>
    <row r="76" spans="1:18" x14ac:dyDescent="0.25">
      <c r="A76" s="38">
        <f>Données!A76</f>
        <v>5522</v>
      </c>
      <c r="B76" s="200" t="str">
        <f>Données!B76</f>
        <v>Fey</v>
      </c>
      <c r="C76" s="353">
        <f>VPI!R76</f>
        <v>23725.546686457117</v>
      </c>
      <c r="D76" s="544">
        <f>Données!AP76</f>
        <v>19.176608028478487</v>
      </c>
      <c r="E76" s="422">
        <f>VPI!Q76</f>
        <v>75</v>
      </c>
      <c r="F76" s="244">
        <f t="shared" si="4"/>
        <v>55.823391971521517</v>
      </c>
      <c r="G76" s="241">
        <f>Effort!I76+Aide!I76/Taux!C76+Effort!K76/Taux!C76</f>
        <v>14.949754651624454</v>
      </c>
      <c r="H76" s="83">
        <f t="shared" si="5"/>
        <v>70.773146623145976</v>
      </c>
      <c r="I76" s="226">
        <f t="shared" si="6"/>
        <v>0</v>
      </c>
      <c r="J76" s="42">
        <f t="shared" si="7"/>
        <v>0</v>
      </c>
      <c r="K76" s="5"/>
      <c r="L76" s="10"/>
      <c r="M76" s="11"/>
      <c r="R76" s="11"/>
    </row>
    <row r="77" spans="1:18" x14ac:dyDescent="0.25">
      <c r="A77" s="38">
        <f>Données!A77</f>
        <v>5523</v>
      </c>
      <c r="B77" s="200" t="str">
        <f>Données!B77</f>
        <v>Froideville</v>
      </c>
      <c r="C77" s="353">
        <f>VPI!R77</f>
        <v>85857.812378374249</v>
      </c>
      <c r="D77" s="544">
        <f>Données!AP77</f>
        <v>18.865912422587673</v>
      </c>
      <c r="E77" s="422">
        <f>VPI!Q77</f>
        <v>72</v>
      </c>
      <c r="F77" s="244">
        <f t="shared" si="4"/>
        <v>53.13408757741233</v>
      </c>
      <c r="G77" s="241">
        <f>Effort!I77+Aide!I77/Taux!C77+Effort!K77/Taux!C77</f>
        <v>14.745141231556151</v>
      </c>
      <c r="H77" s="83">
        <f t="shared" si="5"/>
        <v>67.879228808968477</v>
      </c>
      <c r="I77" s="226">
        <f t="shared" si="6"/>
        <v>0</v>
      </c>
      <c r="J77" s="42">
        <f t="shared" si="7"/>
        <v>0</v>
      </c>
      <c r="K77" s="5"/>
      <c r="L77" s="10"/>
      <c r="M77" s="11"/>
      <c r="R77" s="11"/>
    </row>
    <row r="78" spans="1:18" x14ac:dyDescent="0.25">
      <c r="A78" s="38">
        <f>Données!A78</f>
        <v>5527</v>
      </c>
      <c r="B78" s="200" t="str">
        <f>Données!B78</f>
        <v>Morrens</v>
      </c>
      <c r="C78" s="353">
        <f>VPI!R78</f>
        <v>40562.178421686454</v>
      </c>
      <c r="D78" s="544">
        <f>Données!AP78</f>
        <v>24.484930704747228</v>
      </c>
      <c r="E78" s="422">
        <f>VPI!Q78</f>
        <v>74</v>
      </c>
      <c r="F78" s="244">
        <f t="shared" si="4"/>
        <v>49.515069295252772</v>
      </c>
      <c r="G78" s="241">
        <f>Effort!I78+Aide!I78/Taux!C78+Effort!K78/Taux!C78</f>
        <v>20.490261576082901</v>
      </c>
      <c r="H78" s="83">
        <f t="shared" si="5"/>
        <v>70.005330871335673</v>
      </c>
      <c r="I78" s="226">
        <f t="shared" si="6"/>
        <v>0</v>
      </c>
      <c r="J78" s="42">
        <f t="shared" si="7"/>
        <v>0</v>
      </c>
      <c r="K78" s="5"/>
      <c r="L78" s="10"/>
      <c r="M78" s="11"/>
      <c r="R78" s="11"/>
    </row>
    <row r="79" spans="1:18" x14ac:dyDescent="0.25">
      <c r="A79" s="38">
        <f>Données!A79</f>
        <v>5529</v>
      </c>
      <c r="B79" s="200" t="str">
        <f>Données!B79</f>
        <v>Oulens-sous-Echallens</v>
      </c>
      <c r="C79" s="353">
        <f>VPI!R79</f>
        <v>20197.480835918959</v>
      </c>
      <c r="D79" s="544">
        <f>Données!AP79</f>
        <v>25.238175228944318</v>
      </c>
      <c r="E79" s="422">
        <f>VPI!Q79</f>
        <v>70</v>
      </c>
      <c r="F79" s="244">
        <f t="shared" si="4"/>
        <v>44.761824771055686</v>
      </c>
      <c r="G79" s="241">
        <f>Effort!I79+Aide!I79/Taux!C79+Effort!K79/Taux!C79</f>
        <v>18.621223641436199</v>
      </c>
      <c r="H79" s="83">
        <f t="shared" si="5"/>
        <v>63.383048412491888</v>
      </c>
      <c r="I79" s="226">
        <f t="shared" si="6"/>
        <v>0</v>
      </c>
      <c r="J79" s="42">
        <f t="shared" si="7"/>
        <v>0</v>
      </c>
      <c r="K79" s="5"/>
      <c r="L79" s="10"/>
      <c r="M79" s="11"/>
      <c r="R79" s="11"/>
    </row>
    <row r="80" spans="1:18" x14ac:dyDescent="0.25">
      <c r="A80" s="38">
        <f>Données!A80</f>
        <v>5530</v>
      </c>
      <c r="B80" s="200" t="str">
        <f>Données!B80</f>
        <v>Pailly</v>
      </c>
      <c r="C80" s="353">
        <f>VPI!R80</f>
        <v>18293.784444479894</v>
      </c>
      <c r="D80" s="544">
        <f>Données!AP80</f>
        <v>19.795437968271578</v>
      </c>
      <c r="E80" s="422">
        <f>VPI!Q80</f>
        <v>76</v>
      </c>
      <c r="F80" s="244">
        <f t="shared" si="4"/>
        <v>56.204562031728422</v>
      </c>
      <c r="G80" s="241">
        <f>Effort!I80+Aide!I80/Taux!C80+Effort!K80/Taux!C80</f>
        <v>-0.46236881023159526</v>
      </c>
      <c r="H80" s="83">
        <f t="shared" si="5"/>
        <v>55.742193221496827</v>
      </c>
      <c r="I80" s="226">
        <f t="shared" si="6"/>
        <v>0</v>
      </c>
      <c r="J80" s="42">
        <f t="shared" si="7"/>
        <v>0</v>
      </c>
      <c r="K80" s="5"/>
      <c r="L80" s="10"/>
      <c r="M80" s="11"/>
      <c r="R80" s="11"/>
    </row>
    <row r="81" spans="1:18" x14ac:dyDescent="0.25">
      <c r="A81" s="38">
        <f>Données!A81</f>
        <v>5531</v>
      </c>
      <c r="B81" s="200" t="str">
        <f>Données!B81</f>
        <v>Penthéréaz</v>
      </c>
      <c r="C81" s="353">
        <f>VPI!R81</f>
        <v>13840.342734120952</v>
      </c>
      <c r="D81" s="544">
        <f>Données!AP81</f>
        <v>23.629442225303116</v>
      </c>
      <c r="E81" s="422">
        <f>VPI!Q81</f>
        <v>74</v>
      </c>
      <c r="F81" s="244">
        <f t="shared" si="4"/>
        <v>50.370557774696884</v>
      </c>
      <c r="G81" s="241">
        <f>Effort!I81+Aide!I81/Taux!C81+Effort!K81/Taux!C81</f>
        <v>16.501253741511466</v>
      </c>
      <c r="H81" s="83">
        <f t="shared" si="5"/>
        <v>66.871811516208354</v>
      </c>
      <c r="I81" s="226">
        <f t="shared" si="6"/>
        <v>0</v>
      </c>
      <c r="J81" s="42">
        <f t="shared" si="7"/>
        <v>0</v>
      </c>
      <c r="K81" s="5"/>
      <c r="L81" s="10"/>
      <c r="M81" s="11"/>
      <c r="R81" s="11"/>
    </row>
    <row r="82" spans="1:18" x14ac:dyDescent="0.25">
      <c r="A82" s="38">
        <f>Données!A82</f>
        <v>5533</v>
      </c>
      <c r="B82" s="200" t="str">
        <f>Données!B82</f>
        <v>Poliez-Pittet</v>
      </c>
      <c r="C82" s="353">
        <f>VPI!R82</f>
        <v>27171.721019789369</v>
      </c>
      <c r="D82" s="544">
        <f>Données!AP82</f>
        <v>15.767792128624857</v>
      </c>
      <c r="E82" s="422">
        <f>VPI!Q82</f>
        <v>73</v>
      </c>
      <c r="F82" s="244">
        <f t="shared" si="4"/>
        <v>57.232207871375145</v>
      </c>
      <c r="G82" s="241">
        <f>Effort!I82+Aide!I82/Taux!C82+Effort!K82/Taux!C82</f>
        <v>20.049856982278435</v>
      </c>
      <c r="H82" s="83">
        <f t="shared" si="5"/>
        <v>77.28206485365358</v>
      </c>
      <c r="I82" s="226">
        <f t="shared" si="6"/>
        <v>0</v>
      </c>
      <c r="J82" s="42">
        <f t="shared" si="7"/>
        <v>0</v>
      </c>
      <c r="K82" s="5"/>
      <c r="L82" s="10"/>
      <c r="M82" s="11"/>
      <c r="R82" s="11"/>
    </row>
    <row r="83" spans="1:18" x14ac:dyDescent="0.25">
      <c r="A83" s="38">
        <f>Données!A83</f>
        <v>5534</v>
      </c>
      <c r="B83" s="200" t="str">
        <f>Données!B83</f>
        <v>Rueyres</v>
      </c>
      <c r="C83" s="353">
        <f>VPI!R83</f>
        <v>9741.2664246848526</v>
      </c>
      <c r="D83" s="544">
        <f>Données!AP83</f>
        <v>28.041482905053378</v>
      </c>
      <c r="E83" s="422">
        <f>VPI!Q83</f>
        <v>73</v>
      </c>
      <c r="F83" s="244">
        <f t="shared" si="4"/>
        <v>44.958517094946622</v>
      </c>
      <c r="G83" s="241">
        <f>Effort!I83+Aide!I83/Taux!C83+Effort!K83/Taux!C83</f>
        <v>24.628096214227178</v>
      </c>
      <c r="H83" s="83">
        <f t="shared" si="5"/>
        <v>69.586613309173799</v>
      </c>
      <c r="I83" s="226">
        <f t="shared" si="6"/>
        <v>0</v>
      </c>
      <c r="J83" s="42">
        <f t="shared" si="7"/>
        <v>0</v>
      </c>
      <c r="K83" s="5"/>
      <c r="L83" s="10"/>
      <c r="M83" s="11"/>
      <c r="R83" s="11"/>
    </row>
    <row r="84" spans="1:18" x14ac:dyDescent="0.25">
      <c r="A84" s="38">
        <f>Données!A84</f>
        <v>5535</v>
      </c>
      <c r="B84" s="200" t="str">
        <f>Données!B84</f>
        <v>Saint-Barthélemy</v>
      </c>
      <c r="C84" s="353">
        <f>VPI!R84</f>
        <v>22506.660400000004</v>
      </c>
      <c r="D84" s="544">
        <f>Données!AP84</f>
        <v>16.013512224532739</v>
      </c>
      <c r="E84" s="422">
        <f>VPI!Q84</f>
        <v>75</v>
      </c>
      <c r="F84" s="244">
        <f t="shared" si="4"/>
        <v>58.986487775467261</v>
      </c>
      <c r="G84" s="241">
        <f>Effort!I84+Aide!I84/Taux!C84+Effort!K84/Taux!C84</f>
        <v>15.763502436692573</v>
      </c>
      <c r="H84" s="83">
        <f t="shared" si="5"/>
        <v>74.74999021215983</v>
      </c>
      <c r="I84" s="226">
        <f t="shared" si="6"/>
        <v>0</v>
      </c>
      <c r="J84" s="42">
        <f t="shared" si="7"/>
        <v>0</v>
      </c>
      <c r="K84" s="5"/>
      <c r="L84" s="10"/>
      <c r="M84" s="11"/>
      <c r="R84" s="11"/>
    </row>
    <row r="85" spans="1:18" x14ac:dyDescent="0.25">
      <c r="A85" s="38">
        <f>Données!A85</f>
        <v>5537</v>
      </c>
      <c r="B85" s="200" t="str">
        <f>Données!B85</f>
        <v>Villars-le-Terroir</v>
      </c>
      <c r="C85" s="353">
        <f>VPI!R85</f>
        <v>37957.948044056422</v>
      </c>
      <c r="D85" s="544">
        <f>Données!AP85</f>
        <v>17.587525854985504</v>
      </c>
      <c r="E85" s="422">
        <f>VPI!Q85</f>
        <v>73</v>
      </c>
      <c r="F85" s="244">
        <f t="shared" si="4"/>
        <v>55.4124741450145</v>
      </c>
      <c r="G85" s="241">
        <f>Effort!I85+Aide!I85/Taux!C85+Effort!K85/Taux!C85</f>
        <v>14.927498448762044</v>
      </c>
      <c r="H85" s="83">
        <f t="shared" si="5"/>
        <v>70.339972593776537</v>
      </c>
      <c r="I85" s="226">
        <f t="shared" si="6"/>
        <v>0</v>
      </c>
      <c r="J85" s="42">
        <f t="shared" si="7"/>
        <v>0</v>
      </c>
      <c r="K85" s="5"/>
      <c r="L85" s="10"/>
      <c r="M85" s="11"/>
      <c r="R85" s="11"/>
    </row>
    <row r="86" spans="1:18" x14ac:dyDescent="0.25">
      <c r="A86" s="38">
        <f>Données!A86</f>
        <v>5539</v>
      </c>
      <c r="B86" s="200" t="str">
        <f>Données!B86</f>
        <v>Vuarrens</v>
      </c>
      <c r="C86" s="353">
        <f>VPI!R86</f>
        <v>35955.043474705482</v>
      </c>
      <c r="D86" s="544">
        <f>Données!AP86</f>
        <v>16.478900304237523</v>
      </c>
      <c r="E86" s="422">
        <f>VPI!Q86</f>
        <v>73.5</v>
      </c>
      <c r="F86" s="244">
        <f t="shared" si="4"/>
        <v>57.021099695762473</v>
      </c>
      <c r="G86" s="241">
        <f>Effort!I86+Aide!I86/Taux!C86+Effort!K86/Taux!C86</f>
        <v>20.916077080109208</v>
      </c>
      <c r="H86" s="83">
        <f t="shared" si="5"/>
        <v>77.937176775871677</v>
      </c>
      <c r="I86" s="226">
        <f t="shared" si="6"/>
        <v>0</v>
      </c>
      <c r="J86" s="42">
        <f t="shared" si="7"/>
        <v>0</v>
      </c>
      <c r="K86" s="5"/>
      <c r="L86" s="10"/>
      <c r="M86" s="11"/>
      <c r="R86" s="11"/>
    </row>
    <row r="87" spans="1:18" x14ac:dyDescent="0.25">
      <c r="A87" s="38">
        <f>Données!A87</f>
        <v>5540</v>
      </c>
      <c r="B87" s="200" t="str">
        <f>Données!B87</f>
        <v>Montilliez</v>
      </c>
      <c r="C87" s="353">
        <f>VPI!R87</f>
        <v>66216.365354079026</v>
      </c>
      <c r="D87" s="544">
        <f>Données!AP87</f>
        <v>22.21311697992196</v>
      </c>
      <c r="E87" s="422">
        <f>VPI!Q87</f>
        <v>72.5</v>
      </c>
      <c r="F87" s="244">
        <f t="shared" si="4"/>
        <v>50.286883020078037</v>
      </c>
      <c r="G87" s="241">
        <f>Effort!I87+Aide!I87/Taux!C87+Effort!K87/Taux!C87</f>
        <v>17.361906959685435</v>
      </c>
      <c r="H87" s="83">
        <f t="shared" si="5"/>
        <v>67.648789979763478</v>
      </c>
      <c r="I87" s="226">
        <f t="shared" si="6"/>
        <v>0</v>
      </c>
      <c r="J87" s="42">
        <f t="shared" si="7"/>
        <v>0</v>
      </c>
      <c r="K87" s="5"/>
      <c r="L87" s="10"/>
      <c r="M87" s="11"/>
      <c r="R87" s="11"/>
    </row>
    <row r="88" spans="1:18" x14ac:dyDescent="0.25">
      <c r="A88" s="38">
        <f>Données!A88</f>
        <v>5541</v>
      </c>
      <c r="B88" s="200" t="str">
        <f>Données!B88</f>
        <v>Goumoëns</v>
      </c>
      <c r="C88" s="353">
        <f>VPI!R88</f>
        <v>36974.846186713199</v>
      </c>
      <c r="D88" s="544">
        <f>Données!AP88</f>
        <v>20.779277832455087</v>
      </c>
      <c r="E88" s="422">
        <f>VPI!Q88</f>
        <v>75.5</v>
      </c>
      <c r="F88" s="244">
        <f t="shared" si="4"/>
        <v>54.720722167544913</v>
      </c>
      <c r="G88" s="241">
        <f>Effort!I88+Aide!I88/Taux!C88+Effort!K88/Taux!C88</f>
        <v>18.571512289065719</v>
      </c>
      <c r="H88" s="83">
        <f t="shared" si="5"/>
        <v>73.292234456610629</v>
      </c>
      <c r="I88" s="226">
        <f t="shared" si="6"/>
        <v>0</v>
      </c>
      <c r="J88" s="42">
        <f t="shared" si="7"/>
        <v>0</v>
      </c>
      <c r="K88" s="5"/>
      <c r="L88" s="10"/>
      <c r="M88" s="11"/>
      <c r="R88" s="11"/>
    </row>
    <row r="89" spans="1:18" x14ac:dyDescent="0.25">
      <c r="A89" s="38">
        <f>Données!A89</f>
        <v>5551</v>
      </c>
      <c r="B89" s="200" t="str">
        <f>Données!B89</f>
        <v>Bonvillars</v>
      </c>
      <c r="C89" s="353">
        <f>VPI!R89</f>
        <v>19152.288613413803</v>
      </c>
      <c r="D89" s="544">
        <f>Données!AP89</f>
        <v>28.818322847405348</v>
      </c>
      <c r="E89" s="422">
        <f>VPI!Q89</f>
        <v>55</v>
      </c>
      <c r="F89" s="244">
        <f t="shared" si="4"/>
        <v>26.181677152594652</v>
      </c>
      <c r="G89" s="241">
        <f>Effort!I89+Aide!I89/Taux!C89+Effort!K89/Taux!C89</f>
        <v>25.536864620888245</v>
      </c>
      <c r="H89" s="83">
        <f t="shared" si="5"/>
        <v>51.718541773482897</v>
      </c>
      <c r="I89" s="226">
        <f t="shared" si="6"/>
        <v>0</v>
      </c>
      <c r="J89" s="42">
        <f t="shared" si="7"/>
        <v>0</v>
      </c>
      <c r="K89" s="5"/>
      <c r="L89" s="10"/>
      <c r="M89" s="11"/>
      <c r="R89" s="11"/>
    </row>
    <row r="90" spans="1:18" x14ac:dyDescent="0.25">
      <c r="A90" s="38">
        <f>Données!A90</f>
        <v>5552</v>
      </c>
      <c r="B90" s="200" t="str">
        <f>Données!B90</f>
        <v>Bullet</v>
      </c>
      <c r="C90" s="353">
        <f>VPI!R90</f>
        <v>17562.45286713287</v>
      </c>
      <c r="D90" s="544">
        <f>Données!AP90</f>
        <v>16.913661786763303</v>
      </c>
      <c r="E90" s="422">
        <f>VPI!Q90</f>
        <v>71.5</v>
      </c>
      <c r="F90" s="244">
        <f t="shared" si="4"/>
        <v>54.586338213236701</v>
      </c>
      <c r="G90" s="241">
        <f>Effort!I90+Aide!I90/Taux!C90+Effort!K90/Taux!C90</f>
        <v>3.7577451554088004</v>
      </c>
      <c r="H90" s="83">
        <f t="shared" si="5"/>
        <v>58.344083368645499</v>
      </c>
      <c r="I90" s="226">
        <f t="shared" si="6"/>
        <v>0</v>
      </c>
      <c r="J90" s="42">
        <f t="shared" si="7"/>
        <v>0</v>
      </c>
      <c r="K90" s="5"/>
      <c r="L90" s="10"/>
      <c r="M90" s="11"/>
      <c r="R90" s="11"/>
    </row>
    <row r="91" spans="1:18" x14ac:dyDescent="0.25">
      <c r="A91" s="38">
        <f>Données!A91</f>
        <v>5553</v>
      </c>
      <c r="B91" s="200" t="str">
        <f>Données!B91</f>
        <v>Champagne</v>
      </c>
      <c r="C91" s="353">
        <f>VPI!R91</f>
        <v>38621.939977657414</v>
      </c>
      <c r="D91" s="544">
        <f>Données!AP91</f>
        <v>26.24384783643756</v>
      </c>
      <c r="E91" s="422">
        <f>VPI!Q91</f>
        <v>65</v>
      </c>
      <c r="F91" s="244">
        <f t="shared" si="4"/>
        <v>38.75615216356244</v>
      </c>
      <c r="G91" s="241">
        <f>Effort!I91+Aide!I91/Taux!C91+Effort!K91/Taux!C91</f>
        <v>21.706690601752751</v>
      </c>
      <c r="H91" s="83">
        <f t="shared" si="5"/>
        <v>60.462842765315187</v>
      </c>
      <c r="I91" s="226">
        <f t="shared" si="6"/>
        <v>0</v>
      </c>
      <c r="J91" s="42">
        <f t="shared" si="7"/>
        <v>0</v>
      </c>
      <c r="K91" s="5"/>
      <c r="L91" s="10"/>
      <c r="M91" s="11"/>
      <c r="R91" s="11"/>
    </row>
    <row r="92" spans="1:18" x14ac:dyDescent="0.25">
      <c r="A92" s="38">
        <f>Données!A92</f>
        <v>5554</v>
      </c>
      <c r="B92" s="200" t="str">
        <f>Données!B92</f>
        <v>Concise</v>
      </c>
      <c r="C92" s="353">
        <f>VPI!R92</f>
        <v>32321.208248272062</v>
      </c>
      <c r="D92" s="544">
        <f>Données!AP92</f>
        <v>21.679088574887206</v>
      </c>
      <c r="E92" s="422">
        <f>VPI!Q92</f>
        <v>75</v>
      </c>
      <c r="F92" s="244">
        <f t="shared" si="4"/>
        <v>53.320911425112797</v>
      </c>
      <c r="G92" s="241">
        <f>Effort!I92+Aide!I92/Taux!C92+Effort!K92/Taux!C92</f>
        <v>14.153223127173138</v>
      </c>
      <c r="H92" s="83">
        <f t="shared" si="5"/>
        <v>67.474134552285932</v>
      </c>
      <c r="I92" s="226">
        <f t="shared" si="6"/>
        <v>0</v>
      </c>
      <c r="J92" s="42">
        <f t="shared" si="7"/>
        <v>0</v>
      </c>
      <c r="K92" s="5"/>
      <c r="L92" s="10"/>
      <c r="M92" s="11"/>
      <c r="R92" s="11"/>
    </row>
    <row r="93" spans="1:18" x14ac:dyDescent="0.25">
      <c r="A93" s="38">
        <f>Données!A93</f>
        <v>5555</v>
      </c>
      <c r="B93" s="200" t="str">
        <f>Données!B93</f>
        <v>Corcelles-près-Concise</v>
      </c>
      <c r="C93" s="353">
        <f>VPI!R93</f>
        <v>13590.982580275477</v>
      </c>
      <c r="D93" s="544">
        <f>Données!AP93</f>
        <v>24.032729679698445</v>
      </c>
      <c r="E93" s="422">
        <f>VPI!Q93</f>
        <v>69</v>
      </c>
      <c r="F93" s="244">
        <f t="shared" si="4"/>
        <v>44.967270320301552</v>
      </c>
      <c r="G93" s="241">
        <f>Effort!I93+Aide!I93/Taux!C93+Effort!K93/Taux!C93</f>
        <v>9.4551584667711293</v>
      </c>
      <c r="H93" s="83">
        <f t="shared" si="5"/>
        <v>54.422428787072683</v>
      </c>
      <c r="I93" s="226">
        <f t="shared" si="6"/>
        <v>0</v>
      </c>
      <c r="J93" s="42">
        <f t="shared" si="7"/>
        <v>0</v>
      </c>
      <c r="K93" s="5"/>
      <c r="L93" s="10"/>
      <c r="M93" s="11"/>
      <c r="R93" s="11"/>
    </row>
    <row r="94" spans="1:18" x14ac:dyDescent="0.25">
      <c r="A94" s="38">
        <f>Données!A94</f>
        <v>5556</v>
      </c>
      <c r="B94" s="200" t="str">
        <f>Données!B94</f>
        <v>Fiez</v>
      </c>
      <c r="C94" s="353">
        <f>VPI!R94</f>
        <v>13811.370927055856</v>
      </c>
      <c r="D94" s="544">
        <f>Données!AP94</f>
        <v>20.048818529544199</v>
      </c>
      <c r="E94" s="422">
        <f>VPI!Q94</f>
        <v>69</v>
      </c>
      <c r="F94" s="244">
        <f t="shared" si="4"/>
        <v>48.951181470455801</v>
      </c>
      <c r="G94" s="241">
        <f>Effort!I94+Aide!I94/Taux!C94+Effort!K94/Taux!C94</f>
        <v>18.686596653914506</v>
      </c>
      <c r="H94" s="83">
        <f t="shared" si="5"/>
        <v>67.6377781243703</v>
      </c>
      <c r="I94" s="226">
        <f t="shared" si="6"/>
        <v>0</v>
      </c>
      <c r="J94" s="42">
        <f t="shared" si="7"/>
        <v>0</v>
      </c>
      <c r="K94" s="5"/>
      <c r="L94" s="10"/>
      <c r="M94" s="11"/>
      <c r="R94" s="11"/>
    </row>
    <row r="95" spans="1:18" x14ac:dyDescent="0.25">
      <c r="A95" s="38">
        <f>Données!A95</f>
        <v>5557</v>
      </c>
      <c r="B95" s="200" t="str">
        <f>Données!B95</f>
        <v>Fontaines-sur-Grandson</v>
      </c>
      <c r="C95" s="353">
        <f>VPI!R95</f>
        <v>5898.4472463768097</v>
      </c>
      <c r="D95" s="544">
        <f>Données!AP95</f>
        <v>21.16364252007202</v>
      </c>
      <c r="E95" s="422">
        <f>VPI!Q95</f>
        <v>69</v>
      </c>
      <c r="F95" s="244">
        <f t="shared" si="4"/>
        <v>47.836357479927983</v>
      </c>
      <c r="G95" s="241">
        <f>Effort!I95+Aide!I95/Taux!C95+Effort!K95/Taux!C95</f>
        <v>14.430234553513994</v>
      </c>
      <c r="H95" s="83">
        <f t="shared" si="5"/>
        <v>62.266592033441981</v>
      </c>
      <c r="I95" s="226">
        <f t="shared" si="6"/>
        <v>0</v>
      </c>
      <c r="J95" s="42">
        <f t="shared" si="7"/>
        <v>0</v>
      </c>
      <c r="K95" s="5"/>
      <c r="L95" s="10"/>
      <c r="M95" s="11"/>
      <c r="R95" s="11"/>
    </row>
    <row r="96" spans="1:18" x14ac:dyDescent="0.25">
      <c r="A96" s="38">
        <f>Données!A96</f>
        <v>5559</v>
      </c>
      <c r="B96" s="200" t="str">
        <f>Données!B96</f>
        <v>Giez</v>
      </c>
      <c r="C96" s="353">
        <f>VPI!R96</f>
        <v>17108.440303030304</v>
      </c>
      <c r="D96" s="544">
        <f>Données!AP96</f>
        <v>33.685594924563468</v>
      </c>
      <c r="E96" s="422">
        <f>VPI!Q96</f>
        <v>66</v>
      </c>
      <c r="F96" s="244">
        <f t="shared" si="4"/>
        <v>32.314405075436532</v>
      </c>
      <c r="G96" s="241">
        <f>Effort!I96+Aide!I96/Taux!C96+Effort!K96/Taux!C96</f>
        <v>28.053474338673801</v>
      </c>
      <c r="H96" s="83">
        <f t="shared" si="5"/>
        <v>60.367879414110334</v>
      </c>
      <c r="I96" s="226">
        <f t="shared" si="6"/>
        <v>0</v>
      </c>
      <c r="J96" s="42">
        <f t="shared" si="7"/>
        <v>0</v>
      </c>
      <c r="K96" s="5"/>
      <c r="L96" s="10"/>
      <c r="M96" s="11"/>
      <c r="R96" s="11"/>
    </row>
    <row r="97" spans="1:18" x14ac:dyDescent="0.25">
      <c r="A97" s="38">
        <f>Données!A97</f>
        <v>5560</v>
      </c>
      <c r="B97" s="200" t="str">
        <f>Données!B97</f>
        <v>Grandevent</v>
      </c>
      <c r="C97" s="353">
        <f>VPI!R97</f>
        <v>6167.5355002978977</v>
      </c>
      <c r="D97" s="544">
        <f>Données!AP97</f>
        <v>24.340518688169407</v>
      </c>
      <c r="E97" s="422">
        <f>VPI!Q97</f>
        <v>68</v>
      </c>
      <c r="F97" s="244">
        <f t="shared" si="4"/>
        <v>43.659481311830589</v>
      </c>
      <c r="G97" s="241">
        <f>Effort!I97+Aide!I97/Taux!C97+Effort!K97/Taux!C97</f>
        <v>14.907119124059369</v>
      </c>
      <c r="H97" s="83">
        <f t="shared" si="5"/>
        <v>58.56660043588996</v>
      </c>
      <c r="I97" s="226">
        <f t="shared" si="6"/>
        <v>0</v>
      </c>
      <c r="J97" s="42">
        <f t="shared" si="7"/>
        <v>0</v>
      </c>
      <c r="K97" s="5"/>
      <c r="L97" s="10"/>
      <c r="M97" s="11"/>
      <c r="R97" s="11"/>
    </row>
    <row r="98" spans="1:18" x14ac:dyDescent="0.25">
      <c r="A98" s="38">
        <f>Données!A98</f>
        <v>5561</v>
      </c>
      <c r="B98" s="200" t="str">
        <f>Données!B98</f>
        <v>Grandson</v>
      </c>
      <c r="C98" s="353">
        <f>VPI!R98</f>
        <v>114698.81047200582</v>
      </c>
      <c r="D98" s="544">
        <f>Données!AP98</f>
        <v>19.454108449817419</v>
      </c>
      <c r="E98" s="422">
        <f>VPI!Q98</f>
        <v>69</v>
      </c>
      <c r="F98" s="244">
        <f t="shared" si="4"/>
        <v>49.545891550182581</v>
      </c>
      <c r="G98" s="241">
        <f>Effort!I98+Aide!I98/Taux!C98+Effort!K98/Taux!C98</f>
        <v>9.5379464019349403</v>
      </c>
      <c r="H98" s="83">
        <f t="shared" si="5"/>
        <v>59.08383795211752</v>
      </c>
      <c r="I98" s="226">
        <f t="shared" si="6"/>
        <v>0</v>
      </c>
      <c r="J98" s="42">
        <f t="shared" si="7"/>
        <v>0</v>
      </c>
      <c r="K98" s="5"/>
      <c r="L98" s="10"/>
      <c r="M98" s="11"/>
      <c r="R98" s="11"/>
    </row>
    <row r="99" spans="1:18" x14ac:dyDescent="0.25">
      <c r="A99" s="38">
        <f>Données!A99</f>
        <v>5562</v>
      </c>
      <c r="B99" s="200" t="str">
        <f>Données!B99</f>
        <v>Mauborget</v>
      </c>
      <c r="C99" s="353">
        <f>VPI!R99</f>
        <v>6036.4454253269014</v>
      </c>
      <c r="D99" s="544">
        <f>Données!AP99</f>
        <v>32.096739066383343</v>
      </c>
      <c r="E99" s="422">
        <f>VPI!Q99</f>
        <v>70</v>
      </c>
      <c r="F99" s="244">
        <f t="shared" si="4"/>
        <v>37.903260933616657</v>
      </c>
      <c r="G99" s="241">
        <f>Effort!I99+Aide!I99/Taux!C99+Effort!K99/Taux!C99</f>
        <v>30.494884528257138</v>
      </c>
      <c r="H99" s="83">
        <f t="shared" si="5"/>
        <v>68.398145461873796</v>
      </c>
      <c r="I99" s="226">
        <f t="shared" si="6"/>
        <v>0</v>
      </c>
      <c r="J99" s="42">
        <f t="shared" si="7"/>
        <v>0</v>
      </c>
      <c r="K99" s="5"/>
      <c r="L99" s="10"/>
      <c r="M99" s="11"/>
      <c r="R99" s="11"/>
    </row>
    <row r="100" spans="1:18" x14ac:dyDescent="0.25">
      <c r="A100" s="38">
        <f>Données!A100</f>
        <v>5563</v>
      </c>
      <c r="B100" s="200" t="str">
        <f>Données!B100</f>
        <v>Mutrux</v>
      </c>
      <c r="C100" s="353">
        <f>VPI!R100</f>
        <v>4073.4583735660226</v>
      </c>
      <c r="D100" s="544">
        <f>Données!AP100</f>
        <v>11.279306133153975</v>
      </c>
      <c r="E100" s="422">
        <f>VPI!Q100</f>
        <v>80</v>
      </c>
      <c r="F100" s="244">
        <f t="shared" si="4"/>
        <v>68.72069386684602</v>
      </c>
      <c r="G100" s="241">
        <f>Effort!I100+Aide!I100/Taux!C100+Effort!K100/Taux!C100</f>
        <v>-0.11526866575447769</v>
      </c>
      <c r="H100" s="83">
        <f t="shared" si="5"/>
        <v>68.605425201091549</v>
      </c>
      <c r="I100" s="226">
        <f t="shared" si="6"/>
        <v>0</v>
      </c>
      <c r="J100" s="42">
        <f t="shared" si="7"/>
        <v>0</v>
      </c>
      <c r="K100" s="5"/>
      <c r="L100" s="10"/>
      <c r="M100" s="11"/>
      <c r="R100" s="11"/>
    </row>
    <row r="101" spans="1:18" x14ac:dyDescent="0.25">
      <c r="A101" s="38">
        <f>Données!A101</f>
        <v>5564</v>
      </c>
      <c r="B101" s="200" t="str">
        <f>Données!B101</f>
        <v>Novalles</v>
      </c>
      <c r="C101" s="353">
        <f>VPI!R101</f>
        <v>2091.5278618421053</v>
      </c>
      <c r="D101" s="544">
        <f>Données!AP101</f>
        <v>5.8760928257012734</v>
      </c>
      <c r="E101" s="422">
        <f>VPI!Q101</f>
        <v>76</v>
      </c>
      <c r="F101" s="244">
        <f t="shared" si="4"/>
        <v>70.123907174298722</v>
      </c>
      <c r="G101" s="241">
        <f>Effort!I101+Aide!I101/Taux!C101+Effort!K101/Taux!C101</f>
        <v>-0.95092814481949262</v>
      </c>
      <c r="H101" s="83">
        <f t="shared" si="5"/>
        <v>69.172979029479222</v>
      </c>
      <c r="I101" s="226">
        <f t="shared" si="6"/>
        <v>0</v>
      </c>
      <c r="J101" s="42">
        <f t="shared" si="7"/>
        <v>0</v>
      </c>
      <c r="K101" s="5"/>
      <c r="L101" s="10"/>
      <c r="M101" s="11"/>
      <c r="R101" s="11"/>
    </row>
    <row r="102" spans="1:18" x14ac:dyDescent="0.25">
      <c r="A102" s="38">
        <f>Données!A102</f>
        <v>5565</v>
      </c>
      <c r="B102" s="200" t="str">
        <f>Données!B102</f>
        <v>Onnens</v>
      </c>
      <c r="C102" s="353">
        <f>VPI!R102</f>
        <v>19614.777543776931</v>
      </c>
      <c r="D102" s="544">
        <f>Données!AP102</f>
        <v>27.882026238896088</v>
      </c>
      <c r="E102" s="422">
        <f>VPI!Q102</f>
        <v>63.5</v>
      </c>
      <c r="F102" s="244">
        <f t="shared" si="4"/>
        <v>35.617973761103912</v>
      </c>
      <c r="G102" s="241">
        <f>Effort!I102+Aide!I102/Taux!C102+Effort!K102/Taux!C102</f>
        <v>25.230341558566245</v>
      </c>
      <c r="H102" s="83">
        <f t="shared" si="5"/>
        <v>60.848315319670156</v>
      </c>
      <c r="I102" s="226">
        <f t="shared" si="6"/>
        <v>0</v>
      </c>
      <c r="J102" s="42">
        <f t="shared" si="7"/>
        <v>0</v>
      </c>
      <c r="K102" s="5"/>
      <c r="L102" s="10"/>
      <c r="M102" s="11"/>
      <c r="R102" s="11"/>
    </row>
    <row r="103" spans="1:18" x14ac:dyDescent="0.25">
      <c r="A103" s="38">
        <f>Données!A103</f>
        <v>5566</v>
      </c>
      <c r="B103" s="200" t="str">
        <f>Données!B103</f>
        <v>Provence</v>
      </c>
      <c r="C103" s="353">
        <f>VPI!R103</f>
        <v>7592.3490248426833</v>
      </c>
      <c r="D103" s="544">
        <f>Données!AP103</f>
        <v>2.2037264116239652</v>
      </c>
      <c r="E103" s="422">
        <f>VPI!Q103</f>
        <v>81</v>
      </c>
      <c r="F103" s="244">
        <f t="shared" si="4"/>
        <v>78.796273588376039</v>
      </c>
      <c r="G103" s="241">
        <f>Effort!I103+Aide!I103/Taux!C103+Effort!K103/Taux!C103</f>
        <v>-51.786742583101798</v>
      </c>
      <c r="H103" s="83">
        <f t="shared" si="5"/>
        <v>27.009531005274241</v>
      </c>
      <c r="I103" s="226">
        <f t="shared" si="6"/>
        <v>0</v>
      </c>
      <c r="J103" s="42">
        <f t="shared" si="7"/>
        <v>0</v>
      </c>
      <c r="K103" s="5"/>
      <c r="L103" s="10"/>
      <c r="M103" s="11"/>
      <c r="R103" s="11"/>
    </row>
    <row r="104" spans="1:18" x14ac:dyDescent="0.25">
      <c r="A104" s="38">
        <f>Données!A104</f>
        <v>5568</v>
      </c>
      <c r="B104" s="200" t="str">
        <f>Données!B104</f>
        <v>Sainte-Croix</v>
      </c>
      <c r="C104" s="353">
        <f>VPI!R104</f>
        <v>106408.06903013417</v>
      </c>
      <c r="D104" s="544">
        <f>Données!AP104</f>
        <v>-1.6647916766544759</v>
      </c>
      <c r="E104" s="422">
        <f>VPI!Q104</f>
        <v>70</v>
      </c>
      <c r="F104" s="244">
        <f t="shared" si="4"/>
        <v>71.664791676654474</v>
      </c>
      <c r="G104" s="241">
        <f>Effort!I104+Aide!I104/Taux!C104+Effort!K104/Taux!C104</f>
        <v>-18.986707202072289</v>
      </c>
      <c r="H104" s="83">
        <f t="shared" si="5"/>
        <v>52.678084474582185</v>
      </c>
      <c r="I104" s="226">
        <f t="shared" si="6"/>
        <v>0</v>
      </c>
      <c r="J104" s="42">
        <f t="shared" si="7"/>
        <v>0</v>
      </c>
      <c r="K104" s="5"/>
      <c r="L104" s="10"/>
      <c r="M104" s="11"/>
      <c r="R104" s="11"/>
    </row>
    <row r="105" spans="1:18" x14ac:dyDescent="0.25">
      <c r="A105" s="38">
        <f>Données!A105</f>
        <v>5571</v>
      </c>
      <c r="B105" s="200" t="str">
        <f>Données!B105</f>
        <v>Tévenon</v>
      </c>
      <c r="C105" s="353">
        <f>VPI!R105</f>
        <v>21375.598965432913</v>
      </c>
      <c r="D105" s="544">
        <f>Données!AP105</f>
        <v>16.538308505557119</v>
      </c>
      <c r="E105" s="422">
        <f>VPI!Q105</f>
        <v>71.5</v>
      </c>
      <c r="F105" s="244">
        <f t="shared" si="4"/>
        <v>54.961691494442881</v>
      </c>
      <c r="G105" s="241">
        <f>Effort!I105+Aide!I105/Taux!C105+Effort!K105/Taux!C105</f>
        <v>2.1197986755973872</v>
      </c>
      <c r="H105" s="83">
        <f t="shared" si="5"/>
        <v>57.081490170040269</v>
      </c>
      <c r="I105" s="226">
        <f t="shared" si="6"/>
        <v>0</v>
      </c>
      <c r="J105" s="42">
        <f t="shared" si="7"/>
        <v>0</v>
      </c>
      <c r="K105" s="5"/>
      <c r="L105" s="10"/>
      <c r="M105" s="11"/>
      <c r="R105" s="11"/>
    </row>
    <row r="106" spans="1:18" x14ac:dyDescent="0.25">
      <c r="A106" s="38">
        <f>Données!A106</f>
        <v>5581</v>
      </c>
      <c r="B106" s="200" t="str">
        <f>Données!B106</f>
        <v>Belmont-sur-Lausanne</v>
      </c>
      <c r="C106" s="353">
        <f>VPI!R106</f>
        <v>212399.01953543225</v>
      </c>
      <c r="D106" s="544">
        <f>Données!AP106</f>
        <v>29.546808011178491</v>
      </c>
      <c r="E106" s="422">
        <f>VPI!Q106</f>
        <v>72</v>
      </c>
      <c r="F106" s="244">
        <f t="shared" si="4"/>
        <v>42.453191988821509</v>
      </c>
      <c r="G106" s="241">
        <f>Effort!I106+Aide!I106/Taux!C106+Effort!K106/Taux!C106</f>
        <v>27.506494688248175</v>
      </c>
      <c r="H106" s="83">
        <f t="shared" si="5"/>
        <v>69.959686677069683</v>
      </c>
      <c r="I106" s="226">
        <f t="shared" si="6"/>
        <v>0</v>
      </c>
      <c r="J106" s="42">
        <f t="shared" si="7"/>
        <v>0</v>
      </c>
      <c r="K106" s="5"/>
      <c r="L106" s="10"/>
      <c r="M106" s="11"/>
      <c r="R106" s="11"/>
    </row>
    <row r="107" spans="1:18" x14ac:dyDescent="0.25">
      <c r="A107" s="38">
        <f>Données!A107</f>
        <v>5582</v>
      </c>
      <c r="B107" s="200" t="str">
        <f>Données!B107</f>
        <v>Cheseaux-sur-Lausanne</v>
      </c>
      <c r="C107" s="353">
        <f>VPI!R107</f>
        <v>163661.81439852438</v>
      </c>
      <c r="D107" s="544">
        <f>Données!AP107</f>
        <v>21.411870250200796</v>
      </c>
      <c r="E107" s="422">
        <f>VPI!Q107</f>
        <v>73</v>
      </c>
      <c r="F107" s="244">
        <f t="shared" si="4"/>
        <v>51.588129749799208</v>
      </c>
      <c r="G107" s="241">
        <f>Effort!I107+Aide!I107/Taux!C107+Effort!K107/Taux!C107</f>
        <v>17.157588351460213</v>
      </c>
      <c r="H107" s="83">
        <f t="shared" si="5"/>
        <v>68.745718101259428</v>
      </c>
      <c r="I107" s="226">
        <f t="shared" si="6"/>
        <v>0</v>
      </c>
      <c r="J107" s="42">
        <f t="shared" si="7"/>
        <v>0</v>
      </c>
      <c r="K107" s="5"/>
      <c r="L107" s="10"/>
      <c r="M107" s="11"/>
      <c r="R107" s="11"/>
    </row>
    <row r="108" spans="1:18" x14ac:dyDescent="0.25">
      <c r="A108" s="38">
        <f>Données!A108</f>
        <v>5583</v>
      </c>
      <c r="B108" s="200" t="str">
        <f>Données!B108</f>
        <v>Crissier</v>
      </c>
      <c r="C108" s="353">
        <f>VPI!R108</f>
        <v>366439.37058398779</v>
      </c>
      <c r="D108" s="544">
        <f>Données!AP108</f>
        <v>20.08928801424355</v>
      </c>
      <c r="E108" s="422">
        <f>VPI!Q108</f>
        <v>63.5</v>
      </c>
      <c r="F108" s="244">
        <f t="shared" si="4"/>
        <v>43.41071198575645</v>
      </c>
      <c r="G108" s="241">
        <f>Effort!I108+Aide!I108/Taux!C108+Effort!K108/Taux!C108</f>
        <v>13.781552100784033</v>
      </c>
      <c r="H108" s="83">
        <f t="shared" si="5"/>
        <v>57.192264086540483</v>
      </c>
      <c r="I108" s="226">
        <f t="shared" si="6"/>
        <v>0</v>
      </c>
      <c r="J108" s="42">
        <f t="shared" si="7"/>
        <v>0</v>
      </c>
      <c r="K108" s="5"/>
      <c r="L108" s="10"/>
      <c r="M108" s="11"/>
      <c r="R108" s="11"/>
    </row>
    <row r="109" spans="1:18" x14ac:dyDescent="0.25">
      <c r="A109" s="38">
        <f>Données!A109</f>
        <v>5584</v>
      </c>
      <c r="B109" s="200" t="str">
        <f>Données!B109</f>
        <v>Epalinges</v>
      </c>
      <c r="C109" s="353">
        <f>VPI!R109</f>
        <v>481828.05446555291</v>
      </c>
      <c r="D109" s="544">
        <f>Données!AP109</f>
        <v>25.542707623145265</v>
      </c>
      <c r="E109" s="422">
        <f>VPI!Q109</f>
        <v>64.5</v>
      </c>
      <c r="F109" s="244">
        <f t="shared" si="4"/>
        <v>38.957292376854738</v>
      </c>
      <c r="G109" s="241">
        <f>Effort!I109+Aide!I109/Taux!C109+Effort!K109/Taux!C109</f>
        <v>17.565176663857301</v>
      </c>
      <c r="H109" s="83">
        <f t="shared" si="5"/>
        <v>56.522469040712039</v>
      </c>
      <c r="I109" s="226">
        <f t="shared" si="6"/>
        <v>0</v>
      </c>
      <c r="J109" s="42">
        <f t="shared" si="7"/>
        <v>0</v>
      </c>
      <c r="K109" s="5"/>
      <c r="L109" s="10"/>
      <c r="M109" s="11"/>
      <c r="R109" s="11"/>
    </row>
    <row r="110" spans="1:18" x14ac:dyDescent="0.25">
      <c r="A110" s="38">
        <f>Données!A110</f>
        <v>5585</v>
      </c>
      <c r="B110" s="200" t="str">
        <f>Données!B110</f>
        <v>Jouxtens-Mézery</v>
      </c>
      <c r="C110" s="353">
        <f>VPI!R110</f>
        <v>202456.81185453033</v>
      </c>
      <c r="D110" s="544">
        <f>Données!AP110</f>
        <v>47.999999999999993</v>
      </c>
      <c r="E110" s="422">
        <f>VPI!Q110</f>
        <v>59</v>
      </c>
      <c r="F110" s="244">
        <f t="shared" si="4"/>
        <v>11.000000000000007</v>
      </c>
      <c r="G110" s="241">
        <f>Effort!I110+Aide!I110/Taux!C110+Effort!K110/Taux!C110</f>
        <v>48</v>
      </c>
      <c r="H110" s="83">
        <f t="shared" si="5"/>
        <v>59.000000000000007</v>
      </c>
      <c r="I110" s="226">
        <f t="shared" si="6"/>
        <v>0</v>
      </c>
      <c r="J110" s="42">
        <f t="shared" si="7"/>
        <v>0</v>
      </c>
      <c r="K110" s="5"/>
      <c r="L110" s="10"/>
      <c r="M110" s="11"/>
      <c r="R110" s="11"/>
    </row>
    <row r="111" spans="1:18" x14ac:dyDescent="0.25">
      <c r="A111" s="38">
        <f>Données!A111</f>
        <v>5586</v>
      </c>
      <c r="B111" s="200" t="str">
        <f>Données!B111</f>
        <v>Lausanne</v>
      </c>
      <c r="C111" s="353">
        <f>VPI!R111</f>
        <v>6147866.1896833694</v>
      </c>
      <c r="D111" s="544">
        <f>Données!AP111</f>
        <v>8.9863927748101169</v>
      </c>
      <c r="E111" s="422">
        <f>VPI!Q111</f>
        <v>78.5</v>
      </c>
      <c r="F111" s="244">
        <f t="shared" si="4"/>
        <v>69.513607225189887</v>
      </c>
      <c r="G111" s="241">
        <f>Effort!I111+Aide!I111/Taux!C111+Effort!K111/Taux!C111</f>
        <v>2.1630880657182239</v>
      </c>
      <c r="H111" s="83">
        <f t="shared" si="5"/>
        <v>71.676695290908114</v>
      </c>
      <c r="I111" s="226">
        <f t="shared" si="6"/>
        <v>0</v>
      </c>
      <c r="J111" s="42">
        <f t="shared" si="7"/>
        <v>0</v>
      </c>
      <c r="K111" s="5"/>
      <c r="L111" s="10"/>
      <c r="M111" s="11"/>
      <c r="R111" s="11"/>
    </row>
    <row r="112" spans="1:18" x14ac:dyDescent="0.25">
      <c r="A112" s="38">
        <f>Données!A112</f>
        <v>5587</v>
      </c>
      <c r="B112" s="200" t="str">
        <f>Données!B112</f>
        <v>Le Mont-sur-Lausanne</v>
      </c>
      <c r="C112" s="353">
        <f>VPI!R112</f>
        <v>442283.52488437272</v>
      </c>
      <c r="D112" s="544">
        <f>Données!AP112</f>
        <v>25.988839394642717</v>
      </c>
      <c r="E112" s="422">
        <f>VPI!Q112</f>
        <v>73.5</v>
      </c>
      <c r="F112" s="244">
        <f t="shared" si="4"/>
        <v>47.511160605357283</v>
      </c>
      <c r="G112" s="241">
        <f>Effort!I112+Aide!I112/Taux!C112+Effort!K112/Taux!C112</f>
        <v>19.813792319822635</v>
      </c>
      <c r="H112" s="83">
        <f t="shared" si="5"/>
        <v>67.324952925179915</v>
      </c>
      <c r="I112" s="226">
        <f t="shared" si="6"/>
        <v>0</v>
      </c>
      <c r="J112" s="42">
        <f t="shared" si="7"/>
        <v>0</v>
      </c>
      <c r="K112" s="5"/>
      <c r="L112" s="10"/>
      <c r="M112" s="11"/>
      <c r="R112" s="11"/>
    </row>
    <row r="113" spans="1:18" x14ac:dyDescent="0.25">
      <c r="A113" s="38">
        <f>Données!A113</f>
        <v>5588</v>
      </c>
      <c r="B113" s="200" t="str">
        <f>Données!B113</f>
        <v>Paudex</v>
      </c>
      <c r="C113" s="353">
        <f>VPI!R113</f>
        <v>135325.41739882343</v>
      </c>
      <c r="D113" s="544">
        <f>Données!AP113</f>
        <v>42.922975253247955</v>
      </c>
      <c r="E113" s="422">
        <f>VPI!Q113</f>
        <v>66.5</v>
      </c>
      <c r="F113" s="244">
        <f t="shared" si="4"/>
        <v>23.577024746752045</v>
      </c>
      <c r="G113" s="241">
        <f>Effort!I113+Aide!I113/Taux!C113+Effort!K113/Taux!C113</f>
        <v>41.658959934231049</v>
      </c>
      <c r="H113" s="83">
        <f t="shared" si="5"/>
        <v>65.235984680983094</v>
      </c>
      <c r="I113" s="226">
        <f t="shared" si="6"/>
        <v>0</v>
      </c>
      <c r="J113" s="42">
        <f t="shared" si="7"/>
        <v>0</v>
      </c>
      <c r="K113" s="5"/>
      <c r="L113" s="10"/>
      <c r="M113" s="11"/>
      <c r="R113" s="11"/>
    </row>
    <row r="114" spans="1:18" x14ac:dyDescent="0.25">
      <c r="A114" s="38">
        <f>Données!A114</f>
        <v>5589</v>
      </c>
      <c r="B114" s="200" t="str">
        <f>Données!B114</f>
        <v>Prilly</v>
      </c>
      <c r="C114" s="353">
        <f>VPI!R114</f>
        <v>453159.46835878264</v>
      </c>
      <c r="D114" s="544">
        <f>Données!AP114</f>
        <v>8.5299151233412847</v>
      </c>
      <c r="E114" s="422">
        <f>VPI!Q114</f>
        <v>72.5</v>
      </c>
      <c r="F114" s="244">
        <f t="shared" si="4"/>
        <v>63.970084876658717</v>
      </c>
      <c r="G114" s="241">
        <f>Effort!I114+Aide!I114/Taux!C114+Effort!K114/Taux!C114</f>
        <v>6.828875043526148</v>
      </c>
      <c r="H114" s="83">
        <f t="shared" si="5"/>
        <v>70.79895992018487</v>
      </c>
      <c r="I114" s="226">
        <f t="shared" si="6"/>
        <v>0</v>
      </c>
      <c r="J114" s="42">
        <f t="shared" si="7"/>
        <v>0</v>
      </c>
      <c r="K114" s="5"/>
      <c r="L114" s="10"/>
      <c r="M114" s="11"/>
      <c r="R114" s="11"/>
    </row>
    <row r="115" spans="1:18" x14ac:dyDescent="0.25">
      <c r="A115" s="38">
        <f>Données!A115</f>
        <v>5590</v>
      </c>
      <c r="B115" s="200" t="str">
        <f>Données!B115</f>
        <v>Pully</v>
      </c>
      <c r="C115" s="353">
        <f>VPI!R115</f>
        <v>1476232.2063472071</v>
      </c>
      <c r="D115" s="544">
        <f>Données!AP115</f>
        <v>34.52865095015013</v>
      </c>
      <c r="E115" s="422">
        <f>VPI!Q115</f>
        <v>61</v>
      </c>
      <c r="F115" s="244">
        <f t="shared" si="4"/>
        <v>26.47134904984987</v>
      </c>
      <c r="G115" s="241">
        <f>Effort!I115+Aide!I115/Taux!C115+Effort!K115/Taux!C115</f>
        <v>30.630849394197192</v>
      </c>
      <c r="H115" s="83">
        <f t="shared" si="5"/>
        <v>57.102198444047062</v>
      </c>
      <c r="I115" s="226">
        <f t="shared" si="6"/>
        <v>0</v>
      </c>
      <c r="J115" s="42">
        <f t="shared" si="7"/>
        <v>0</v>
      </c>
      <c r="K115" s="5"/>
      <c r="L115" s="10"/>
      <c r="M115" s="11"/>
      <c r="R115" s="11"/>
    </row>
    <row r="116" spans="1:18" x14ac:dyDescent="0.25">
      <c r="A116" s="38">
        <f>Données!A116</f>
        <v>5591</v>
      </c>
      <c r="B116" s="200" t="str">
        <f>Données!B116</f>
        <v>Renens</v>
      </c>
      <c r="C116" s="353">
        <f>VPI!R116</f>
        <v>594878.13045762118</v>
      </c>
      <c r="D116" s="544">
        <f>Données!AP116</f>
        <v>-11.116140422997647</v>
      </c>
      <c r="E116" s="422">
        <f>VPI!Q116</f>
        <v>77</v>
      </c>
      <c r="F116" s="244">
        <f t="shared" si="4"/>
        <v>88.116140422997645</v>
      </c>
      <c r="G116" s="241">
        <f>Effort!I116+Aide!I116/Taux!C116+Effort!K116/Taux!C116</f>
        <v>-17.14910378541861</v>
      </c>
      <c r="H116" s="83">
        <f t="shared" si="5"/>
        <v>70.967036637579042</v>
      </c>
      <c r="I116" s="226">
        <f t="shared" si="6"/>
        <v>0</v>
      </c>
      <c r="J116" s="42">
        <f t="shared" si="7"/>
        <v>0</v>
      </c>
      <c r="K116" s="5"/>
      <c r="L116" s="10"/>
      <c r="M116" s="11"/>
      <c r="R116" s="11"/>
    </row>
    <row r="117" spans="1:18" x14ac:dyDescent="0.25">
      <c r="A117" s="38">
        <f>Données!A117</f>
        <v>5592</v>
      </c>
      <c r="B117" s="200" t="str">
        <f>Données!B117</f>
        <v>Romanel-sur-Lausanne</v>
      </c>
      <c r="C117" s="353">
        <f>VPI!R117</f>
        <v>121107.61842839372</v>
      </c>
      <c r="D117" s="544">
        <f>Données!AP117</f>
        <v>19.227085765610887</v>
      </c>
      <c r="E117" s="422">
        <f>VPI!Q117</f>
        <v>70.5</v>
      </c>
      <c r="F117" s="244">
        <f t="shared" si="4"/>
        <v>51.272914234389113</v>
      </c>
      <c r="G117" s="241">
        <f>Effort!I117+Aide!I117/Taux!C117+Effort!K117/Taux!C117</f>
        <v>19.578626892226545</v>
      </c>
      <c r="H117" s="83">
        <f t="shared" si="5"/>
        <v>70.851541126615658</v>
      </c>
      <c r="I117" s="226">
        <f t="shared" si="6"/>
        <v>0</v>
      </c>
      <c r="J117" s="42">
        <f t="shared" si="7"/>
        <v>0</v>
      </c>
      <c r="K117" s="5"/>
      <c r="L117" s="10"/>
      <c r="M117" s="11"/>
      <c r="R117" s="11"/>
    </row>
    <row r="118" spans="1:18" x14ac:dyDescent="0.25">
      <c r="A118" s="38">
        <f>Données!A118</f>
        <v>5601</v>
      </c>
      <c r="B118" s="200" t="str">
        <f>Données!B118</f>
        <v>Chexbres</v>
      </c>
      <c r="C118" s="353">
        <f>VPI!R118</f>
        <v>98052.639768384004</v>
      </c>
      <c r="D118" s="544">
        <f>Données!AP118</f>
        <v>29.622356685718625</v>
      </c>
      <c r="E118" s="422">
        <f>VPI!Q118</f>
        <v>67.5</v>
      </c>
      <c r="F118" s="244">
        <f t="shared" si="4"/>
        <v>37.877643314281372</v>
      </c>
      <c r="G118" s="241">
        <f>Effort!I118+Aide!I118/Taux!C118+Effort!K118/Taux!C118</f>
        <v>23.274306917331831</v>
      </c>
      <c r="H118" s="83">
        <f t="shared" si="5"/>
        <v>61.151950231613199</v>
      </c>
      <c r="I118" s="226">
        <f t="shared" si="6"/>
        <v>0</v>
      </c>
      <c r="J118" s="42">
        <f t="shared" si="7"/>
        <v>0</v>
      </c>
      <c r="K118" s="5"/>
      <c r="L118" s="10"/>
      <c r="M118" s="11"/>
      <c r="R118" s="11"/>
    </row>
    <row r="119" spans="1:18" x14ac:dyDescent="0.25">
      <c r="A119" s="38">
        <f>Données!A119</f>
        <v>5604</v>
      </c>
      <c r="B119" s="200" t="str">
        <f>Données!B119</f>
        <v>Forel (Lavaux)</v>
      </c>
      <c r="C119" s="353">
        <f>VPI!R119</f>
        <v>71266.170275257027</v>
      </c>
      <c r="D119" s="544">
        <f>Données!AP119</f>
        <v>22.605610461843529</v>
      </c>
      <c r="E119" s="422">
        <f>VPI!Q119</f>
        <v>69</v>
      </c>
      <c r="F119" s="244">
        <f t="shared" si="4"/>
        <v>46.394389538156474</v>
      </c>
      <c r="G119" s="241">
        <f>Effort!I119+Aide!I119/Taux!C119+Effort!K119/Taux!C119</f>
        <v>15.608310245230292</v>
      </c>
      <c r="H119" s="83">
        <f t="shared" si="5"/>
        <v>62.002699783386767</v>
      </c>
      <c r="I119" s="226">
        <f t="shared" si="6"/>
        <v>0</v>
      </c>
      <c r="J119" s="42">
        <f t="shared" si="7"/>
        <v>0</v>
      </c>
      <c r="K119" s="5"/>
      <c r="L119" s="10"/>
      <c r="M119" s="11"/>
      <c r="R119" s="11"/>
    </row>
    <row r="120" spans="1:18" x14ac:dyDescent="0.25">
      <c r="A120" s="38">
        <f>Données!A120</f>
        <v>5606</v>
      </c>
      <c r="B120" s="200" t="str">
        <f>Données!B120</f>
        <v>Lutry</v>
      </c>
      <c r="C120" s="353">
        <f>VPI!R120</f>
        <v>874192.86279135477</v>
      </c>
      <c r="D120" s="544">
        <f>Données!AP120</f>
        <v>35.109160784295092</v>
      </c>
      <c r="E120" s="422">
        <f>VPI!Q120</f>
        <v>54</v>
      </c>
      <c r="F120" s="244">
        <f t="shared" si="4"/>
        <v>18.890839215704908</v>
      </c>
      <c r="G120" s="241">
        <f>Effort!I120+Aide!I120/Taux!C120+Effort!K120/Taux!C120</f>
        <v>32.684306626299531</v>
      </c>
      <c r="H120" s="83">
        <f t="shared" si="5"/>
        <v>51.575145842004439</v>
      </c>
      <c r="I120" s="226">
        <f t="shared" si="6"/>
        <v>0</v>
      </c>
      <c r="J120" s="42">
        <f t="shared" si="7"/>
        <v>0</v>
      </c>
      <c r="K120" s="5"/>
      <c r="L120" s="10"/>
      <c r="M120" s="11"/>
      <c r="R120" s="11"/>
    </row>
    <row r="121" spans="1:18" x14ac:dyDescent="0.25">
      <c r="A121" s="38">
        <f>Données!A121</f>
        <v>5607</v>
      </c>
      <c r="B121" s="200" t="str">
        <f>Données!B121</f>
        <v>Puidoux</v>
      </c>
      <c r="C121" s="353">
        <f>VPI!R121</f>
        <v>102748.27893179639</v>
      </c>
      <c r="D121" s="544">
        <f>Données!AP121</f>
        <v>20.792310650406538</v>
      </c>
      <c r="E121" s="422">
        <f>VPI!Q121</f>
        <v>68.5</v>
      </c>
      <c r="F121" s="244">
        <f t="shared" si="4"/>
        <v>47.707689349593466</v>
      </c>
      <c r="G121" s="241">
        <f>Effort!I121+Aide!I121/Taux!C121+Effort!K121/Taux!C121</f>
        <v>12.187120831800648</v>
      </c>
      <c r="H121" s="83">
        <f t="shared" si="5"/>
        <v>59.894810181394114</v>
      </c>
      <c r="I121" s="226">
        <f t="shared" si="6"/>
        <v>0</v>
      </c>
      <c r="J121" s="42">
        <f t="shared" si="7"/>
        <v>0</v>
      </c>
      <c r="K121" s="5"/>
      <c r="L121" s="10"/>
      <c r="M121" s="11"/>
      <c r="R121" s="11"/>
    </row>
    <row r="122" spans="1:18" x14ac:dyDescent="0.25">
      <c r="A122" s="38">
        <f>Données!A122</f>
        <v>5609</v>
      </c>
      <c r="B122" s="200" t="str">
        <f>Données!B122</f>
        <v>Rivaz</v>
      </c>
      <c r="C122" s="353">
        <f>VPI!R122</f>
        <v>16045.690421494986</v>
      </c>
      <c r="D122" s="544">
        <f>Données!AP122</f>
        <v>29.438728118485578</v>
      </c>
      <c r="E122" s="422">
        <f>VPI!Q122</f>
        <v>62</v>
      </c>
      <c r="F122" s="244">
        <f t="shared" si="4"/>
        <v>32.561271881514422</v>
      </c>
      <c r="G122" s="241">
        <f>Effort!I122+Aide!I122/Taux!C122+Effort!K122/Taux!C122</f>
        <v>30.015970616582685</v>
      </c>
      <c r="H122" s="83">
        <f t="shared" si="5"/>
        <v>62.577242498097107</v>
      </c>
      <c r="I122" s="226">
        <f t="shared" si="6"/>
        <v>0</v>
      </c>
      <c r="J122" s="42">
        <f t="shared" si="7"/>
        <v>0</v>
      </c>
      <c r="K122" s="5"/>
      <c r="L122" s="10"/>
      <c r="M122" s="11"/>
      <c r="R122" s="11"/>
    </row>
    <row r="123" spans="1:18" x14ac:dyDescent="0.25">
      <c r="A123" s="38">
        <f>Données!A123</f>
        <v>5610</v>
      </c>
      <c r="B123" s="200" t="str">
        <f>Données!B123</f>
        <v>St-Saphorin (Lavaux)</v>
      </c>
      <c r="C123" s="353">
        <f>VPI!R123</f>
        <v>19212.066388684874</v>
      </c>
      <c r="D123" s="544">
        <f>Données!AP123</f>
        <v>36.050904534857175</v>
      </c>
      <c r="E123" s="422">
        <f>VPI!Q123</f>
        <v>72</v>
      </c>
      <c r="F123" s="244">
        <f t="shared" si="4"/>
        <v>35.949095465142825</v>
      </c>
      <c r="G123" s="241">
        <f>Effort!I123+Aide!I123/Taux!C123+Effort!K123/Taux!C123</f>
        <v>31.912417011198688</v>
      </c>
      <c r="H123" s="83">
        <f t="shared" si="5"/>
        <v>67.861512476341517</v>
      </c>
      <c r="I123" s="226">
        <f t="shared" si="6"/>
        <v>0</v>
      </c>
      <c r="J123" s="42">
        <f t="shared" si="7"/>
        <v>0</v>
      </c>
      <c r="K123" s="5"/>
      <c r="L123" s="10"/>
      <c r="M123" s="11"/>
      <c r="R123" s="11"/>
    </row>
    <row r="124" spans="1:18" x14ac:dyDescent="0.25">
      <c r="A124" s="38">
        <f>Données!A124</f>
        <v>5611</v>
      </c>
      <c r="B124" s="200" t="str">
        <f>Données!B124</f>
        <v>Savigny</v>
      </c>
      <c r="C124" s="353">
        <f>VPI!R124</f>
        <v>136601.19868900886</v>
      </c>
      <c r="D124" s="544">
        <f>Données!AP124</f>
        <v>24.680803873565662</v>
      </c>
      <c r="E124" s="422">
        <f>VPI!Q124</f>
        <v>69</v>
      </c>
      <c r="F124" s="244">
        <f t="shared" si="4"/>
        <v>44.319196126434335</v>
      </c>
      <c r="G124" s="241">
        <f>Effort!I124+Aide!I124/Taux!C124+Effort!K124/Taux!C124</f>
        <v>20.243203001460842</v>
      </c>
      <c r="H124" s="83">
        <f t="shared" si="5"/>
        <v>64.562399127895176</v>
      </c>
      <c r="I124" s="226">
        <f t="shared" si="6"/>
        <v>0</v>
      </c>
      <c r="J124" s="42">
        <f t="shared" si="7"/>
        <v>0</v>
      </c>
      <c r="K124" s="5"/>
      <c r="L124" s="10"/>
      <c r="M124" s="11"/>
      <c r="R124" s="11"/>
    </row>
    <row r="125" spans="1:18" x14ac:dyDescent="0.25">
      <c r="A125" s="38">
        <f>Données!A125</f>
        <v>5613</v>
      </c>
      <c r="B125" s="200" t="str">
        <f>Données!B125</f>
        <v>Bourg-en-Lavaux</v>
      </c>
      <c r="C125" s="353">
        <f>VPI!R125</f>
        <v>343743.87305637199</v>
      </c>
      <c r="D125" s="544">
        <f>Données!AP125</f>
        <v>32.922991542335566</v>
      </c>
      <c r="E125" s="422">
        <f>VPI!Q125</f>
        <v>62.5</v>
      </c>
      <c r="F125" s="244">
        <f t="shared" si="4"/>
        <v>29.577008457664434</v>
      </c>
      <c r="G125" s="241">
        <f>Effort!I125+Aide!I125/Taux!C125+Effort!K125/Taux!C125</f>
        <v>32.089558469813454</v>
      </c>
      <c r="H125" s="83">
        <f t="shared" si="5"/>
        <v>61.666566927477888</v>
      </c>
      <c r="I125" s="226">
        <f t="shared" si="6"/>
        <v>0</v>
      </c>
      <c r="J125" s="42">
        <f t="shared" si="7"/>
        <v>0</v>
      </c>
      <c r="K125" s="5"/>
      <c r="L125" s="10"/>
      <c r="M125" s="11"/>
      <c r="R125" s="11"/>
    </row>
    <row r="126" spans="1:18" x14ac:dyDescent="0.25">
      <c r="A126" s="38">
        <f>Données!A126</f>
        <v>5621</v>
      </c>
      <c r="B126" s="200" t="str">
        <f>Données!B126</f>
        <v>Aclens</v>
      </c>
      <c r="C126" s="353">
        <f>VPI!R126</f>
        <v>32263.209585065993</v>
      </c>
      <c r="D126" s="544">
        <f>Données!AP126</f>
        <v>33.492600495635187</v>
      </c>
      <c r="E126" s="422">
        <f>VPI!Q126</f>
        <v>62</v>
      </c>
      <c r="F126" s="244">
        <f t="shared" si="4"/>
        <v>28.507399504364813</v>
      </c>
      <c r="G126" s="241">
        <f>Effort!I126+Aide!I126/Taux!C126+Effort!K126/Taux!C126</f>
        <v>34.105087015782487</v>
      </c>
      <c r="H126" s="83">
        <f t="shared" si="5"/>
        <v>62.6124865201473</v>
      </c>
      <c r="I126" s="226">
        <f t="shared" si="6"/>
        <v>0</v>
      </c>
      <c r="J126" s="42">
        <f t="shared" si="7"/>
        <v>0</v>
      </c>
      <c r="K126" s="5"/>
      <c r="L126" s="10"/>
      <c r="M126" s="11"/>
      <c r="R126" s="11"/>
    </row>
    <row r="127" spans="1:18" x14ac:dyDescent="0.25">
      <c r="A127" s="38">
        <f>Données!A127</f>
        <v>5622</v>
      </c>
      <c r="B127" s="200" t="str">
        <f>Données!B127</f>
        <v>Bremblens</v>
      </c>
      <c r="C127" s="353">
        <f>VPI!R127</f>
        <v>27798.843685819211</v>
      </c>
      <c r="D127" s="544">
        <f>Données!AP127</f>
        <v>32.484258291122757</v>
      </c>
      <c r="E127" s="422">
        <f>VPI!Q127</f>
        <v>68</v>
      </c>
      <c r="F127" s="244">
        <f t="shared" si="4"/>
        <v>35.515741708877243</v>
      </c>
      <c r="G127" s="241">
        <f>Effort!I127+Aide!I127/Taux!C127+Effort!K127/Taux!C127</f>
        <v>31.587030131753561</v>
      </c>
      <c r="H127" s="83">
        <f t="shared" si="5"/>
        <v>67.102771840630808</v>
      </c>
      <c r="I127" s="226">
        <f t="shared" si="6"/>
        <v>0</v>
      </c>
      <c r="J127" s="42">
        <f t="shared" si="7"/>
        <v>0</v>
      </c>
      <c r="K127" s="5"/>
      <c r="L127" s="10"/>
      <c r="M127" s="11"/>
      <c r="R127" s="11"/>
    </row>
    <row r="128" spans="1:18" x14ac:dyDescent="0.25">
      <c r="A128" s="38">
        <f>Données!A128</f>
        <v>5623</v>
      </c>
      <c r="B128" s="200" t="str">
        <f>Données!B128</f>
        <v>Buchillon</v>
      </c>
      <c r="C128" s="353">
        <f>VPI!R128</f>
        <v>94505.231730769228</v>
      </c>
      <c r="D128" s="544">
        <f>Données!AP128</f>
        <v>47.992695629519602</v>
      </c>
      <c r="E128" s="422">
        <f>VPI!Q128</f>
        <v>52</v>
      </c>
      <c r="F128" s="244">
        <f t="shared" si="4"/>
        <v>4.0073043704803979</v>
      </c>
      <c r="G128" s="241">
        <f>Effort!I128+Aide!I128/Taux!C128+Effort!K128/Taux!C128</f>
        <v>47.179744374776973</v>
      </c>
      <c r="H128" s="83">
        <f t="shared" si="5"/>
        <v>51.187048745257371</v>
      </c>
      <c r="I128" s="226">
        <f t="shared" si="6"/>
        <v>0</v>
      </c>
      <c r="J128" s="42">
        <f t="shared" si="7"/>
        <v>0</v>
      </c>
      <c r="K128" s="5"/>
      <c r="L128" s="10"/>
      <c r="M128" s="11"/>
      <c r="R128" s="11"/>
    </row>
    <row r="129" spans="1:18" x14ac:dyDescent="0.25">
      <c r="A129" s="38">
        <f>Données!A129</f>
        <v>5624</v>
      </c>
      <c r="B129" s="200" t="str">
        <f>Données!B129</f>
        <v>Bussigny</v>
      </c>
      <c r="C129" s="353">
        <f>VPI!R129</f>
        <v>350915.44619957998</v>
      </c>
      <c r="D129" s="544">
        <f>Données!AP129</f>
        <v>23.954283553883652</v>
      </c>
      <c r="E129" s="422">
        <f>VPI!Q129</f>
        <v>62.5</v>
      </c>
      <c r="F129" s="244">
        <f t="shared" si="4"/>
        <v>38.545716446116344</v>
      </c>
      <c r="G129" s="241">
        <f>Effort!I129+Aide!I129/Taux!C129+Effort!K129/Taux!C129</f>
        <v>12.367714934202745</v>
      </c>
      <c r="H129" s="83">
        <f t="shared" si="5"/>
        <v>50.913431380319089</v>
      </c>
      <c r="I129" s="226">
        <f t="shared" si="6"/>
        <v>0</v>
      </c>
      <c r="J129" s="42">
        <f t="shared" si="7"/>
        <v>0</v>
      </c>
      <c r="K129" s="5"/>
      <c r="L129" s="10"/>
      <c r="M129" s="11"/>
      <c r="R129" s="11"/>
    </row>
    <row r="130" spans="1:18" x14ac:dyDescent="0.25">
      <c r="A130" s="38">
        <f>Données!A130</f>
        <v>5627</v>
      </c>
      <c r="B130" s="200" t="str">
        <f>Données!B130</f>
        <v>Chavannes-près-Renens</v>
      </c>
      <c r="C130" s="353">
        <f>VPI!R130</f>
        <v>162426.10008602153</v>
      </c>
      <c r="D130" s="544">
        <f>Données!AP130</f>
        <v>1.2333955158192706</v>
      </c>
      <c r="E130" s="422">
        <f>VPI!Q130</f>
        <v>77.5</v>
      </c>
      <c r="F130" s="244">
        <f t="shared" si="4"/>
        <v>76.266604484180732</v>
      </c>
      <c r="G130" s="241">
        <f>Effort!I130+Aide!I130/Taux!C130+Effort!K130/Taux!C130</f>
        <v>-20.325258707951697</v>
      </c>
      <c r="H130" s="83">
        <f t="shared" si="5"/>
        <v>55.941345776229035</v>
      </c>
      <c r="I130" s="226">
        <f t="shared" si="6"/>
        <v>0</v>
      </c>
      <c r="J130" s="42">
        <f t="shared" si="7"/>
        <v>0</v>
      </c>
      <c r="K130" s="5"/>
      <c r="L130" s="10"/>
      <c r="M130" s="11"/>
      <c r="R130" s="11"/>
    </row>
    <row r="131" spans="1:18" x14ac:dyDescent="0.25">
      <c r="A131" s="38">
        <f>Données!A131</f>
        <v>5628</v>
      </c>
      <c r="B131" s="200" t="str">
        <f>Données!B131</f>
        <v>Chigny</v>
      </c>
      <c r="C131" s="353">
        <f>VPI!R131</f>
        <v>24622.507795875023</v>
      </c>
      <c r="D131" s="544">
        <f>Données!AP131</f>
        <v>35.853139511004294</v>
      </c>
      <c r="E131" s="422">
        <f>VPI!Q131</f>
        <v>62</v>
      </c>
      <c r="F131" s="244">
        <f t="shared" si="4"/>
        <v>26.146860488995706</v>
      </c>
      <c r="G131" s="241">
        <f>Effort!I131+Aide!I131/Taux!C131+Effort!K131/Taux!C131</f>
        <v>35.629749414487733</v>
      </c>
      <c r="H131" s="83">
        <f t="shared" si="5"/>
        <v>61.77660990348344</v>
      </c>
      <c r="I131" s="226">
        <f t="shared" si="6"/>
        <v>0</v>
      </c>
      <c r="J131" s="42">
        <f t="shared" si="7"/>
        <v>0</v>
      </c>
      <c r="K131" s="5"/>
      <c r="L131" s="10"/>
      <c r="M131" s="11"/>
      <c r="R131" s="11"/>
    </row>
    <row r="132" spans="1:18" x14ac:dyDescent="0.25">
      <c r="A132" s="38">
        <f>Données!A132</f>
        <v>5629</v>
      </c>
      <c r="B132" s="200" t="str">
        <f>Données!B132</f>
        <v>Clarmont</v>
      </c>
      <c r="C132" s="353">
        <f>VPI!R132</f>
        <v>8520.6241427524346</v>
      </c>
      <c r="D132" s="544">
        <f>Données!AP132</f>
        <v>24.727083004251131</v>
      </c>
      <c r="E132" s="422">
        <f>VPI!Q132</f>
        <v>73.5</v>
      </c>
      <c r="F132" s="244">
        <f t="shared" si="4"/>
        <v>48.772916995748872</v>
      </c>
      <c r="G132" s="241">
        <f>Effort!I132+Aide!I132/Taux!C132+Effort!K132/Taux!C132</f>
        <v>24.601536169410004</v>
      </c>
      <c r="H132" s="83">
        <f t="shared" si="5"/>
        <v>73.374453165158883</v>
      </c>
      <c r="I132" s="226">
        <f t="shared" si="6"/>
        <v>0</v>
      </c>
      <c r="J132" s="42">
        <f t="shared" si="7"/>
        <v>0</v>
      </c>
      <c r="K132" s="5"/>
      <c r="L132" s="10"/>
      <c r="M132" s="11"/>
      <c r="R132" s="11"/>
    </row>
    <row r="133" spans="1:18" x14ac:dyDescent="0.25">
      <c r="A133" s="38">
        <f>Données!A133</f>
        <v>5631</v>
      </c>
      <c r="B133" s="200" t="str">
        <f>Données!B133</f>
        <v>Denens</v>
      </c>
      <c r="C133" s="353">
        <f>VPI!R133</f>
        <v>43443.742275876699</v>
      </c>
      <c r="D133" s="544">
        <f>Données!AP133</f>
        <v>39.308775673363094</v>
      </c>
      <c r="E133" s="422">
        <f>VPI!Q133</f>
        <v>68</v>
      </c>
      <c r="F133" s="244">
        <f t="shared" si="4"/>
        <v>28.691224326636906</v>
      </c>
      <c r="G133" s="241">
        <f>Effort!I133+Aide!I133/Taux!C133+Effort!K133/Taux!C133</f>
        <v>34.879032177390044</v>
      </c>
      <c r="H133" s="83">
        <f t="shared" si="5"/>
        <v>63.57025650402695</v>
      </c>
      <c r="I133" s="226">
        <f t="shared" si="6"/>
        <v>0</v>
      </c>
      <c r="J133" s="42">
        <f t="shared" si="7"/>
        <v>0</v>
      </c>
      <c r="K133" s="5"/>
      <c r="L133" s="10"/>
      <c r="M133" s="11"/>
      <c r="R133" s="11"/>
    </row>
    <row r="134" spans="1:18" x14ac:dyDescent="0.25">
      <c r="A134" s="38">
        <f>Données!A134</f>
        <v>5632</v>
      </c>
      <c r="B134" s="200" t="str">
        <f>Données!B134</f>
        <v>Denges</v>
      </c>
      <c r="C134" s="353">
        <f>VPI!R134</f>
        <v>76401.256884060669</v>
      </c>
      <c r="D134" s="544">
        <f>Données!AP134</f>
        <v>30.159055336664146</v>
      </c>
      <c r="E134" s="422">
        <f>VPI!Q134</f>
        <v>62</v>
      </c>
      <c r="F134" s="244">
        <f t="shared" si="4"/>
        <v>31.840944663335854</v>
      </c>
      <c r="G134" s="241">
        <f>Effort!I134+Aide!I134/Taux!C134+Effort!K134/Taux!C134</f>
        <v>26.851647135452975</v>
      </c>
      <c r="H134" s="83">
        <f t="shared" si="5"/>
        <v>58.692591798788825</v>
      </c>
      <c r="I134" s="226">
        <f t="shared" si="6"/>
        <v>0</v>
      </c>
      <c r="J134" s="42">
        <f t="shared" si="7"/>
        <v>0</v>
      </c>
      <c r="K134" s="5"/>
      <c r="L134" s="10"/>
      <c r="M134" s="11"/>
      <c r="R134" s="11"/>
    </row>
    <row r="135" spans="1:18" x14ac:dyDescent="0.25">
      <c r="A135" s="38">
        <f>Données!A135</f>
        <v>5633</v>
      </c>
      <c r="B135" s="200" t="str">
        <f>Données!B135</f>
        <v>Echandens</v>
      </c>
      <c r="C135" s="353">
        <f>VPI!R135</f>
        <v>148314.25599471925</v>
      </c>
      <c r="D135" s="544">
        <f>Données!AP135</f>
        <v>33.364349742102291</v>
      </c>
      <c r="E135" s="422">
        <f>VPI!Q135</f>
        <v>60.5</v>
      </c>
      <c r="F135" s="244">
        <f t="shared" ref="F135:F198" si="8">E135-D135</f>
        <v>27.135650257897709</v>
      </c>
      <c r="G135" s="241">
        <f>Effort!I135+Aide!I135/Taux!C135+Effort!K135/Taux!C135</f>
        <v>26.357191306422106</v>
      </c>
      <c r="H135" s="83">
        <f t="shared" ref="H135:H198" si="9">F135+G135</f>
        <v>53.492841564319818</v>
      </c>
      <c r="I135" s="226">
        <f t="shared" ref="I135:I198" si="10">IF(H135&gt;$I$5,H135-$I$5,0)</f>
        <v>0</v>
      </c>
      <c r="J135" s="42">
        <f t="shared" ref="J135:J198" si="11">-I135*C135</f>
        <v>0</v>
      </c>
      <c r="K135" s="5"/>
      <c r="L135" s="10"/>
      <c r="M135" s="11"/>
      <c r="R135" s="11"/>
    </row>
    <row r="136" spans="1:18" x14ac:dyDescent="0.25">
      <c r="A136" s="38">
        <f>Données!A136</f>
        <v>5634</v>
      </c>
      <c r="B136" s="200" t="str">
        <f>Données!B136</f>
        <v>Echichens</v>
      </c>
      <c r="C136" s="353">
        <f>VPI!R136</f>
        <v>164062.1340206177</v>
      </c>
      <c r="D136" s="544">
        <f>Données!AP136</f>
        <v>32.678467736397003</v>
      </c>
      <c r="E136" s="422">
        <f>VPI!Q136</f>
        <v>66</v>
      </c>
      <c r="F136" s="244">
        <f t="shared" si="8"/>
        <v>33.321532263602997</v>
      </c>
      <c r="G136" s="241">
        <f>Effort!I136+Aide!I136/Taux!C136+Effort!K136/Taux!C136</f>
        <v>29.968171972644285</v>
      </c>
      <c r="H136" s="83">
        <f t="shared" si="9"/>
        <v>63.289704236247282</v>
      </c>
      <c r="I136" s="226">
        <f t="shared" si="10"/>
        <v>0</v>
      </c>
      <c r="J136" s="42">
        <f t="shared" si="11"/>
        <v>0</v>
      </c>
      <c r="K136" s="5"/>
      <c r="L136" s="10"/>
      <c r="M136" s="11"/>
      <c r="R136" s="11"/>
    </row>
    <row r="137" spans="1:18" x14ac:dyDescent="0.25">
      <c r="A137" s="38">
        <f>Données!A137</f>
        <v>5635</v>
      </c>
      <c r="B137" s="200" t="str">
        <f>Données!B137</f>
        <v>Ecublens</v>
      </c>
      <c r="C137" s="353">
        <f>VPI!R137</f>
        <v>502164.08712629444</v>
      </c>
      <c r="D137" s="544">
        <f>Données!AP137</f>
        <v>15.042094899818121</v>
      </c>
      <c r="E137" s="422">
        <f>VPI!Q137</f>
        <v>62.5</v>
      </c>
      <c r="F137" s="244">
        <f t="shared" si="8"/>
        <v>47.457905100181875</v>
      </c>
      <c r="G137" s="241">
        <f>Effort!I137+Aide!I137/Taux!C137+Effort!K137/Taux!C137</f>
        <v>8.5743996029639185</v>
      </c>
      <c r="H137" s="83">
        <f t="shared" si="9"/>
        <v>56.032304703145797</v>
      </c>
      <c r="I137" s="226">
        <f t="shared" si="10"/>
        <v>0</v>
      </c>
      <c r="J137" s="42">
        <f t="shared" si="11"/>
        <v>0</v>
      </c>
      <c r="K137" s="5"/>
      <c r="L137" s="10"/>
      <c r="M137" s="11"/>
      <c r="R137" s="11"/>
    </row>
    <row r="138" spans="1:18" x14ac:dyDescent="0.25">
      <c r="A138" s="38">
        <f>Données!A138</f>
        <v>5636</v>
      </c>
      <c r="B138" s="200" t="str">
        <f>Données!B138</f>
        <v>Etoy</v>
      </c>
      <c r="C138" s="353">
        <f>VPI!R138</f>
        <v>170184.11203181112</v>
      </c>
      <c r="D138" s="544">
        <f>Données!AP138</f>
        <v>33.832578416519446</v>
      </c>
      <c r="E138" s="422">
        <f>VPI!Q138</f>
        <v>60</v>
      </c>
      <c r="F138" s="244">
        <f t="shared" si="8"/>
        <v>26.167421583480554</v>
      </c>
      <c r="G138" s="241">
        <f>Effort!I138+Aide!I138/Taux!C138+Effort!K138/Taux!C138</f>
        <v>31.980418591134125</v>
      </c>
      <c r="H138" s="83">
        <f t="shared" si="9"/>
        <v>58.147840174614679</v>
      </c>
      <c r="I138" s="226">
        <f t="shared" si="10"/>
        <v>0</v>
      </c>
      <c r="J138" s="42">
        <f t="shared" si="11"/>
        <v>0</v>
      </c>
      <c r="K138" s="5"/>
      <c r="L138" s="10"/>
      <c r="M138" s="11"/>
      <c r="R138" s="11"/>
    </row>
    <row r="139" spans="1:18" x14ac:dyDescent="0.25">
      <c r="A139" s="38">
        <f>Données!A139</f>
        <v>5637</v>
      </c>
      <c r="B139" s="200" t="str">
        <f>Données!B139</f>
        <v>Lavigny</v>
      </c>
      <c r="C139" s="353">
        <f>VPI!R139</f>
        <v>41191.053632524527</v>
      </c>
      <c r="D139" s="544">
        <f>Données!AP139</f>
        <v>26.613281830098575</v>
      </c>
      <c r="E139" s="422">
        <f>VPI!Q139</f>
        <v>73</v>
      </c>
      <c r="F139" s="244">
        <f t="shared" si="8"/>
        <v>46.386718169901428</v>
      </c>
      <c r="G139" s="241">
        <f>Effort!I139+Aide!I139/Taux!C139+Effort!K139/Taux!C139</f>
        <v>24.323857919119554</v>
      </c>
      <c r="H139" s="83">
        <f t="shared" si="9"/>
        <v>70.710576089020975</v>
      </c>
      <c r="I139" s="226">
        <f t="shared" si="10"/>
        <v>0</v>
      </c>
      <c r="J139" s="42">
        <f t="shared" si="11"/>
        <v>0</v>
      </c>
      <c r="K139" s="5"/>
      <c r="L139" s="10"/>
      <c r="M139" s="11"/>
      <c r="R139" s="11"/>
    </row>
    <row r="140" spans="1:18" x14ac:dyDescent="0.25">
      <c r="A140" s="38">
        <f>Données!A140</f>
        <v>5638</v>
      </c>
      <c r="B140" s="200" t="str">
        <f>Données!B140</f>
        <v>Lonay</v>
      </c>
      <c r="C140" s="353">
        <f>VPI!R140</f>
        <v>145471.80629203771</v>
      </c>
      <c r="D140" s="544">
        <f>Données!AP140</f>
        <v>32.86574694035842</v>
      </c>
      <c r="E140" s="422">
        <f>VPI!Q140</f>
        <v>55</v>
      </c>
      <c r="F140" s="244">
        <f t="shared" si="8"/>
        <v>22.13425305964158</v>
      </c>
      <c r="G140" s="241">
        <f>Effort!I140+Aide!I140/Taux!C140+Effort!K140/Taux!C140</f>
        <v>27.335242672040664</v>
      </c>
      <c r="H140" s="83">
        <f t="shared" si="9"/>
        <v>49.469495731682244</v>
      </c>
      <c r="I140" s="226">
        <f t="shared" si="10"/>
        <v>0</v>
      </c>
      <c r="J140" s="42">
        <f t="shared" si="11"/>
        <v>0</v>
      </c>
      <c r="K140" s="5"/>
      <c r="L140" s="10"/>
      <c r="M140" s="11"/>
      <c r="R140" s="11"/>
    </row>
    <row r="141" spans="1:18" x14ac:dyDescent="0.25">
      <c r="A141" s="38">
        <f>Données!A141</f>
        <v>5639</v>
      </c>
      <c r="B141" s="200" t="str">
        <f>Données!B141</f>
        <v>Lully</v>
      </c>
      <c r="C141" s="353">
        <f>VPI!R141</f>
        <v>45737.117540983607</v>
      </c>
      <c r="D141" s="544">
        <f>Données!AP141</f>
        <v>35.46376365491998</v>
      </c>
      <c r="E141" s="422">
        <f>VPI!Q141</f>
        <v>61</v>
      </c>
      <c r="F141" s="244">
        <f t="shared" si="8"/>
        <v>25.53623634508002</v>
      </c>
      <c r="G141" s="241">
        <f>Effort!I141+Aide!I141/Taux!C141+Effort!K141/Taux!C141</f>
        <v>33.562959637168774</v>
      </c>
      <c r="H141" s="83">
        <f t="shared" si="9"/>
        <v>59.099195982248794</v>
      </c>
      <c r="I141" s="226">
        <f t="shared" si="10"/>
        <v>0</v>
      </c>
      <c r="J141" s="42">
        <f t="shared" si="11"/>
        <v>0</v>
      </c>
      <c r="K141" s="5"/>
      <c r="L141" s="10"/>
      <c r="M141" s="11"/>
      <c r="R141" s="11"/>
    </row>
    <row r="142" spans="1:18" x14ac:dyDescent="0.25">
      <c r="A142" s="38">
        <f>Données!A142</f>
        <v>5640</v>
      </c>
      <c r="B142" s="200" t="str">
        <f>Données!B142</f>
        <v>Lussy-sur-Morges</v>
      </c>
      <c r="C142" s="353">
        <f>VPI!R142</f>
        <v>57022.810752581783</v>
      </c>
      <c r="D142" s="544">
        <f>Données!AP142</f>
        <v>43.647559091163195</v>
      </c>
      <c r="E142" s="422">
        <f>VPI!Q142</f>
        <v>66</v>
      </c>
      <c r="F142" s="244">
        <f t="shared" si="8"/>
        <v>22.352440908836805</v>
      </c>
      <c r="G142" s="241">
        <f>Effort!I142+Aide!I142/Taux!C142+Effort!K142/Taux!C142</f>
        <v>40.452075449104434</v>
      </c>
      <c r="H142" s="83">
        <f t="shared" si="9"/>
        <v>62.804516357941239</v>
      </c>
      <c r="I142" s="226">
        <f t="shared" si="10"/>
        <v>0</v>
      </c>
      <c r="J142" s="42">
        <f t="shared" si="11"/>
        <v>0</v>
      </c>
      <c r="K142" s="5"/>
      <c r="L142" s="10"/>
      <c r="M142" s="11"/>
      <c r="R142" s="11"/>
    </row>
    <row r="143" spans="1:18" x14ac:dyDescent="0.25">
      <c r="A143" s="38">
        <f>Données!A143</f>
        <v>5642</v>
      </c>
      <c r="B143" s="200" t="str">
        <f>Données!B143</f>
        <v>Morges</v>
      </c>
      <c r="C143" s="353">
        <f>VPI!R143</f>
        <v>872528.88072343986</v>
      </c>
      <c r="D143" s="544">
        <f>Données!AP143</f>
        <v>24.578867909992219</v>
      </c>
      <c r="E143" s="422">
        <f>VPI!Q143</f>
        <v>67</v>
      </c>
      <c r="F143" s="244">
        <f t="shared" si="8"/>
        <v>42.421132090007781</v>
      </c>
      <c r="G143" s="241">
        <f>Effort!I143+Aide!I143/Taux!C143+Effort!K143/Taux!C143</f>
        <v>22.54211252416016</v>
      </c>
      <c r="H143" s="83">
        <f t="shared" si="9"/>
        <v>64.963244614167934</v>
      </c>
      <c r="I143" s="226">
        <f t="shared" si="10"/>
        <v>0</v>
      </c>
      <c r="J143" s="42">
        <f t="shared" si="11"/>
        <v>0</v>
      </c>
      <c r="K143" s="5"/>
      <c r="L143" s="10"/>
      <c r="M143" s="11"/>
      <c r="R143" s="11"/>
    </row>
    <row r="144" spans="1:18" x14ac:dyDescent="0.25">
      <c r="A144" s="38">
        <f>Données!A144</f>
        <v>5643</v>
      </c>
      <c r="B144" s="200" t="str">
        <f>Données!B144</f>
        <v>Préverenges</v>
      </c>
      <c r="C144" s="353">
        <f>VPI!R144</f>
        <v>262179.27559609117</v>
      </c>
      <c r="D144" s="544">
        <f>Données!AP144</f>
        <v>28.195971415045779</v>
      </c>
      <c r="E144" s="422">
        <f>VPI!Q144</f>
        <v>62.5</v>
      </c>
      <c r="F144" s="244">
        <f t="shared" si="8"/>
        <v>34.304028584954224</v>
      </c>
      <c r="G144" s="241">
        <f>Effort!I144+Aide!I144/Taux!C144+Effort!K144/Taux!C144</f>
        <v>27.267368490995118</v>
      </c>
      <c r="H144" s="83">
        <f t="shared" si="9"/>
        <v>61.571397075949342</v>
      </c>
      <c r="I144" s="226">
        <f t="shared" si="10"/>
        <v>0</v>
      </c>
      <c r="J144" s="42">
        <f t="shared" si="11"/>
        <v>0</v>
      </c>
      <c r="K144" s="5"/>
      <c r="L144" s="10"/>
      <c r="M144" s="11"/>
      <c r="R144" s="11"/>
    </row>
    <row r="145" spans="1:18" x14ac:dyDescent="0.25">
      <c r="A145" s="38">
        <f>Données!A145</f>
        <v>5645</v>
      </c>
      <c r="B145" s="200" t="str">
        <f>Données!B145</f>
        <v>Romanel-sur-Morges</v>
      </c>
      <c r="C145" s="353">
        <f>VPI!R145</f>
        <v>27311.487285492814</v>
      </c>
      <c r="D145" s="544">
        <f>Données!AP145</f>
        <v>36.950699760608622</v>
      </c>
      <c r="E145" s="422">
        <f>VPI!Q145</f>
        <v>56</v>
      </c>
      <c r="F145" s="244">
        <f t="shared" si="8"/>
        <v>19.049300239391378</v>
      </c>
      <c r="G145" s="241">
        <f>Effort!I145+Aide!I145/Taux!C145+Effort!K145/Taux!C145</f>
        <v>31.760843936803628</v>
      </c>
      <c r="H145" s="83">
        <f t="shared" si="9"/>
        <v>50.81014417619501</v>
      </c>
      <c r="I145" s="226">
        <f t="shared" si="10"/>
        <v>0</v>
      </c>
      <c r="J145" s="42">
        <f t="shared" si="11"/>
        <v>0</v>
      </c>
      <c r="K145" s="5"/>
      <c r="L145" s="10"/>
      <c r="M145" s="11"/>
      <c r="R145" s="11"/>
    </row>
    <row r="146" spans="1:18" x14ac:dyDescent="0.25">
      <c r="A146" s="38">
        <f>Données!A146</f>
        <v>5646</v>
      </c>
      <c r="B146" s="200" t="str">
        <f>Données!B146</f>
        <v>Saint-Prex</v>
      </c>
      <c r="C146" s="353">
        <f>VPI!R146</f>
        <v>536854.93998205999</v>
      </c>
      <c r="D146" s="544">
        <f>Données!AP146</f>
        <v>34.672255382200191</v>
      </c>
      <c r="E146" s="422">
        <f>VPI!Q146</f>
        <v>55</v>
      </c>
      <c r="F146" s="244">
        <f t="shared" si="8"/>
        <v>20.327744617799809</v>
      </c>
      <c r="G146" s="241">
        <f>Effort!I146+Aide!I146/Taux!C146+Effort!K146/Taux!C146</f>
        <v>38.386432709369117</v>
      </c>
      <c r="H146" s="83">
        <f t="shared" si="9"/>
        <v>58.714177327168926</v>
      </c>
      <c r="I146" s="226">
        <f t="shared" si="10"/>
        <v>0</v>
      </c>
      <c r="J146" s="42">
        <f t="shared" si="11"/>
        <v>0</v>
      </c>
      <c r="K146" s="5"/>
      <c r="L146" s="10"/>
      <c r="M146" s="11"/>
      <c r="R146" s="11"/>
    </row>
    <row r="147" spans="1:18" x14ac:dyDescent="0.25">
      <c r="A147" s="38">
        <f>Données!A147</f>
        <v>5648</v>
      </c>
      <c r="B147" s="200" t="str">
        <f>Données!B147</f>
        <v>Saint-Sulpice</v>
      </c>
      <c r="C147" s="353">
        <f>VPI!R147</f>
        <v>395932.06546066038</v>
      </c>
      <c r="D147" s="544">
        <f>Données!AP147</f>
        <v>37.904048526567763</v>
      </c>
      <c r="E147" s="422">
        <f>VPI!Q147</f>
        <v>55</v>
      </c>
      <c r="F147" s="244">
        <f t="shared" si="8"/>
        <v>17.095951473432237</v>
      </c>
      <c r="G147" s="241">
        <f>Effort!I147+Aide!I147/Taux!C147+Effort!K147/Taux!C147</f>
        <v>36.500079515551164</v>
      </c>
      <c r="H147" s="83">
        <f t="shared" si="9"/>
        <v>53.596030988983401</v>
      </c>
      <c r="I147" s="226">
        <f t="shared" si="10"/>
        <v>0</v>
      </c>
      <c r="J147" s="42">
        <f t="shared" si="11"/>
        <v>0</v>
      </c>
      <c r="K147" s="5"/>
      <c r="L147" s="10"/>
      <c r="M147" s="11"/>
      <c r="R147" s="11"/>
    </row>
    <row r="148" spans="1:18" x14ac:dyDescent="0.25">
      <c r="A148" s="38">
        <f>Données!A148</f>
        <v>5649</v>
      </c>
      <c r="B148" s="200" t="str">
        <f>Données!B148</f>
        <v>Tolochenaz</v>
      </c>
      <c r="C148" s="353">
        <f>VPI!R148</f>
        <v>197599.65546190951</v>
      </c>
      <c r="D148" s="544">
        <f>Données!AP148</f>
        <v>32.555473990060968</v>
      </c>
      <c r="E148" s="422">
        <f>VPI!Q148</f>
        <v>65</v>
      </c>
      <c r="F148" s="244">
        <f t="shared" si="8"/>
        <v>32.444526009939032</v>
      </c>
      <c r="G148" s="241">
        <f>Effort!I148+Aide!I148/Taux!C148+Effort!K148/Taux!C148</f>
        <v>44.844592737779749</v>
      </c>
      <c r="H148" s="83">
        <f t="shared" si="9"/>
        <v>77.289118747718788</v>
      </c>
      <c r="I148" s="226">
        <f t="shared" si="10"/>
        <v>0</v>
      </c>
      <c r="J148" s="42">
        <f t="shared" si="11"/>
        <v>0</v>
      </c>
      <c r="K148" s="5"/>
      <c r="L148" s="10"/>
      <c r="M148" s="11"/>
      <c r="R148" s="11"/>
    </row>
    <row r="149" spans="1:18" x14ac:dyDescent="0.25">
      <c r="A149" s="38">
        <f>Données!A149</f>
        <v>5650</v>
      </c>
      <c r="B149" s="200" t="str">
        <f>Données!B149</f>
        <v>Vaux-sur-Morges</v>
      </c>
      <c r="C149" s="353">
        <f>VPI!R149</f>
        <v>63000.299031725983</v>
      </c>
      <c r="D149" s="544">
        <f>Données!AP149</f>
        <v>48.000000000000007</v>
      </c>
      <c r="E149" s="422">
        <f>VPI!Q149</f>
        <v>56</v>
      </c>
      <c r="F149" s="244">
        <f t="shared" si="8"/>
        <v>7.9999999999999929</v>
      </c>
      <c r="G149" s="241">
        <f>Effort!I149+Aide!I149/Taux!C149+Effort!K149/Taux!C149</f>
        <v>48</v>
      </c>
      <c r="H149" s="83">
        <f t="shared" si="9"/>
        <v>55.999999999999993</v>
      </c>
      <c r="I149" s="226">
        <f t="shared" si="10"/>
        <v>0</v>
      </c>
      <c r="J149" s="42">
        <f t="shared" si="11"/>
        <v>0</v>
      </c>
      <c r="K149" s="5"/>
      <c r="L149" s="10"/>
      <c r="M149" s="11"/>
      <c r="R149" s="11"/>
    </row>
    <row r="150" spans="1:18" x14ac:dyDescent="0.25">
      <c r="A150" s="38">
        <f>Données!A150</f>
        <v>5651</v>
      </c>
      <c r="B150" s="200" t="str">
        <f>Données!B150</f>
        <v>Villars-Sainte-Croix</v>
      </c>
      <c r="C150" s="353">
        <f>VPI!R150</f>
        <v>55609.921242717981</v>
      </c>
      <c r="D150" s="544">
        <f>Données!AP150</f>
        <v>36.360510122458237</v>
      </c>
      <c r="E150" s="422">
        <f>VPI!Q150</f>
        <v>60.5</v>
      </c>
      <c r="F150" s="244">
        <f t="shared" si="8"/>
        <v>24.139489877541763</v>
      </c>
      <c r="G150" s="241">
        <f>Effort!I150+Aide!I150/Taux!C150+Effort!K150/Taux!C150</f>
        <v>34.371431262971619</v>
      </c>
      <c r="H150" s="83">
        <f t="shared" si="9"/>
        <v>58.510921140513382</v>
      </c>
      <c r="I150" s="226">
        <f t="shared" si="10"/>
        <v>0</v>
      </c>
      <c r="J150" s="42">
        <f t="shared" si="11"/>
        <v>0</v>
      </c>
      <c r="K150" s="5"/>
      <c r="L150" s="10"/>
      <c r="M150" s="11"/>
      <c r="R150" s="11"/>
    </row>
    <row r="151" spans="1:18" x14ac:dyDescent="0.25">
      <c r="A151" s="38">
        <f>Données!A151</f>
        <v>5652</v>
      </c>
      <c r="B151" s="200" t="str">
        <f>Données!B151</f>
        <v>Villars-sous-Yens</v>
      </c>
      <c r="C151" s="353">
        <f>VPI!R151</f>
        <v>25655.145757874605</v>
      </c>
      <c r="D151" s="544">
        <f>Données!AP151</f>
        <v>35.070587978860324</v>
      </c>
      <c r="E151" s="422">
        <f>VPI!Q151</f>
        <v>76</v>
      </c>
      <c r="F151" s="244">
        <f t="shared" si="8"/>
        <v>40.929412021139676</v>
      </c>
      <c r="G151" s="241">
        <f>Effort!I151+Aide!I151/Taux!C151+Effort!K151/Taux!C151</f>
        <v>27.774096200474546</v>
      </c>
      <c r="H151" s="83">
        <f t="shared" si="9"/>
        <v>68.703508221614214</v>
      </c>
      <c r="I151" s="226">
        <f t="shared" si="10"/>
        <v>0</v>
      </c>
      <c r="J151" s="42">
        <f t="shared" si="11"/>
        <v>0</v>
      </c>
      <c r="K151" s="5"/>
      <c r="L151" s="10"/>
      <c r="M151" s="11"/>
      <c r="R151" s="11"/>
    </row>
    <row r="152" spans="1:18" x14ac:dyDescent="0.25">
      <c r="A152" s="38">
        <f>Données!A152</f>
        <v>5653</v>
      </c>
      <c r="B152" s="200" t="str">
        <f>Données!B152</f>
        <v>Vufflens-le-Château</v>
      </c>
      <c r="C152" s="353">
        <f>VPI!R152</f>
        <v>68766.939221326931</v>
      </c>
      <c r="D152" s="544">
        <f>Données!AP152</f>
        <v>41.518717504839877</v>
      </c>
      <c r="E152" s="422">
        <f>VPI!Q152</f>
        <v>58.5</v>
      </c>
      <c r="F152" s="244">
        <f t="shared" si="8"/>
        <v>16.981282495160123</v>
      </c>
      <c r="G152" s="241">
        <f>Effort!I152+Aide!I152/Taux!C152+Effort!K152/Taux!C152</f>
        <v>39.526988311110223</v>
      </c>
      <c r="H152" s="83">
        <f t="shared" si="9"/>
        <v>56.508270806270346</v>
      </c>
      <c r="I152" s="226">
        <f t="shared" si="10"/>
        <v>0</v>
      </c>
      <c r="J152" s="42">
        <f t="shared" si="11"/>
        <v>0</v>
      </c>
      <c r="K152" s="5"/>
      <c r="L152" s="10"/>
      <c r="M152" s="11"/>
      <c r="R152" s="11"/>
    </row>
    <row r="153" spans="1:18" x14ac:dyDescent="0.25">
      <c r="A153" s="38">
        <f>Données!A153</f>
        <v>5654</v>
      </c>
      <c r="B153" s="200" t="str">
        <f>Données!B153</f>
        <v>Vullierens</v>
      </c>
      <c r="C153" s="353">
        <f>VPI!R153</f>
        <v>19265.305994004091</v>
      </c>
      <c r="D153" s="544">
        <f>Données!AP153</f>
        <v>24.35335188426637</v>
      </c>
      <c r="E153" s="422">
        <f>VPI!Q153</f>
        <v>76</v>
      </c>
      <c r="F153" s="244">
        <f t="shared" si="8"/>
        <v>51.646648115733626</v>
      </c>
      <c r="G153" s="241">
        <f>Effort!I153+Aide!I153/Taux!C153+Effort!K153/Taux!C153</f>
        <v>22.059682025880051</v>
      </c>
      <c r="H153" s="83">
        <f t="shared" si="9"/>
        <v>73.706330141613677</v>
      </c>
      <c r="I153" s="226">
        <f t="shared" si="10"/>
        <v>0</v>
      </c>
      <c r="J153" s="42">
        <f t="shared" si="11"/>
        <v>0</v>
      </c>
      <c r="K153" s="5"/>
      <c r="L153" s="10"/>
      <c r="M153" s="11"/>
      <c r="R153" s="11"/>
    </row>
    <row r="154" spans="1:18" x14ac:dyDescent="0.25">
      <c r="A154" s="38">
        <f>Données!A154</f>
        <v>5655</v>
      </c>
      <c r="B154" s="200" t="str">
        <f>Données!B154</f>
        <v>Yens</v>
      </c>
      <c r="C154" s="353">
        <f>VPI!R154</f>
        <v>90850.412022589255</v>
      </c>
      <c r="D154" s="544">
        <f>Données!AP154</f>
        <v>32.888764073188867</v>
      </c>
      <c r="E154" s="422">
        <f>VPI!Q154</f>
        <v>71.5</v>
      </c>
      <c r="F154" s="244">
        <f t="shared" si="8"/>
        <v>38.611235926811133</v>
      </c>
      <c r="G154" s="241">
        <f>Effort!I154+Aide!I154/Taux!C154+Effort!K154/Taux!C154</f>
        <v>34.797999653755596</v>
      </c>
      <c r="H154" s="83">
        <f t="shared" si="9"/>
        <v>73.40923558056673</v>
      </c>
      <c r="I154" s="226">
        <f t="shared" si="10"/>
        <v>0</v>
      </c>
      <c r="J154" s="42">
        <f t="shared" si="11"/>
        <v>0</v>
      </c>
      <c r="K154" s="5"/>
      <c r="L154" s="10"/>
      <c r="M154" s="11"/>
      <c r="R154" s="11"/>
    </row>
    <row r="155" spans="1:18" x14ac:dyDescent="0.25">
      <c r="A155" s="38">
        <f>Données!A155</f>
        <v>5656</v>
      </c>
      <c r="B155" s="200" t="str">
        <f>Données!B155</f>
        <v>Hautemorges</v>
      </c>
      <c r="C155" s="353">
        <f>VPI!R155</f>
        <v>160995.06048587704</v>
      </c>
      <c r="D155" s="544">
        <f>Données!AP155</f>
        <v>28.05839966296805</v>
      </c>
      <c r="E155" s="422">
        <f>VPI!Q155</f>
        <v>74.06</v>
      </c>
      <c r="F155" s="244">
        <f t="shared" si="8"/>
        <v>46.001600337031952</v>
      </c>
      <c r="G155" s="241">
        <f>Effort!I155+Aide!I155/Taux!C155+Effort!K155/Taux!C155</f>
        <v>21.421482186061027</v>
      </c>
      <c r="H155" s="83">
        <f t="shared" si="9"/>
        <v>67.423082523092972</v>
      </c>
      <c r="I155" s="226">
        <f t="shared" si="10"/>
        <v>0</v>
      </c>
      <c r="J155" s="42">
        <f t="shared" si="11"/>
        <v>0</v>
      </c>
      <c r="K155" s="5"/>
      <c r="L155" s="10"/>
      <c r="M155" s="11"/>
      <c r="R155" s="11"/>
    </row>
    <row r="156" spans="1:18" x14ac:dyDescent="0.25">
      <c r="A156" s="38">
        <f>Données!A156</f>
        <v>5661</v>
      </c>
      <c r="B156" s="200" t="str">
        <f>Données!B156</f>
        <v>Boulens</v>
      </c>
      <c r="C156" s="353">
        <f>VPI!R156</f>
        <v>10163.82569082424</v>
      </c>
      <c r="D156" s="544">
        <f>Données!AP156</f>
        <v>16.798020683146866</v>
      </c>
      <c r="E156" s="422">
        <f>VPI!Q156</f>
        <v>71.5</v>
      </c>
      <c r="F156" s="244">
        <f t="shared" si="8"/>
        <v>54.701979316853134</v>
      </c>
      <c r="G156" s="241">
        <f>Effort!I156+Aide!I156/Taux!C156+Effort!K156/Taux!C156</f>
        <v>14.095302305094293</v>
      </c>
      <c r="H156" s="83">
        <f t="shared" si="9"/>
        <v>68.797281621947434</v>
      </c>
      <c r="I156" s="226">
        <f t="shared" si="10"/>
        <v>0</v>
      </c>
      <c r="J156" s="42">
        <f t="shared" si="11"/>
        <v>0</v>
      </c>
      <c r="K156" s="5"/>
      <c r="L156" s="10"/>
      <c r="M156" s="11"/>
      <c r="R156" s="11"/>
    </row>
    <row r="157" spans="1:18" x14ac:dyDescent="0.25">
      <c r="A157" s="38">
        <f>Données!A157</f>
        <v>5663</v>
      </c>
      <c r="B157" s="200" t="str">
        <f>Données!B157</f>
        <v>Bussy-sur-Moudon</v>
      </c>
      <c r="C157" s="353">
        <f>VPI!R157</f>
        <v>5406.7758852371026</v>
      </c>
      <c r="D157" s="544">
        <f>Données!AP157</f>
        <v>16.171549455529753</v>
      </c>
      <c r="E157" s="422">
        <f>VPI!Q157</f>
        <v>80</v>
      </c>
      <c r="F157" s="244">
        <f t="shared" si="8"/>
        <v>63.828450544470243</v>
      </c>
      <c r="G157" s="241">
        <f>Effort!I157+Aide!I157/Taux!C157+Effort!K157/Taux!C157</f>
        <v>6.4806959977672598</v>
      </c>
      <c r="H157" s="83">
        <f t="shared" si="9"/>
        <v>70.309146542237499</v>
      </c>
      <c r="I157" s="226">
        <f t="shared" si="10"/>
        <v>0</v>
      </c>
      <c r="J157" s="42">
        <f t="shared" si="11"/>
        <v>0</v>
      </c>
      <c r="K157" s="5"/>
      <c r="L157" s="10"/>
      <c r="M157" s="11"/>
      <c r="R157" s="11"/>
    </row>
    <row r="158" spans="1:18" x14ac:dyDescent="0.25">
      <c r="A158" s="38">
        <f>Données!A158</f>
        <v>5665</v>
      </c>
      <c r="B158" s="200" t="str">
        <f>Données!B158</f>
        <v>Chavannes-sur-Moudon</v>
      </c>
      <c r="C158" s="353">
        <f>VPI!R158</f>
        <v>6834.7640808977276</v>
      </c>
      <c r="D158" s="544">
        <f>Données!AP158</f>
        <v>7.4302439035808705</v>
      </c>
      <c r="E158" s="422">
        <f>VPI!Q158</f>
        <v>73</v>
      </c>
      <c r="F158" s="244">
        <f t="shared" si="8"/>
        <v>65.569756096419127</v>
      </c>
      <c r="G158" s="241">
        <f>Effort!I158+Aide!I158/Taux!C158+Effort!K158/Taux!C158</f>
        <v>18.58959550509848</v>
      </c>
      <c r="H158" s="83">
        <f t="shared" si="9"/>
        <v>84.159351601517614</v>
      </c>
      <c r="I158" s="226">
        <f t="shared" si="10"/>
        <v>0</v>
      </c>
      <c r="J158" s="42">
        <f t="shared" si="11"/>
        <v>0</v>
      </c>
      <c r="K158" s="5"/>
      <c r="L158" s="10"/>
      <c r="M158" s="11"/>
      <c r="R158" s="11"/>
    </row>
    <row r="159" spans="1:18" x14ac:dyDescent="0.25">
      <c r="A159" s="38">
        <f>Données!A159</f>
        <v>5669</v>
      </c>
      <c r="B159" s="200" t="str">
        <f>Données!B159</f>
        <v>Curtilles</v>
      </c>
      <c r="C159" s="353">
        <f>VPI!R159</f>
        <v>10284.99372876246</v>
      </c>
      <c r="D159" s="544">
        <f>Données!AP159</f>
        <v>21.558723786461687</v>
      </c>
      <c r="E159" s="422">
        <f>VPI!Q159</f>
        <v>73</v>
      </c>
      <c r="F159" s="244">
        <f t="shared" si="8"/>
        <v>51.441276213538316</v>
      </c>
      <c r="G159" s="241">
        <f>Effort!I159+Aide!I159/Taux!C159+Effort!K159/Taux!C159</f>
        <v>22.648038054907836</v>
      </c>
      <c r="H159" s="83">
        <f t="shared" si="9"/>
        <v>74.089314268446145</v>
      </c>
      <c r="I159" s="226">
        <f t="shared" si="10"/>
        <v>0</v>
      </c>
      <c r="J159" s="42">
        <f t="shared" si="11"/>
        <v>0</v>
      </c>
      <c r="K159" s="5"/>
      <c r="L159" s="10"/>
      <c r="M159" s="11"/>
      <c r="R159" s="11"/>
    </row>
    <row r="160" spans="1:18" x14ac:dyDescent="0.25">
      <c r="A160" s="38">
        <f>Données!A160</f>
        <v>5671</v>
      </c>
      <c r="B160" s="200" t="str">
        <f>Données!B160</f>
        <v>Dompierre</v>
      </c>
      <c r="C160" s="353">
        <f>VPI!R160</f>
        <v>6033.0922485669453</v>
      </c>
      <c r="D160" s="544">
        <f>Données!AP160</f>
        <v>14.603087631590739</v>
      </c>
      <c r="E160" s="422">
        <f>VPI!Q160</f>
        <v>78</v>
      </c>
      <c r="F160" s="244">
        <f t="shared" si="8"/>
        <v>63.396912368409261</v>
      </c>
      <c r="G160" s="241">
        <f>Effort!I160+Aide!I160/Taux!C160+Effort!K160/Taux!C160</f>
        <v>-0.32945851769701662</v>
      </c>
      <c r="H160" s="83">
        <f t="shared" si="9"/>
        <v>63.067453850712241</v>
      </c>
      <c r="I160" s="226">
        <f t="shared" si="10"/>
        <v>0</v>
      </c>
      <c r="J160" s="42">
        <f t="shared" si="11"/>
        <v>0</v>
      </c>
      <c r="K160" s="5"/>
      <c r="L160" s="10"/>
      <c r="M160" s="11"/>
      <c r="R160" s="11"/>
    </row>
    <row r="161" spans="1:18" x14ac:dyDescent="0.25">
      <c r="A161" s="38">
        <f>Données!A161</f>
        <v>5673</v>
      </c>
      <c r="B161" s="200" t="str">
        <f>Données!B161</f>
        <v>Hermenches</v>
      </c>
      <c r="C161" s="353">
        <f>VPI!R161</f>
        <v>10638.00475305371</v>
      </c>
      <c r="D161" s="544">
        <f>Données!AP161</f>
        <v>14.710139072713753</v>
      </c>
      <c r="E161" s="422">
        <f>VPI!Q161</f>
        <v>73.5</v>
      </c>
      <c r="F161" s="244">
        <f t="shared" si="8"/>
        <v>58.789860927286249</v>
      </c>
      <c r="G161" s="241">
        <f>Effort!I161+Aide!I161/Taux!C161+Effort!K161/Taux!C161</f>
        <v>9.7694334430977836</v>
      </c>
      <c r="H161" s="83">
        <f t="shared" si="9"/>
        <v>68.559294370384038</v>
      </c>
      <c r="I161" s="226">
        <f t="shared" si="10"/>
        <v>0</v>
      </c>
      <c r="J161" s="42">
        <f t="shared" si="11"/>
        <v>0</v>
      </c>
      <c r="K161" s="5"/>
      <c r="L161" s="10"/>
      <c r="M161" s="11"/>
      <c r="R161" s="11"/>
    </row>
    <row r="162" spans="1:18" x14ac:dyDescent="0.25">
      <c r="A162" s="38">
        <f>Données!A162</f>
        <v>5674</v>
      </c>
      <c r="B162" s="200" t="str">
        <f>Données!B162</f>
        <v>Lovatens</v>
      </c>
      <c r="C162" s="353">
        <f>VPI!R162</f>
        <v>3430.6671539886806</v>
      </c>
      <c r="D162" s="544">
        <f>Données!AP162</f>
        <v>8.625034088610807</v>
      </c>
      <c r="E162" s="422">
        <f>VPI!Q162</f>
        <v>75</v>
      </c>
      <c r="F162" s="244">
        <f t="shared" si="8"/>
        <v>66.374965911389197</v>
      </c>
      <c r="G162" s="241">
        <f>Effort!I162+Aide!I162/Taux!C162+Effort!K162/Taux!C162</f>
        <v>-0.53581074646487536</v>
      </c>
      <c r="H162" s="83">
        <f t="shared" si="9"/>
        <v>65.839155164924321</v>
      </c>
      <c r="I162" s="226">
        <f t="shared" si="10"/>
        <v>0</v>
      </c>
      <c r="J162" s="42">
        <f t="shared" si="11"/>
        <v>0</v>
      </c>
      <c r="K162" s="5"/>
      <c r="L162" s="10"/>
      <c r="M162" s="11"/>
      <c r="R162" s="11"/>
    </row>
    <row r="163" spans="1:18" x14ac:dyDescent="0.25">
      <c r="A163" s="38">
        <f>Données!A163</f>
        <v>5675</v>
      </c>
      <c r="B163" s="200" t="str">
        <f>Données!B163</f>
        <v>Lucens</v>
      </c>
      <c r="C163" s="353">
        <f>VPI!R163</f>
        <v>96952.062979645387</v>
      </c>
      <c r="D163" s="544">
        <f>Données!AP163</f>
        <v>1.3846109487591272</v>
      </c>
      <c r="E163" s="422">
        <f>VPI!Q163</f>
        <v>67.5</v>
      </c>
      <c r="F163" s="244">
        <f t="shared" si="8"/>
        <v>66.115389051240868</v>
      </c>
      <c r="G163" s="241">
        <f>Effort!I163+Aide!I163/Taux!C163+Effort!K163/Taux!C163</f>
        <v>-6.5375128876159714</v>
      </c>
      <c r="H163" s="83">
        <f t="shared" si="9"/>
        <v>59.577876163624893</v>
      </c>
      <c r="I163" s="226">
        <f t="shared" si="10"/>
        <v>0</v>
      </c>
      <c r="J163" s="42">
        <f t="shared" si="11"/>
        <v>0</v>
      </c>
      <c r="K163" s="5"/>
      <c r="L163" s="10"/>
      <c r="M163" s="11"/>
      <c r="R163" s="11"/>
    </row>
    <row r="164" spans="1:18" x14ac:dyDescent="0.25">
      <c r="A164" s="38">
        <f>Données!A164</f>
        <v>5678</v>
      </c>
      <c r="B164" s="200" t="str">
        <f>Données!B164</f>
        <v>Moudon</v>
      </c>
      <c r="C164" s="353">
        <f>VPI!R164</f>
        <v>124861.70956096463</v>
      </c>
      <c r="D164" s="544">
        <f>Données!AP164</f>
        <v>-12.390257780755638</v>
      </c>
      <c r="E164" s="422">
        <f>VPI!Q164</f>
        <v>72.5</v>
      </c>
      <c r="F164" s="244">
        <f t="shared" si="8"/>
        <v>84.890257780755633</v>
      </c>
      <c r="G164" s="241">
        <f>Effort!I164+Aide!I164/Taux!C164+Effort!K164/Taux!C164</f>
        <v>-22.272576166253245</v>
      </c>
      <c r="H164" s="83">
        <f t="shared" si="9"/>
        <v>62.617681614502388</v>
      </c>
      <c r="I164" s="226">
        <f t="shared" si="10"/>
        <v>0</v>
      </c>
      <c r="J164" s="42">
        <f t="shared" si="11"/>
        <v>0</v>
      </c>
      <c r="K164" s="5"/>
      <c r="L164" s="10"/>
      <c r="M164" s="11"/>
      <c r="R164" s="11"/>
    </row>
    <row r="165" spans="1:18" x14ac:dyDescent="0.25">
      <c r="A165" s="38">
        <f>Données!A165</f>
        <v>5680</v>
      </c>
      <c r="B165" s="200" t="str">
        <f>Données!B165</f>
        <v>Ogens</v>
      </c>
      <c r="C165" s="353">
        <f>VPI!R165</f>
        <v>8674.1647445530853</v>
      </c>
      <c r="D165" s="544">
        <f>Données!AP165</f>
        <v>1.3657089714874913</v>
      </c>
      <c r="E165" s="422">
        <f>VPI!Q165</f>
        <v>78</v>
      </c>
      <c r="F165" s="244">
        <f t="shared" si="8"/>
        <v>76.634291028512507</v>
      </c>
      <c r="G165" s="241">
        <f>Effort!I165+Aide!I165/Taux!C165+Effort!K165/Taux!C165</f>
        <v>14.10274471224978</v>
      </c>
      <c r="H165" s="83">
        <f t="shared" si="9"/>
        <v>90.737035740762281</v>
      </c>
      <c r="I165" s="226">
        <f t="shared" si="10"/>
        <v>0</v>
      </c>
      <c r="J165" s="42">
        <f t="shared" si="11"/>
        <v>0</v>
      </c>
      <c r="K165" s="5"/>
      <c r="L165" s="10"/>
      <c r="M165" s="11"/>
      <c r="R165" s="11"/>
    </row>
    <row r="166" spans="1:18" x14ac:dyDescent="0.25">
      <c r="A166" s="38">
        <f>Données!A166</f>
        <v>5683</v>
      </c>
      <c r="B166" s="200" t="str">
        <f>Données!B166</f>
        <v>Prévonloup</v>
      </c>
      <c r="C166" s="353">
        <f>VPI!R166</f>
        <v>5010.6526896551723</v>
      </c>
      <c r="D166" s="544">
        <f>Données!AP166</f>
        <v>8.8831986036095358</v>
      </c>
      <c r="E166" s="422">
        <f>VPI!Q166</f>
        <v>72.5</v>
      </c>
      <c r="F166" s="244">
        <f t="shared" si="8"/>
        <v>63.616801396390464</v>
      </c>
      <c r="G166" s="241">
        <f>Effort!I166+Aide!I166/Taux!C166+Effort!K166/Taux!C166</f>
        <v>10.666134004683578</v>
      </c>
      <c r="H166" s="83">
        <f t="shared" si="9"/>
        <v>74.282935401074042</v>
      </c>
      <c r="I166" s="226">
        <f t="shared" si="10"/>
        <v>0</v>
      </c>
      <c r="J166" s="42">
        <f t="shared" si="11"/>
        <v>0</v>
      </c>
      <c r="K166" s="5"/>
      <c r="L166" s="10"/>
      <c r="M166" s="11"/>
      <c r="R166" s="11"/>
    </row>
    <row r="167" spans="1:18" x14ac:dyDescent="0.25">
      <c r="A167" s="38">
        <f>Données!A167</f>
        <v>5684</v>
      </c>
      <c r="B167" s="200" t="str">
        <f>Données!B167</f>
        <v>Rossenges</v>
      </c>
      <c r="C167" s="353">
        <f>VPI!R167</f>
        <v>4335.3702000000012</v>
      </c>
      <c r="D167" s="544">
        <f>Données!AP167</f>
        <v>26.099593993517068</v>
      </c>
      <c r="E167" s="422">
        <f>VPI!Q167</f>
        <v>75</v>
      </c>
      <c r="F167" s="244">
        <f t="shared" si="8"/>
        <v>48.900406006482932</v>
      </c>
      <c r="G167" s="241">
        <f>Effort!I167+Aide!I167/Taux!C167+Effort!K167/Taux!C167</f>
        <v>32.935110682338461</v>
      </c>
      <c r="H167" s="83">
        <f t="shared" si="9"/>
        <v>81.8355166888214</v>
      </c>
      <c r="I167" s="226">
        <f t="shared" si="10"/>
        <v>0</v>
      </c>
      <c r="J167" s="42">
        <f t="shared" si="11"/>
        <v>0</v>
      </c>
      <c r="K167" s="5"/>
      <c r="L167" s="10"/>
      <c r="M167" s="11"/>
      <c r="R167" s="11"/>
    </row>
    <row r="168" spans="1:18" x14ac:dyDescent="0.25">
      <c r="A168" s="38">
        <f>Données!A168</f>
        <v>5688</v>
      </c>
      <c r="B168" s="200" t="str">
        <f>Données!B168</f>
        <v>Syens</v>
      </c>
      <c r="C168" s="353">
        <f>VPI!R168</f>
        <v>5090.9474673292525</v>
      </c>
      <c r="D168" s="544">
        <f>Données!AP168</f>
        <v>-8.0446660339328027</v>
      </c>
      <c r="E168" s="422">
        <f>VPI!Q168</f>
        <v>75.599999999999994</v>
      </c>
      <c r="F168" s="244">
        <f t="shared" si="8"/>
        <v>83.644666033932793</v>
      </c>
      <c r="G168" s="241">
        <f>Effort!I168+Aide!I168/Taux!C168+Effort!K168/Taux!C168</f>
        <v>18.548703730628421</v>
      </c>
      <c r="H168" s="83">
        <f t="shared" si="9"/>
        <v>102.19336976456121</v>
      </c>
      <c r="I168" s="226">
        <f t="shared" si="10"/>
        <v>10.005369764561209</v>
      </c>
      <c r="J168" s="42">
        <f t="shared" si="11"/>
        <v>-50936.811862585564</v>
      </c>
      <c r="K168" s="5"/>
      <c r="L168" s="10"/>
      <c r="M168" s="11"/>
      <c r="R168" s="11"/>
    </row>
    <row r="169" spans="1:18" x14ac:dyDescent="0.25">
      <c r="A169" s="38">
        <f>Données!A169</f>
        <v>5690</v>
      </c>
      <c r="B169" s="200" t="str">
        <f>Données!B169</f>
        <v>Villars-le-Comte</v>
      </c>
      <c r="C169" s="353">
        <f>VPI!R169</f>
        <v>3483.6555381452017</v>
      </c>
      <c r="D169" s="544">
        <f>Données!AP169</f>
        <v>13.246487577417374</v>
      </c>
      <c r="E169" s="422">
        <f>VPI!Q169</f>
        <v>70</v>
      </c>
      <c r="F169" s="244">
        <f t="shared" si="8"/>
        <v>56.753512422582624</v>
      </c>
      <c r="G169" s="241">
        <f>Effort!I169+Aide!I169/Taux!C169+Effort!K169/Taux!C169</f>
        <v>15.136790918237866</v>
      </c>
      <c r="H169" s="83">
        <f t="shared" si="9"/>
        <v>71.890303340820495</v>
      </c>
      <c r="I169" s="226">
        <f t="shared" si="10"/>
        <v>0</v>
      </c>
      <c r="J169" s="42">
        <f t="shared" si="11"/>
        <v>0</v>
      </c>
      <c r="K169" s="5"/>
      <c r="L169" s="10"/>
      <c r="M169" s="11"/>
      <c r="R169" s="11"/>
    </row>
    <row r="170" spans="1:18" x14ac:dyDescent="0.25">
      <c r="A170" s="38">
        <f>Données!A170</f>
        <v>5692</v>
      </c>
      <c r="B170" s="200" t="str">
        <f>Données!B170</f>
        <v>Vucherens</v>
      </c>
      <c r="C170" s="353">
        <f>VPI!R170</f>
        <v>18080.765402288005</v>
      </c>
      <c r="D170" s="544">
        <f>Données!AP170</f>
        <v>13.911816564019407</v>
      </c>
      <c r="E170" s="422">
        <f>VPI!Q170</f>
        <v>77</v>
      </c>
      <c r="F170" s="244">
        <f t="shared" si="8"/>
        <v>63.088183435980596</v>
      </c>
      <c r="G170" s="241">
        <f>Effort!I170+Aide!I170/Taux!C170+Effort!K170/Taux!C170</f>
        <v>11.473415207713096</v>
      </c>
      <c r="H170" s="83">
        <f t="shared" si="9"/>
        <v>74.561598643693685</v>
      </c>
      <c r="I170" s="226">
        <f t="shared" si="10"/>
        <v>0</v>
      </c>
      <c r="J170" s="42">
        <f t="shared" si="11"/>
        <v>0</v>
      </c>
      <c r="K170" s="5"/>
      <c r="L170" s="10"/>
      <c r="M170" s="11"/>
      <c r="R170" s="11"/>
    </row>
    <row r="171" spans="1:18" x14ac:dyDescent="0.25">
      <c r="A171" s="38">
        <f>Données!A171</f>
        <v>5693</v>
      </c>
      <c r="B171" s="200" t="str">
        <f>Données!B171</f>
        <v>Montanaire</v>
      </c>
      <c r="C171" s="353">
        <f>VPI!R171</f>
        <v>71109.274307717249</v>
      </c>
      <c r="D171" s="544">
        <f>Données!AP171</f>
        <v>8.8019822521556979</v>
      </c>
      <c r="E171" s="422">
        <f>VPI!Q171</f>
        <v>72</v>
      </c>
      <c r="F171" s="244">
        <f t="shared" si="8"/>
        <v>63.198017747844304</v>
      </c>
      <c r="G171" s="241">
        <f>Effort!I171+Aide!I171/Taux!C171+Effort!K171/Taux!C171</f>
        <v>0.51994116920753797</v>
      </c>
      <c r="H171" s="83">
        <f t="shared" si="9"/>
        <v>63.717958917051845</v>
      </c>
      <c r="I171" s="226">
        <f t="shared" si="10"/>
        <v>0</v>
      </c>
      <c r="J171" s="42">
        <f t="shared" si="11"/>
        <v>0</v>
      </c>
      <c r="K171" s="5"/>
      <c r="L171" s="10"/>
      <c r="M171" s="11"/>
      <c r="R171" s="11"/>
    </row>
    <row r="172" spans="1:18" x14ac:dyDescent="0.25">
      <c r="A172" s="38">
        <f>Données!A172</f>
        <v>5701</v>
      </c>
      <c r="B172" s="200" t="str">
        <f>Données!B172</f>
        <v>Arnex-sur-Nyon</v>
      </c>
      <c r="C172" s="353">
        <f>VPI!R172</f>
        <v>12577.692288260665</v>
      </c>
      <c r="D172" s="544">
        <f>Données!AP172</f>
        <v>34.432885125631657</v>
      </c>
      <c r="E172" s="422">
        <f>VPI!Q172</f>
        <v>70</v>
      </c>
      <c r="F172" s="244">
        <f t="shared" si="8"/>
        <v>35.567114874368343</v>
      </c>
      <c r="G172" s="241">
        <f>Effort!I172+Aide!I172/Taux!C172+Effort!K172/Taux!C172</f>
        <v>33.056288302761459</v>
      </c>
      <c r="H172" s="83">
        <f t="shared" si="9"/>
        <v>68.623403177129802</v>
      </c>
      <c r="I172" s="226">
        <f t="shared" si="10"/>
        <v>0</v>
      </c>
      <c r="J172" s="42">
        <f t="shared" si="11"/>
        <v>0</v>
      </c>
      <c r="K172" s="5"/>
      <c r="L172" s="10"/>
      <c r="M172" s="11"/>
      <c r="R172" s="11"/>
    </row>
    <row r="173" spans="1:18" x14ac:dyDescent="0.25">
      <c r="A173" s="38">
        <f>Données!A173</f>
        <v>5702</v>
      </c>
      <c r="B173" s="200" t="str">
        <f>Données!B173</f>
        <v>Arzier-Le Muids</v>
      </c>
      <c r="C173" s="353">
        <f>VPI!R173</f>
        <v>167718.32276638702</v>
      </c>
      <c r="D173" s="544">
        <f>Données!AP173</f>
        <v>34.704782595914004</v>
      </c>
      <c r="E173" s="422">
        <f>VPI!Q173</f>
        <v>64</v>
      </c>
      <c r="F173" s="244">
        <f t="shared" si="8"/>
        <v>29.295217404085996</v>
      </c>
      <c r="G173" s="241">
        <f>Effort!I173+Aide!I173/Taux!C173+Effort!K173/Taux!C173</f>
        <v>29.221843109290301</v>
      </c>
      <c r="H173" s="83">
        <f t="shared" si="9"/>
        <v>58.517060513376293</v>
      </c>
      <c r="I173" s="226">
        <f t="shared" si="10"/>
        <v>0</v>
      </c>
      <c r="J173" s="42">
        <f t="shared" si="11"/>
        <v>0</v>
      </c>
      <c r="K173" s="5"/>
      <c r="L173" s="10"/>
      <c r="M173" s="11"/>
      <c r="R173" s="11"/>
    </row>
    <row r="174" spans="1:18" x14ac:dyDescent="0.25">
      <c r="A174" s="38">
        <f>Données!A174</f>
        <v>5703</v>
      </c>
      <c r="B174" s="200" t="str">
        <f>Données!B174</f>
        <v>Bassins</v>
      </c>
      <c r="C174" s="353">
        <f>VPI!R174</f>
        <v>66886.981709814791</v>
      </c>
      <c r="D174" s="544">
        <f>Données!AP174</f>
        <v>28.571860318510989</v>
      </c>
      <c r="E174" s="422">
        <f>VPI!Q174</f>
        <v>72.5</v>
      </c>
      <c r="F174" s="244">
        <f t="shared" si="8"/>
        <v>43.928139681489014</v>
      </c>
      <c r="G174" s="241">
        <f>Effort!I174+Aide!I174/Taux!C174+Effort!K174/Taux!C174</f>
        <v>24.917368240242872</v>
      </c>
      <c r="H174" s="83">
        <f t="shared" si="9"/>
        <v>68.845507921731894</v>
      </c>
      <c r="I174" s="226">
        <f t="shared" si="10"/>
        <v>0</v>
      </c>
      <c r="J174" s="42">
        <f t="shared" si="11"/>
        <v>0</v>
      </c>
      <c r="K174" s="5"/>
      <c r="L174" s="10"/>
      <c r="M174" s="11"/>
      <c r="R174" s="11"/>
    </row>
    <row r="175" spans="1:18" x14ac:dyDescent="0.25">
      <c r="A175" s="38">
        <f>Données!A175</f>
        <v>5704</v>
      </c>
      <c r="B175" s="200" t="str">
        <f>Données!B175</f>
        <v>Begnins</v>
      </c>
      <c r="C175" s="353">
        <f>VPI!R175</f>
        <v>141530.02646227158</v>
      </c>
      <c r="D175" s="544">
        <f>Données!AP175</f>
        <v>36.636169523160127</v>
      </c>
      <c r="E175" s="422">
        <f>VPI!Q175</f>
        <v>62.5</v>
      </c>
      <c r="F175" s="244">
        <f t="shared" si="8"/>
        <v>25.863830476839873</v>
      </c>
      <c r="G175" s="241">
        <f>Effort!I175+Aide!I175/Taux!C175+Effort!K175/Taux!C175</f>
        <v>37.127839301429717</v>
      </c>
      <c r="H175" s="83">
        <f t="shared" si="9"/>
        <v>62.991669778269589</v>
      </c>
      <c r="I175" s="226">
        <f t="shared" si="10"/>
        <v>0</v>
      </c>
      <c r="J175" s="42">
        <f t="shared" si="11"/>
        <v>0</v>
      </c>
      <c r="K175" s="5"/>
      <c r="L175" s="10"/>
      <c r="M175" s="11"/>
      <c r="R175" s="11"/>
    </row>
    <row r="176" spans="1:18" x14ac:dyDescent="0.25">
      <c r="A176" s="38">
        <f>Données!A176</f>
        <v>5705</v>
      </c>
      <c r="B176" s="200" t="str">
        <f>Données!B176</f>
        <v>Bogis-Bossey</v>
      </c>
      <c r="C176" s="353">
        <f>VPI!R176</f>
        <v>56143.373517355147</v>
      </c>
      <c r="D176" s="544">
        <f>Données!AP176</f>
        <v>36.123454610953068</v>
      </c>
      <c r="E176" s="422">
        <f>VPI!Q176</f>
        <v>74.5</v>
      </c>
      <c r="F176" s="244">
        <f t="shared" si="8"/>
        <v>38.376545389046932</v>
      </c>
      <c r="G176" s="241">
        <f>Effort!I176+Aide!I176/Taux!C176+Effort!K176/Taux!C176</f>
        <v>37.891638273156588</v>
      </c>
      <c r="H176" s="83">
        <f t="shared" si="9"/>
        <v>76.268183662203512</v>
      </c>
      <c r="I176" s="226">
        <f t="shared" si="10"/>
        <v>0</v>
      </c>
      <c r="J176" s="42">
        <f t="shared" si="11"/>
        <v>0</v>
      </c>
      <c r="K176" s="5"/>
      <c r="L176" s="10"/>
      <c r="M176" s="11"/>
      <c r="R176" s="11"/>
    </row>
    <row r="177" spans="1:18" x14ac:dyDescent="0.25">
      <c r="A177" s="38">
        <f>Données!A177</f>
        <v>5706</v>
      </c>
      <c r="B177" s="200" t="str">
        <f>Données!B177</f>
        <v>Borex</v>
      </c>
      <c r="C177" s="353">
        <f>VPI!R177</f>
        <v>84061.533508771914</v>
      </c>
      <c r="D177" s="544">
        <f>Données!AP177</f>
        <v>37.543993525503844</v>
      </c>
      <c r="E177" s="422">
        <f>VPI!Q177</f>
        <v>57</v>
      </c>
      <c r="F177" s="244">
        <f t="shared" si="8"/>
        <v>19.456006474496156</v>
      </c>
      <c r="G177" s="241">
        <f>Effort!I177+Aide!I177/Taux!C177+Effort!K177/Taux!C177</f>
        <v>37.40819600824176</v>
      </c>
      <c r="H177" s="83">
        <f t="shared" si="9"/>
        <v>56.864202482737916</v>
      </c>
      <c r="I177" s="226">
        <f t="shared" si="10"/>
        <v>0</v>
      </c>
      <c r="J177" s="42">
        <f t="shared" si="11"/>
        <v>0</v>
      </c>
      <c r="K177" s="5"/>
      <c r="L177" s="10"/>
      <c r="M177" s="11"/>
      <c r="R177" s="11"/>
    </row>
    <row r="178" spans="1:18" x14ac:dyDescent="0.25">
      <c r="A178" s="38">
        <f>Données!A178</f>
        <v>5707</v>
      </c>
      <c r="B178" s="200" t="str">
        <f>Données!B178</f>
        <v>Chavannes-de-Bogis</v>
      </c>
      <c r="C178" s="353">
        <f>VPI!R178</f>
        <v>81740.650607161704</v>
      </c>
      <c r="D178" s="544">
        <f>Données!AP178</f>
        <v>34.906160760405967</v>
      </c>
      <c r="E178" s="422">
        <f>VPI!Q178</f>
        <v>58</v>
      </c>
      <c r="F178" s="244">
        <f t="shared" si="8"/>
        <v>23.093839239594033</v>
      </c>
      <c r="G178" s="241">
        <f>Effort!I178+Aide!I178/Taux!C178+Effort!K178/Taux!C178</f>
        <v>34.309379690764871</v>
      </c>
      <c r="H178" s="83">
        <f t="shared" si="9"/>
        <v>57.403218930358904</v>
      </c>
      <c r="I178" s="226">
        <f t="shared" si="10"/>
        <v>0</v>
      </c>
      <c r="J178" s="42">
        <f t="shared" si="11"/>
        <v>0</v>
      </c>
      <c r="K178" s="5"/>
      <c r="L178" s="10"/>
      <c r="M178" s="11"/>
      <c r="R178" s="11"/>
    </row>
    <row r="179" spans="1:18" x14ac:dyDescent="0.25">
      <c r="A179" s="38">
        <f>Données!A179</f>
        <v>5708</v>
      </c>
      <c r="B179" s="200" t="str">
        <f>Données!B179</f>
        <v>Chavannes-des-Bois</v>
      </c>
      <c r="C179" s="353">
        <f>VPI!R179</f>
        <v>67246.19149969735</v>
      </c>
      <c r="D179" s="544">
        <f>Données!AP179</f>
        <v>38.658659171763034</v>
      </c>
      <c r="E179" s="422">
        <f>VPI!Q179</f>
        <v>68</v>
      </c>
      <c r="F179" s="244">
        <f t="shared" si="8"/>
        <v>29.341340828236966</v>
      </c>
      <c r="G179" s="241">
        <f>Effort!I179+Aide!I179/Taux!C179+Effort!K179/Taux!C179</f>
        <v>37.110769013478432</v>
      </c>
      <c r="H179" s="83">
        <f t="shared" si="9"/>
        <v>66.452109841715398</v>
      </c>
      <c r="I179" s="226">
        <f t="shared" si="10"/>
        <v>0</v>
      </c>
      <c r="J179" s="42">
        <f t="shared" si="11"/>
        <v>0</v>
      </c>
      <c r="K179" s="5"/>
      <c r="L179" s="10"/>
      <c r="M179" s="11"/>
      <c r="R179" s="11"/>
    </row>
    <row r="180" spans="1:18" x14ac:dyDescent="0.25">
      <c r="A180" s="38">
        <f>Données!A180</f>
        <v>5709</v>
      </c>
      <c r="B180" s="200" t="str">
        <f>Données!B180</f>
        <v>Chéserex</v>
      </c>
      <c r="C180" s="353">
        <f>VPI!R180</f>
        <v>97363.543103732183</v>
      </c>
      <c r="D180" s="544">
        <f>Données!AP180</f>
        <v>39.833148951232637</v>
      </c>
      <c r="E180" s="422">
        <f>VPI!Q180</f>
        <v>57</v>
      </c>
      <c r="F180" s="244">
        <f t="shared" si="8"/>
        <v>17.166851048767363</v>
      </c>
      <c r="G180" s="241">
        <f>Effort!I180+Aide!I180/Taux!C180+Effort!K180/Taux!C180</f>
        <v>38.543697410905665</v>
      </c>
      <c r="H180" s="83">
        <f t="shared" si="9"/>
        <v>55.710548459673028</v>
      </c>
      <c r="I180" s="226">
        <f t="shared" si="10"/>
        <v>0</v>
      </c>
      <c r="J180" s="42">
        <f t="shared" si="11"/>
        <v>0</v>
      </c>
      <c r="K180" s="5"/>
      <c r="L180" s="10"/>
      <c r="M180" s="11"/>
      <c r="R180" s="11"/>
    </row>
    <row r="181" spans="1:18" x14ac:dyDescent="0.25">
      <c r="A181" s="38">
        <f>Données!A181</f>
        <v>5710</v>
      </c>
      <c r="B181" s="200" t="str">
        <f>Données!B181</f>
        <v>Coinsins</v>
      </c>
      <c r="C181" s="353">
        <f>VPI!R181</f>
        <v>41089.8274990719</v>
      </c>
      <c r="D181" s="544">
        <f>Données!AP181</f>
        <v>47.999999999999993</v>
      </c>
      <c r="E181" s="422">
        <f>VPI!Q181</f>
        <v>51</v>
      </c>
      <c r="F181" s="244">
        <f t="shared" si="8"/>
        <v>3.0000000000000071</v>
      </c>
      <c r="G181" s="241">
        <f>Effort!I181+Aide!I181/Taux!C181+Effort!K181/Taux!C181</f>
        <v>38.910903264402286</v>
      </c>
      <c r="H181" s="83">
        <f t="shared" si="9"/>
        <v>41.910903264402293</v>
      </c>
      <c r="I181" s="226">
        <f t="shared" si="10"/>
        <v>0</v>
      </c>
      <c r="J181" s="42">
        <f t="shared" si="11"/>
        <v>0</v>
      </c>
      <c r="K181" s="5"/>
      <c r="L181" s="10"/>
      <c r="M181" s="11"/>
      <c r="R181" s="11"/>
    </row>
    <row r="182" spans="1:18" x14ac:dyDescent="0.25">
      <c r="A182" s="38">
        <f>Données!A182</f>
        <v>5711</v>
      </c>
      <c r="B182" s="200" t="str">
        <f>Données!B182</f>
        <v>Commugny</v>
      </c>
      <c r="C182" s="353">
        <f>VPI!R182</f>
        <v>252751.28311656581</v>
      </c>
      <c r="D182" s="544">
        <f>Données!AP182</f>
        <v>40.600467304080631</v>
      </c>
      <c r="E182" s="422">
        <f>VPI!Q182</f>
        <v>55.5</v>
      </c>
      <c r="F182" s="244">
        <f t="shared" si="8"/>
        <v>14.899532695919369</v>
      </c>
      <c r="G182" s="241">
        <f>Effort!I182+Aide!I182/Taux!C182+Effort!K182/Taux!C182</f>
        <v>38.441824561277087</v>
      </c>
      <c r="H182" s="83">
        <f t="shared" si="9"/>
        <v>53.341357257196456</v>
      </c>
      <c r="I182" s="226">
        <f t="shared" si="10"/>
        <v>0</v>
      </c>
      <c r="J182" s="42">
        <f t="shared" si="11"/>
        <v>0</v>
      </c>
      <c r="K182" s="5"/>
      <c r="L182" s="10"/>
      <c r="M182" s="11"/>
      <c r="R182" s="11"/>
    </row>
    <row r="183" spans="1:18" x14ac:dyDescent="0.25">
      <c r="A183" s="38">
        <f>Données!A183</f>
        <v>5712</v>
      </c>
      <c r="B183" s="200" t="str">
        <f>Données!B183</f>
        <v>Coppet</v>
      </c>
      <c r="C183" s="353">
        <f>VPI!R183</f>
        <v>381936.87435905024</v>
      </c>
      <c r="D183" s="544">
        <f>Données!AP183</f>
        <v>45.617709255587926</v>
      </c>
      <c r="E183" s="422">
        <f>VPI!Q183</f>
        <v>53</v>
      </c>
      <c r="F183" s="244">
        <f t="shared" si="8"/>
        <v>7.3822907444120744</v>
      </c>
      <c r="G183" s="241">
        <f>Effort!I183+Aide!I183/Taux!C183+Effort!K183/Taux!C183</f>
        <v>43.854613470522018</v>
      </c>
      <c r="H183" s="83">
        <f t="shared" si="9"/>
        <v>51.236904214934093</v>
      </c>
      <c r="I183" s="226">
        <f t="shared" si="10"/>
        <v>0</v>
      </c>
      <c r="J183" s="42">
        <f t="shared" si="11"/>
        <v>0</v>
      </c>
      <c r="K183" s="5"/>
      <c r="L183" s="10"/>
      <c r="M183" s="11"/>
      <c r="R183" s="11"/>
    </row>
    <row r="184" spans="1:18" x14ac:dyDescent="0.25">
      <c r="A184" s="38">
        <f>Données!A184</f>
        <v>5713</v>
      </c>
      <c r="B184" s="200" t="str">
        <f>Données!B184</f>
        <v>Crans-près-Céligny</v>
      </c>
      <c r="C184" s="353">
        <f>VPI!R184</f>
        <v>308655.70549910824</v>
      </c>
      <c r="D184" s="544">
        <f>Données!AP184</f>
        <v>47.147999370058763</v>
      </c>
      <c r="E184" s="422">
        <f>VPI!Q184</f>
        <v>56</v>
      </c>
      <c r="F184" s="244">
        <f t="shared" si="8"/>
        <v>8.8520006299412373</v>
      </c>
      <c r="G184" s="241">
        <f>Effort!I184+Aide!I184/Taux!C184+Effort!K184/Taux!C184</f>
        <v>46.714079979074832</v>
      </c>
      <c r="H184" s="83">
        <f t="shared" si="9"/>
        <v>55.566080609016069</v>
      </c>
      <c r="I184" s="226">
        <f t="shared" si="10"/>
        <v>0</v>
      </c>
      <c r="J184" s="42">
        <f t="shared" si="11"/>
        <v>0</v>
      </c>
      <c r="K184" s="5"/>
      <c r="L184" s="10"/>
      <c r="M184" s="11"/>
      <c r="R184" s="11"/>
    </row>
    <row r="185" spans="1:18" x14ac:dyDescent="0.25">
      <c r="A185" s="38">
        <f>Données!A185</f>
        <v>5714</v>
      </c>
      <c r="B185" s="200" t="str">
        <f>Données!B185</f>
        <v>Crassier</v>
      </c>
      <c r="C185" s="353">
        <f>VPI!R185</f>
        <v>53565.625441176468</v>
      </c>
      <c r="D185" s="544">
        <f>Données!AP185</f>
        <v>35.872261234243759</v>
      </c>
      <c r="E185" s="422">
        <f>VPI!Q185</f>
        <v>68</v>
      </c>
      <c r="F185" s="244">
        <f t="shared" si="8"/>
        <v>32.127738765756241</v>
      </c>
      <c r="G185" s="241">
        <f>Effort!I185+Aide!I185/Taux!C185+Effort!K185/Taux!C185</f>
        <v>30.093241868020421</v>
      </c>
      <c r="H185" s="83">
        <f t="shared" si="9"/>
        <v>62.220980633776662</v>
      </c>
      <c r="I185" s="226">
        <f t="shared" si="10"/>
        <v>0</v>
      </c>
      <c r="J185" s="42">
        <f t="shared" si="11"/>
        <v>0</v>
      </c>
      <c r="K185" s="5"/>
      <c r="L185" s="10"/>
      <c r="M185" s="11"/>
      <c r="R185" s="11"/>
    </row>
    <row r="186" spans="1:18" x14ac:dyDescent="0.25">
      <c r="A186" s="38">
        <f>Données!A186</f>
        <v>5715</v>
      </c>
      <c r="B186" s="200" t="str">
        <f>Données!B186</f>
        <v>Duillier</v>
      </c>
      <c r="C186" s="353">
        <f>VPI!R186</f>
        <v>61562.138656601084</v>
      </c>
      <c r="D186" s="544">
        <f>Données!AP186</f>
        <v>37.420886070204858</v>
      </c>
      <c r="E186" s="422">
        <f>VPI!Q186</f>
        <v>66</v>
      </c>
      <c r="F186" s="244">
        <f t="shared" si="8"/>
        <v>28.579113929795142</v>
      </c>
      <c r="G186" s="241">
        <f>Effort!I186+Aide!I186/Taux!C186+Effort!K186/Taux!C186</f>
        <v>33.053342868987521</v>
      </c>
      <c r="H186" s="83">
        <f t="shared" si="9"/>
        <v>61.632456798782663</v>
      </c>
      <c r="I186" s="226">
        <f t="shared" si="10"/>
        <v>0</v>
      </c>
      <c r="J186" s="42">
        <f t="shared" si="11"/>
        <v>0</v>
      </c>
      <c r="K186" s="5"/>
      <c r="L186" s="10"/>
      <c r="M186" s="11"/>
      <c r="R186" s="11"/>
    </row>
    <row r="187" spans="1:18" x14ac:dyDescent="0.25">
      <c r="A187" s="38">
        <f>Données!A187</f>
        <v>5716</v>
      </c>
      <c r="B187" s="200" t="str">
        <f>Données!B187</f>
        <v>Eysins</v>
      </c>
      <c r="C187" s="353">
        <f>VPI!R187</f>
        <v>307549.31539081637</v>
      </c>
      <c r="D187" s="544">
        <f>Données!AP187</f>
        <v>48</v>
      </c>
      <c r="E187" s="422">
        <f>VPI!Q187</f>
        <v>59.5</v>
      </c>
      <c r="F187" s="244">
        <f t="shared" si="8"/>
        <v>11.5</v>
      </c>
      <c r="G187" s="241">
        <f>Effort!I187+Aide!I187/Taux!C187+Effort!K187/Taux!C187</f>
        <v>48</v>
      </c>
      <c r="H187" s="83">
        <f t="shared" si="9"/>
        <v>59.5</v>
      </c>
      <c r="I187" s="226">
        <f t="shared" si="10"/>
        <v>0</v>
      </c>
      <c r="J187" s="42">
        <f t="shared" si="11"/>
        <v>0</v>
      </c>
      <c r="K187" s="5"/>
      <c r="L187" s="10"/>
      <c r="M187" s="11"/>
      <c r="R187" s="11"/>
    </row>
    <row r="188" spans="1:18" x14ac:dyDescent="0.25">
      <c r="A188" s="38">
        <f>Données!A188</f>
        <v>5717</v>
      </c>
      <c r="B188" s="200" t="str">
        <f>Données!B188</f>
        <v>Founex</v>
      </c>
      <c r="C188" s="353">
        <f>VPI!R188</f>
        <v>386760.37149934971</v>
      </c>
      <c r="D188" s="544">
        <f>Données!AP188</f>
        <v>40.769541831819019</v>
      </c>
      <c r="E188" s="422">
        <f>VPI!Q188</f>
        <v>57</v>
      </c>
      <c r="F188" s="244">
        <f t="shared" si="8"/>
        <v>16.230458168180981</v>
      </c>
      <c r="G188" s="241">
        <f>Effort!I188+Aide!I188/Taux!C188+Effort!K188/Taux!C188</f>
        <v>41.591350413651483</v>
      </c>
      <c r="H188" s="83">
        <f t="shared" si="9"/>
        <v>57.821808581832464</v>
      </c>
      <c r="I188" s="226">
        <f t="shared" si="10"/>
        <v>0</v>
      </c>
      <c r="J188" s="42">
        <f t="shared" si="11"/>
        <v>0</v>
      </c>
      <c r="K188" s="5"/>
      <c r="L188" s="10"/>
      <c r="M188" s="11"/>
      <c r="R188" s="11"/>
    </row>
    <row r="189" spans="1:18" x14ac:dyDescent="0.25">
      <c r="A189" s="38">
        <f>Données!A189</f>
        <v>5718</v>
      </c>
      <c r="B189" s="200" t="str">
        <f>Données!B189</f>
        <v>Genolier</v>
      </c>
      <c r="C189" s="353">
        <f>VPI!R189</f>
        <v>244955.25679243167</v>
      </c>
      <c r="D189" s="544">
        <f>Données!AP189</f>
        <v>40.211191338481157</v>
      </c>
      <c r="E189" s="422">
        <f>VPI!Q189</f>
        <v>55</v>
      </c>
      <c r="F189" s="244">
        <f t="shared" si="8"/>
        <v>14.788808661518843</v>
      </c>
      <c r="G189" s="241">
        <f>Effort!I189+Aide!I189/Taux!C189+Effort!K189/Taux!C189</f>
        <v>45.474751067485379</v>
      </c>
      <c r="H189" s="83">
        <f t="shared" si="9"/>
        <v>60.263559729004221</v>
      </c>
      <c r="I189" s="226">
        <f t="shared" si="10"/>
        <v>0</v>
      </c>
      <c r="J189" s="42">
        <f t="shared" si="11"/>
        <v>0</v>
      </c>
      <c r="K189" s="5"/>
      <c r="L189" s="10"/>
      <c r="M189" s="11"/>
      <c r="R189" s="11"/>
    </row>
    <row r="190" spans="1:18" x14ac:dyDescent="0.25">
      <c r="A190" s="38">
        <f>Données!A190</f>
        <v>5719</v>
      </c>
      <c r="B190" s="200" t="str">
        <f>Données!B190</f>
        <v>Gingins</v>
      </c>
      <c r="C190" s="353">
        <f>VPI!R190</f>
        <v>145581.00922504449</v>
      </c>
      <c r="D190" s="544">
        <f>Données!AP190</f>
        <v>46.715157165272451</v>
      </c>
      <c r="E190" s="422">
        <f>VPI!Q190</f>
        <v>57</v>
      </c>
      <c r="F190" s="244">
        <f t="shared" si="8"/>
        <v>10.284842834727549</v>
      </c>
      <c r="G190" s="241">
        <f>Effort!I190+Aide!I190/Taux!C190+Effort!K190/Taux!C190</f>
        <v>45.566989751425673</v>
      </c>
      <c r="H190" s="83">
        <f t="shared" si="9"/>
        <v>55.851832586153222</v>
      </c>
      <c r="I190" s="226">
        <f t="shared" si="10"/>
        <v>0</v>
      </c>
      <c r="J190" s="42">
        <f t="shared" si="11"/>
        <v>0</v>
      </c>
      <c r="K190" s="5"/>
      <c r="L190" s="10"/>
      <c r="M190" s="11"/>
      <c r="R190" s="11"/>
    </row>
    <row r="191" spans="1:18" x14ac:dyDescent="0.25">
      <c r="A191" s="38">
        <f>Données!A191</f>
        <v>5720</v>
      </c>
      <c r="B191" s="200" t="str">
        <f>Données!B191</f>
        <v>Givrins</v>
      </c>
      <c r="C191" s="353">
        <f>VPI!R191</f>
        <v>84157.481732617845</v>
      </c>
      <c r="D191" s="544">
        <f>Données!AP191</f>
        <v>41.982438747656602</v>
      </c>
      <c r="E191" s="422">
        <f>VPI!Q191</f>
        <v>67</v>
      </c>
      <c r="F191" s="244">
        <f t="shared" si="8"/>
        <v>25.017561252343398</v>
      </c>
      <c r="G191" s="241">
        <f>Effort!I191+Aide!I191/Taux!C191+Effort!K191/Taux!C191</f>
        <v>40.497409206806694</v>
      </c>
      <c r="H191" s="83">
        <f t="shared" si="9"/>
        <v>65.514970459150092</v>
      </c>
      <c r="I191" s="226">
        <f t="shared" si="10"/>
        <v>0</v>
      </c>
      <c r="J191" s="42">
        <f t="shared" si="11"/>
        <v>0</v>
      </c>
      <c r="K191" s="5"/>
      <c r="L191" s="10"/>
      <c r="M191" s="11"/>
      <c r="R191" s="11"/>
    </row>
    <row r="192" spans="1:18" x14ac:dyDescent="0.25">
      <c r="A192" s="38">
        <f>Données!A192</f>
        <v>5721</v>
      </c>
      <c r="B192" s="200" t="str">
        <f>Données!B192</f>
        <v>Gland</v>
      </c>
      <c r="C192" s="353">
        <f>VPI!R192</f>
        <v>649754.37436659122</v>
      </c>
      <c r="D192" s="544">
        <f>Données!AP192</f>
        <v>23.776580934748509</v>
      </c>
      <c r="E192" s="422">
        <f>VPI!Q192</f>
        <v>61</v>
      </c>
      <c r="F192" s="244">
        <f t="shared" si="8"/>
        <v>37.223419065251491</v>
      </c>
      <c r="G192" s="241">
        <f>Effort!I192+Aide!I192/Taux!C192+Effort!K192/Taux!C192</f>
        <v>22.235006270842568</v>
      </c>
      <c r="H192" s="83">
        <f t="shared" si="9"/>
        <v>59.458425336094059</v>
      </c>
      <c r="I192" s="226">
        <f t="shared" si="10"/>
        <v>0</v>
      </c>
      <c r="J192" s="42">
        <f t="shared" si="11"/>
        <v>0</v>
      </c>
      <c r="K192" s="5"/>
      <c r="L192" s="10"/>
      <c r="M192" s="11"/>
      <c r="R192" s="11"/>
    </row>
    <row r="193" spans="1:18" x14ac:dyDescent="0.25">
      <c r="A193" s="38">
        <f>Données!A193</f>
        <v>5722</v>
      </c>
      <c r="B193" s="200" t="str">
        <f>Données!B193</f>
        <v>Grens</v>
      </c>
      <c r="C193" s="353">
        <f>VPI!R193</f>
        <v>25522.027975307101</v>
      </c>
      <c r="D193" s="544">
        <f>Données!AP193</f>
        <v>34.22427414475235</v>
      </c>
      <c r="E193" s="422">
        <f>VPI!Q193</f>
        <v>62</v>
      </c>
      <c r="F193" s="244">
        <f t="shared" si="8"/>
        <v>27.77572585524765</v>
      </c>
      <c r="G193" s="241">
        <f>Effort!I193+Aide!I193/Taux!C193+Effort!K193/Taux!C193</f>
        <v>35.852526916065656</v>
      </c>
      <c r="H193" s="83">
        <f t="shared" si="9"/>
        <v>63.628252771313306</v>
      </c>
      <c r="I193" s="226">
        <f t="shared" si="10"/>
        <v>0</v>
      </c>
      <c r="J193" s="42">
        <f t="shared" si="11"/>
        <v>0</v>
      </c>
      <c r="K193" s="5"/>
      <c r="L193" s="10"/>
      <c r="M193" s="11"/>
      <c r="R193" s="11"/>
    </row>
    <row r="194" spans="1:18" x14ac:dyDescent="0.25">
      <c r="A194" s="38">
        <f>Données!A194</f>
        <v>5723</v>
      </c>
      <c r="B194" s="200" t="str">
        <f>Données!B194</f>
        <v>Mies</v>
      </c>
      <c r="C194" s="353">
        <f>VPI!R194</f>
        <v>197671.04481157771</v>
      </c>
      <c r="D194" s="544">
        <f>Données!AP194</f>
        <v>41.263197462535089</v>
      </c>
      <c r="E194" s="422">
        <f>VPI!Q194</f>
        <v>52</v>
      </c>
      <c r="F194" s="244">
        <f t="shared" si="8"/>
        <v>10.736802537464911</v>
      </c>
      <c r="G194" s="241">
        <f>Effort!I194+Aide!I194/Taux!C194+Effort!K194/Taux!C194</f>
        <v>39.471615351576219</v>
      </c>
      <c r="H194" s="83">
        <f t="shared" si="9"/>
        <v>50.208417889041129</v>
      </c>
      <c r="I194" s="226">
        <f t="shared" si="10"/>
        <v>0</v>
      </c>
      <c r="J194" s="42">
        <f t="shared" si="11"/>
        <v>0</v>
      </c>
      <c r="K194" s="5"/>
      <c r="L194" s="10"/>
      <c r="M194" s="11"/>
      <c r="R194" s="11"/>
    </row>
    <row r="195" spans="1:18" x14ac:dyDescent="0.25">
      <c r="A195" s="38">
        <f>Données!A195</f>
        <v>5724</v>
      </c>
      <c r="B195" s="200" t="str">
        <f>Données!B195</f>
        <v>Nyon</v>
      </c>
      <c r="C195" s="353">
        <f>VPI!R195</f>
        <v>1412863.5932076953</v>
      </c>
      <c r="D195" s="544">
        <f>Données!AP195</f>
        <v>27.420344463918884</v>
      </c>
      <c r="E195" s="422">
        <f>VPI!Q195</f>
        <v>61</v>
      </c>
      <c r="F195" s="244">
        <f t="shared" si="8"/>
        <v>33.57965553608112</v>
      </c>
      <c r="G195" s="241">
        <f>Effort!I195+Aide!I195/Taux!C195+Effort!K195/Taux!C195</f>
        <v>25.534581242580845</v>
      </c>
      <c r="H195" s="83">
        <f t="shared" si="9"/>
        <v>59.114236778661962</v>
      </c>
      <c r="I195" s="226">
        <f t="shared" si="10"/>
        <v>0</v>
      </c>
      <c r="J195" s="42">
        <f t="shared" si="11"/>
        <v>0</v>
      </c>
      <c r="K195" s="5"/>
      <c r="L195" s="10"/>
      <c r="M195" s="11"/>
      <c r="R195" s="11"/>
    </row>
    <row r="196" spans="1:18" x14ac:dyDescent="0.25">
      <c r="A196" s="38">
        <f>Données!A196</f>
        <v>5725</v>
      </c>
      <c r="B196" s="200" t="str">
        <f>Données!B196</f>
        <v>Prangins</v>
      </c>
      <c r="C196" s="353">
        <f>VPI!R196</f>
        <v>312426.41305318987</v>
      </c>
      <c r="D196" s="544">
        <f>Données!AP196</f>
        <v>38.927317140534676</v>
      </c>
      <c r="E196" s="422">
        <f>VPI!Q196</f>
        <v>55</v>
      </c>
      <c r="F196" s="244">
        <f t="shared" si="8"/>
        <v>16.072682859465324</v>
      </c>
      <c r="G196" s="241">
        <f>Effort!I196+Aide!I196/Taux!C196+Effort!K196/Taux!C196</f>
        <v>35.722625628178065</v>
      </c>
      <c r="H196" s="83">
        <f t="shared" si="9"/>
        <v>51.795308487643389</v>
      </c>
      <c r="I196" s="226">
        <f t="shared" si="10"/>
        <v>0</v>
      </c>
      <c r="J196" s="42">
        <f t="shared" si="11"/>
        <v>0</v>
      </c>
      <c r="K196" s="5"/>
      <c r="L196" s="10"/>
      <c r="M196" s="11"/>
      <c r="R196" s="11"/>
    </row>
    <row r="197" spans="1:18" x14ac:dyDescent="0.25">
      <c r="A197" s="38">
        <f>Données!A197</f>
        <v>5726</v>
      </c>
      <c r="B197" s="200" t="str">
        <f>Données!B197</f>
        <v>La Rippe</v>
      </c>
      <c r="C197" s="353">
        <f>VPI!R197</f>
        <v>66314.954154633349</v>
      </c>
      <c r="D197" s="544">
        <f>Données!AP197</f>
        <v>34.060374736205361</v>
      </c>
      <c r="E197" s="422">
        <f>VPI!Q197</f>
        <v>65</v>
      </c>
      <c r="F197" s="244">
        <f t="shared" si="8"/>
        <v>30.939625263794639</v>
      </c>
      <c r="G197" s="241">
        <f>Effort!I197+Aide!I197/Taux!C197+Effort!K197/Taux!C197</f>
        <v>34.321844379791727</v>
      </c>
      <c r="H197" s="83">
        <f t="shared" si="9"/>
        <v>65.261469643586366</v>
      </c>
      <c r="I197" s="226">
        <f t="shared" si="10"/>
        <v>0</v>
      </c>
      <c r="J197" s="42">
        <f t="shared" si="11"/>
        <v>0</v>
      </c>
      <c r="K197" s="5"/>
      <c r="L197" s="10"/>
      <c r="M197" s="11"/>
      <c r="R197" s="11"/>
    </row>
    <row r="198" spans="1:18" x14ac:dyDescent="0.25">
      <c r="A198" s="38">
        <f>Données!A198</f>
        <v>5727</v>
      </c>
      <c r="B198" s="200" t="str">
        <f>Données!B198</f>
        <v>Saint-Cergue</v>
      </c>
      <c r="C198" s="353">
        <f>VPI!R198</f>
        <v>105108.96305797539</v>
      </c>
      <c r="D198" s="544">
        <f>Données!AP198</f>
        <v>23.556166430962161</v>
      </c>
      <c r="E198" s="422">
        <f>VPI!Q198</f>
        <v>66</v>
      </c>
      <c r="F198" s="244">
        <f t="shared" si="8"/>
        <v>42.443833569037835</v>
      </c>
      <c r="G198" s="241">
        <f>Effort!I198+Aide!I198/Taux!C198+Effort!K198/Taux!C198</f>
        <v>22.047391105030453</v>
      </c>
      <c r="H198" s="83">
        <f t="shared" si="9"/>
        <v>64.491224674068292</v>
      </c>
      <c r="I198" s="226">
        <f t="shared" si="10"/>
        <v>0</v>
      </c>
      <c r="J198" s="42">
        <f t="shared" si="11"/>
        <v>0</v>
      </c>
      <c r="K198" s="5"/>
      <c r="L198" s="10"/>
      <c r="M198" s="11"/>
      <c r="R198" s="11"/>
    </row>
    <row r="199" spans="1:18" x14ac:dyDescent="0.25">
      <c r="A199" s="38">
        <f>Données!A199</f>
        <v>5728</v>
      </c>
      <c r="B199" s="200" t="str">
        <f>Données!B199</f>
        <v>Signy-Avenex</v>
      </c>
      <c r="C199" s="353">
        <f>VPI!R199</f>
        <v>49029.515425987986</v>
      </c>
      <c r="D199" s="544">
        <f>Données!AP199</f>
        <v>39.564560600829168</v>
      </c>
      <c r="E199" s="422">
        <f>VPI!Q199</f>
        <v>58</v>
      </c>
      <c r="F199" s="244">
        <f t="shared" ref="F199:F262" si="12">E199-D199</f>
        <v>18.435439399170832</v>
      </c>
      <c r="G199" s="241">
        <f>Effort!I199+Aide!I199/Taux!C199+Effort!K199/Taux!C199</f>
        <v>40.572334929340904</v>
      </c>
      <c r="H199" s="83">
        <f t="shared" ref="H199:H262" si="13">F199+G199</f>
        <v>59.007774328511736</v>
      </c>
      <c r="I199" s="226">
        <f t="shared" ref="I199:I262" si="14">IF(H199&gt;$I$5,H199-$I$5,0)</f>
        <v>0</v>
      </c>
      <c r="J199" s="42">
        <f t="shared" ref="J199:J262" si="15">-I199*C199</f>
        <v>0</v>
      </c>
      <c r="K199" s="5"/>
      <c r="L199" s="10"/>
      <c r="M199" s="11"/>
      <c r="R199" s="11"/>
    </row>
    <row r="200" spans="1:18" x14ac:dyDescent="0.25">
      <c r="A200" s="38">
        <f>Données!A200</f>
        <v>5729</v>
      </c>
      <c r="B200" s="200" t="str">
        <f>Données!B200</f>
        <v>Tannay</v>
      </c>
      <c r="C200" s="353">
        <f>VPI!R200</f>
        <v>130705.91189021352</v>
      </c>
      <c r="D200" s="544">
        <f>Données!AP200</f>
        <v>46.561780419734511</v>
      </c>
      <c r="E200" s="422">
        <f>VPI!Q200</f>
        <v>60.5</v>
      </c>
      <c r="F200" s="244">
        <f t="shared" si="12"/>
        <v>13.938219580265489</v>
      </c>
      <c r="G200" s="241">
        <f>Effort!I200+Aide!I200/Taux!C200+Effort!K200/Taux!C200</f>
        <v>38.885549047946853</v>
      </c>
      <c r="H200" s="83">
        <f t="shared" si="13"/>
        <v>52.823768628212342</v>
      </c>
      <c r="I200" s="226">
        <f t="shared" si="14"/>
        <v>0</v>
      </c>
      <c r="J200" s="42">
        <f t="shared" si="15"/>
        <v>0</v>
      </c>
      <c r="K200" s="5"/>
      <c r="L200" s="10"/>
      <c r="M200" s="11"/>
      <c r="R200" s="11"/>
    </row>
    <row r="201" spans="1:18" x14ac:dyDescent="0.25">
      <c r="A201" s="38">
        <f>Données!A201</f>
        <v>5730</v>
      </c>
      <c r="B201" s="200" t="str">
        <f>Données!B201</f>
        <v>Trélex</v>
      </c>
      <c r="C201" s="353">
        <f>VPI!R201</f>
        <v>111635.7900900901</v>
      </c>
      <c r="D201" s="544">
        <f>Données!AP201</f>
        <v>42.665425348731937</v>
      </c>
      <c r="E201" s="422">
        <f>VPI!Q201</f>
        <v>55.5</v>
      </c>
      <c r="F201" s="244">
        <f t="shared" si="12"/>
        <v>12.834574651268063</v>
      </c>
      <c r="G201" s="241">
        <f>Effort!I201+Aide!I201/Taux!C201+Effort!K201/Taux!C201</f>
        <v>37.872466305587984</v>
      </c>
      <c r="H201" s="83">
        <f t="shared" si="13"/>
        <v>50.707040956856048</v>
      </c>
      <c r="I201" s="226">
        <f t="shared" si="14"/>
        <v>0</v>
      </c>
      <c r="J201" s="42">
        <f t="shared" si="15"/>
        <v>0</v>
      </c>
      <c r="K201" s="5"/>
      <c r="L201" s="10"/>
      <c r="M201" s="11"/>
      <c r="R201" s="11"/>
    </row>
    <row r="202" spans="1:18" x14ac:dyDescent="0.25">
      <c r="A202" s="38">
        <f>Données!A202</f>
        <v>5731</v>
      </c>
      <c r="B202" s="200" t="str">
        <f>Données!B202</f>
        <v>Le Vaud</v>
      </c>
      <c r="C202" s="353">
        <f>VPI!R202</f>
        <v>63939.29295717035</v>
      </c>
      <c r="D202" s="544">
        <f>Données!AP202</f>
        <v>30.646944840358529</v>
      </c>
      <c r="E202" s="422">
        <f>VPI!Q202</f>
        <v>74</v>
      </c>
      <c r="F202" s="244">
        <f t="shared" si="12"/>
        <v>43.353055159641471</v>
      </c>
      <c r="G202" s="241">
        <f>Effort!I202+Aide!I202/Taux!C202+Effort!K202/Taux!C202</f>
        <v>29.28234378002724</v>
      </c>
      <c r="H202" s="83">
        <f t="shared" si="13"/>
        <v>72.635398939668704</v>
      </c>
      <c r="I202" s="226">
        <f t="shared" si="14"/>
        <v>0</v>
      </c>
      <c r="J202" s="42">
        <f t="shared" si="15"/>
        <v>0</v>
      </c>
      <c r="K202" s="5"/>
      <c r="L202" s="10"/>
      <c r="M202" s="11"/>
      <c r="R202" s="11"/>
    </row>
    <row r="203" spans="1:18" x14ac:dyDescent="0.25">
      <c r="A203" s="38">
        <f>Données!A203</f>
        <v>5732</v>
      </c>
      <c r="B203" s="200" t="str">
        <f>Données!B203</f>
        <v>Vich</v>
      </c>
      <c r="C203" s="353">
        <f>VPI!R203</f>
        <v>70997.378198271268</v>
      </c>
      <c r="D203" s="544">
        <f>Données!AP203</f>
        <v>35.497636006242757</v>
      </c>
      <c r="E203" s="422">
        <f>VPI!Q203</f>
        <v>63</v>
      </c>
      <c r="F203" s="244">
        <f t="shared" si="12"/>
        <v>27.502363993757243</v>
      </c>
      <c r="G203" s="241">
        <f>Effort!I203+Aide!I203/Taux!C203+Effort!K203/Taux!C203</f>
        <v>34.991343145886617</v>
      </c>
      <c r="H203" s="83">
        <f t="shared" si="13"/>
        <v>62.49370713964386</v>
      </c>
      <c r="I203" s="226">
        <f t="shared" si="14"/>
        <v>0</v>
      </c>
      <c r="J203" s="42">
        <f t="shared" si="15"/>
        <v>0</v>
      </c>
      <c r="K203" s="5"/>
      <c r="L203" s="10"/>
      <c r="M203" s="11"/>
      <c r="R203" s="11"/>
    </row>
    <row r="204" spans="1:18" x14ac:dyDescent="0.25">
      <c r="A204" s="38">
        <f>Données!A204</f>
        <v>5741</v>
      </c>
      <c r="B204" s="200" t="str">
        <f>Données!B204</f>
        <v>L'Abergement</v>
      </c>
      <c r="C204" s="353">
        <f>VPI!R204</f>
        <v>7367.4577774246782</v>
      </c>
      <c r="D204" s="544">
        <f>Données!AP204</f>
        <v>15.847426156325987</v>
      </c>
      <c r="E204" s="422">
        <f>VPI!Q204</f>
        <v>81</v>
      </c>
      <c r="F204" s="244">
        <f t="shared" si="12"/>
        <v>65.15257384367402</v>
      </c>
      <c r="G204" s="241">
        <f>Effort!I204+Aide!I204/Taux!C204+Effort!K204/Taux!C204</f>
        <v>-0.99211056903259021</v>
      </c>
      <c r="H204" s="83">
        <f t="shared" si="13"/>
        <v>64.16046327464143</v>
      </c>
      <c r="I204" s="226">
        <f t="shared" si="14"/>
        <v>0</v>
      </c>
      <c r="J204" s="42">
        <f t="shared" si="15"/>
        <v>0</v>
      </c>
      <c r="K204" s="5"/>
      <c r="L204" s="10"/>
      <c r="M204" s="11"/>
      <c r="R204" s="11"/>
    </row>
    <row r="205" spans="1:18" x14ac:dyDescent="0.25">
      <c r="A205" s="38">
        <f>Données!A205</f>
        <v>5742</v>
      </c>
      <c r="B205" s="200" t="str">
        <f>Données!B205</f>
        <v>Agiez</v>
      </c>
      <c r="C205" s="353">
        <f>VPI!R205</f>
        <v>8959.2362433179314</v>
      </c>
      <c r="D205" s="544">
        <f>Données!AP205</f>
        <v>11.645673025677498</v>
      </c>
      <c r="E205" s="422">
        <f>VPI!Q205</f>
        <v>76</v>
      </c>
      <c r="F205" s="244">
        <f t="shared" si="12"/>
        <v>64.354326974322504</v>
      </c>
      <c r="G205" s="241">
        <f>Effort!I205+Aide!I205/Taux!C205+Effort!K205/Taux!C205</f>
        <v>2.8756865473315187</v>
      </c>
      <c r="H205" s="83">
        <f t="shared" si="13"/>
        <v>67.23001352165403</v>
      </c>
      <c r="I205" s="226">
        <f t="shared" si="14"/>
        <v>0</v>
      </c>
      <c r="J205" s="42">
        <f t="shared" si="15"/>
        <v>0</v>
      </c>
      <c r="K205" s="5"/>
      <c r="L205" s="10"/>
      <c r="M205" s="11"/>
      <c r="R205" s="11"/>
    </row>
    <row r="206" spans="1:18" x14ac:dyDescent="0.25">
      <c r="A206" s="38">
        <f>Données!A206</f>
        <v>5743</v>
      </c>
      <c r="B206" s="200" t="str">
        <f>Données!B206</f>
        <v>Arnex-sur-Orbe</v>
      </c>
      <c r="C206" s="353">
        <f>VPI!R206</f>
        <v>20545.993510231569</v>
      </c>
      <c r="D206" s="544">
        <f>Données!AP206</f>
        <v>19.563021882891178</v>
      </c>
      <c r="E206" s="422">
        <f>VPI!Q206</f>
        <v>71</v>
      </c>
      <c r="F206" s="244">
        <f t="shared" si="12"/>
        <v>51.436978117108822</v>
      </c>
      <c r="G206" s="241">
        <f>Effort!I206+Aide!I206/Taux!C206+Effort!K206/Taux!C206</f>
        <v>17.097107654796702</v>
      </c>
      <c r="H206" s="83">
        <f t="shared" si="13"/>
        <v>68.534085771905524</v>
      </c>
      <c r="I206" s="226">
        <f t="shared" si="14"/>
        <v>0</v>
      </c>
      <c r="J206" s="42">
        <f t="shared" si="15"/>
        <v>0</v>
      </c>
      <c r="K206" s="5"/>
      <c r="L206" s="10"/>
      <c r="M206" s="11"/>
      <c r="R206" s="11"/>
    </row>
    <row r="207" spans="1:18" x14ac:dyDescent="0.25">
      <c r="A207" s="38">
        <f>Données!A207</f>
        <v>5744</v>
      </c>
      <c r="B207" s="200" t="str">
        <f>Données!B207</f>
        <v>Ballaigues</v>
      </c>
      <c r="C207" s="353">
        <f>VPI!R207</f>
        <v>40192.729547040028</v>
      </c>
      <c r="D207" s="544">
        <f>Données!AP207</f>
        <v>34.207401471593947</v>
      </c>
      <c r="E207" s="422">
        <f>VPI!Q207</f>
        <v>65</v>
      </c>
      <c r="F207" s="244">
        <f t="shared" si="12"/>
        <v>30.792598528406053</v>
      </c>
      <c r="G207" s="241">
        <f>Effort!I207+Aide!I207/Taux!C207+Effort!K207/Taux!C207</f>
        <v>14.806223201496314</v>
      </c>
      <c r="H207" s="83">
        <f t="shared" si="13"/>
        <v>45.598821729902369</v>
      </c>
      <c r="I207" s="226">
        <f t="shared" si="14"/>
        <v>0</v>
      </c>
      <c r="J207" s="42">
        <f t="shared" si="15"/>
        <v>0</v>
      </c>
      <c r="K207" s="5"/>
      <c r="L207" s="10"/>
      <c r="M207" s="11"/>
      <c r="R207" s="11"/>
    </row>
    <row r="208" spans="1:18" x14ac:dyDescent="0.25">
      <c r="A208" s="38">
        <f>Données!A208</f>
        <v>5745</v>
      </c>
      <c r="B208" s="200" t="str">
        <f>Données!B208</f>
        <v>Baulmes</v>
      </c>
      <c r="C208" s="353">
        <f>VPI!R208</f>
        <v>26823.608187065354</v>
      </c>
      <c r="D208" s="544">
        <f>Données!AP208</f>
        <v>12.347641807649463</v>
      </c>
      <c r="E208" s="422">
        <f>VPI!Q208</f>
        <v>76.5</v>
      </c>
      <c r="F208" s="244">
        <f t="shared" si="12"/>
        <v>64.152358192350533</v>
      </c>
      <c r="G208" s="241">
        <f>Effort!I208+Aide!I208/Taux!C208+Effort!K208/Taux!C208</f>
        <v>-7.2526061024028792</v>
      </c>
      <c r="H208" s="83">
        <f t="shared" si="13"/>
        <v>56.899752089947654</v>
      </c>
      <c r="I208" s="226">
        <f t="shared" si="14"/>
        <v>0</v>
      </c>
      <c r="J208" s="42">
        <f t="shared" si="15"/>
        <v>0</v>
      </c>
      <c r="K208" s="5"/>
      <c r="L208" s="10"/>
      <c r="M208" s="11"/>
      <c r="R208" s="11"/>
    </row>
    <row r="209" spans="1:18" x14ac:dyDescent="0.25">
      <c r="A209" s="38">
        <f>Données!A209</f>
        <v>5746</v>
      </c>
      <c r="B209" s="200" t="str">
        <f>Données!B209</f>
        <v>Bavois</v>
      </c>
      <c r="C209" s="353">
        <f>VPI!R209</f>
        <v>30464.573561146077</v>
      </c>
      <c r="D209" s="544">
        <f>Données!AP209</f>
        <v>16.303911899460982</v>
      </c>
      <c r="E209" s="422">
        <f>VPI!Q209</f>
        <v>73</v>
      </c>
      <c r="F209" s="244">
        <f t="shared" si="12"/>
        <v>56.696088100539015</v>
      </c>
      <c r="G209" s="241">
        <f>Effort!I209+Aide!I209/Taux!C209+Effort!K209/Taux!C209</f>
        <v>12.957193962106654</v>
      </c>
      <c r="H209" s="83">
        <f t="shared" si="13"/>
        <v>69.653282062645673</v>
      </c>
      <c r="I209" s="226">
        <f t="shared" si="14"/>
        <v>0</v>
      </c>
      <c r="J209" s="42">
        <f t="shared" si="15"/>
        <v>0</v>
      </c>
      <c r="K209" s="5"/>
      <c r="L209" s="10"/>
      <c r="M209" s="11"/>
      <c r="R209" s="11"/>
    </row>
    <row r="210" spans="1:18" x14ac:dyDescent="0.25">
      <c r="A210" s="38">
        <f>Données!A210</f>
        <v>5747</v>
      </c>
      <c r="B210" s="200" t="str">
        <f>Données!B210</f>
        <v>Bofflens</v>
      </c>
      <c r="C210" s="353">
        <f>VPI!R210</f>
        <v>5602.2513601016635</v>
      </c>
      <c r="D210" s="544">
        <f>Données!AP210</f>
        <v>21.319181785437284</v>
      </c>
      <c r="E210" s="422">
        <f>VPI!Q210</f>
        <v>69</v>
      </c>
      <c r="F210" s="244">
        <f t="shared" si="12"/>
        <v>47.68081821456272</v>
      </c>
      <c r="G210" s="241">
        <f>Effort!I210+Aide!I210/Taux!C210+Effort!K210/Taux!C210</f>
        <v>11.497556632944155</v>
      </c>
      <c r="H210" s="83">
        <f t="shared" si="13"/>
        <v>59.178374847506873</v>
      </c>
      <c r="I210" s="226">
        <f t="shared" si="14"/>
        <v>0</v>
      </c>
      <c r="J210" s="42">
        <f t="shared" si="15"/>
        <v>0</v>
      </c>
      <c r="K210" s="5"/>
      <c r="L210" s="10"/>
      <c r="M210" s="11"/>
      <c r="R210" s="11"/>
    </row>
    <row r="211" spans="1:18" x14ac:dyDescent="0.25">
      <c r="A211" s="38">
        <f>Données!A211</f>
        <v>5748</v>
      </c>
      <c r="B211" s="200" t="str">
        <f>Données!B211</f>
        <v>Bretonnières</v>
      </c>
      <c r="C211" s="353">
        <f>VPI!R211</f>
        <v>5788.8837637987526</v>
      </c>
      <c r="D211" s="544">
        <f>Données!AP211</f>
        <v>16.178081052133955</v>
      </c>
      <c r="E211" s="422">
        <f>VPI!Q211</f>
        <v>70.5</v>
      </c>
      <c r="F211" s="244">
        <f t="shared" si="12"/>
        <v>54.321918947866045</v>
      </c>
      <c r="G211" s="241">
        <f>Effort!I211+Aide!I211/Taux!C211+Effort!K211/Taux!C211</f>
        <v>-3.289131162056222</v>
      </c>
      <c r="H211" s="83">
        <f t="shared" si="13"/>
        <v>51.032787785809823</v>
      </c>
      <c r="I211" s="226">
        <f t="shared" si="14"/>
        <v>0</v>
      </c>
      <c r="J211" s="42">
        <f t="shared" si="15"/>
        <v>0</v>
      </c>
      <c r="K211" s="5"/>
      <c r="L211" s="10"/>
      <c r="M211" s="11"/>
      <c r="R211" s="11"/>
    </row>
    <row r="212" spans="1:18" x14ac:dyDescent="0.25">
      <c r="A212" s="38">
        <f>Données!A212</f>
        <v>5749</v>
      </c>
      <c r="B212" s="200" t="str">
        <f>Données!B212</f>
        <v>Chavornay</v>
      </c>
      <c r="C212" s="353">
        <f>VPI!R212</f>
        <v>140636.14212812972</v>
      </c>
      <c r="D212" s="544">
        <f>Données!AP212</f>
        <v>4.4790895573051328</v>
      </c>
      <c r="E212" s="422">
        <f>VPI!Q212</f>
        <v>70.5</v>
      </c>
      <c r="F212" s="244">
        <f t="shared" si="12"/>
        <v>66.02091044269487</v>
      </c>
      <c r="G212" s="241">
        <f>Effort!I212+Aide!I212/Taux!C212+Effort!K212/Taux!C212</f>
        <v>1.2789310511091472</v>
      </c>
      <c r="H212" s="83">
        <f t="shared" si="13"/>
        <v>67.299841493804024</v>
      </c>
      <c r="I212" s="226">
        <f t="shared" si="14"/>
        <v>0</v>
      </c>
      <c r="J212" s="42">
        <f t="shared" si="15"/>
        <v>0</v>
      </c>
      <c r="K212" s="5"/>
      <c r="L212" s="10"/>
      <c r="M212" s="11"/>
      <c r="R212" s="11"/>
    </row>
    <row r="213" spans="1:18" x14ac:dyDescent="0.25">
      <c r="A213" s="38">
        <f>Données!A213</f>
        <v>5750</v>
      </c>
      <c r="B213" s="200" t="str">
        <f>Données!B213</f>
        <v>Les Clées</v>
      </c>
      <c r="C213" s="353">
        <f>VPI!R213</f>
        <v>6038.046875</v>
      </c>
      <c r="D213" s="544">
        <f>Données!AP213</f>
        <v>13.02460071816648</v>
      </c>
      <c r="E213" s="422">
        <f>VPI!Q213</f>
        <v>80</v>
      </c>
      <c r="F213" s="244">
        <f t="shared" si="12"/>
        <v>66.975399281833518</v>
      </c>
      <c r="G213" s="241">
        <f>Effort!I213+Aide!I213/Taux!C213+Effort!K213/Taux!C213</f>
        <v>12.043679183555286</v>
      </c>
      <c r="H213" s="83">
        <f t="shared" si="13"/>
        <v>79.019078465388802</v>
      </c>
      <c r="I213" s="226">
        <f t="shared" si="14"/>
        <v>0</v>
      </c>
      <c r="J213" s="42">
        <f t="shared" si="15"/>
        <v>0</v>
      </c>
      <c r="K213" s="5"/>
      <c r="L213" s="10"/>
      <c r="M213" s="11"/>
      <c r="R213" s="11"/>
    </row>
    <row r="214" spans="1:18" x14ac:dyDescent="0.25">
      <c r="A214" s="38">
        <f>Données!A214</f>
        <v>5752</v>
      </c>
      <c r="B214" s="200" t="str">
        <f>Données!B214</f>
        <v>Croy</v>
      </c>
      <c r="C214" s="353">
        <f>VPI!R214</f>
        <v>9413.4881132598912</v>
      </c>
      <c r="D214" s="544">
        <f>Données!AP214</f>
        <v>10.102186244291046</v>
      </c>
      <c r="E214" s="422">
        <f>VPI!Q214</f>
        <v>74</v>
      </c>
      <c r="F214" s="244">
        <f t="shared" si="12"/>
        <v>63.897813755708952</v>
      </c>
      <c r="G214" s="241">
        <f>Effort!I214+Aide!I214/Taux!C214+Effort!K214/Taux!C214</f>
        <v>7.6033509268572992</v>
      </c>
      <c r="H214" s="83">
        <f t="shared" si="13"/>
        <v>71.501164682566255</v>
      </c>
      <c r="I214" s="226">
        <f t="shared" si="14"/>
        <v>0</v>
      </c>
      <c r="J214" s="42">
        <f t="shared" si="15"/>
        <v>0</v>
      </c>
      <c r="K214" s="5"/>
      <c r="L214" s="10"/>
      <c r="M214" s="11"/>
      <c r="R214" s="11"/>
    </row>
    <row r="215" spans="1:18" x14ac:dyDescent="0.25">
      <c r="A215" s="38">
        <f>Données!A215</f>
        <v>5754</v>
      </c>
      <c r="B215" s="200" t="str">
        <f>Données!B215</f>
        <v>Juriens</v>
      </c>
      <c r="C215" s="353">
        <f>VPI!R215</f>
        <v>8043.2571951290693</v>
      </c>
      <c r="D215" s="544">
        <f>Données!AP215</f>
        <v>14.906903113807246</v>
      </c>
      <c r="E215" s="422">
        <f>VPI!Q215</f>
        <v>79</v>
      </c>
      <c r="F215" s="244">
        <f t="shared" si="12"/>
        <v>64.093096886192754</v>
      </c>
      <c r="G215" s="241">
        <f>Effort!I215+Aide!I215/Taux!C215+Effort!K215/Taux!C215</f>
        <v>-2.4510100599777012</v>
      </c>
      <c r="H215" s="83">
        <f t="shared" si="13"/>
        <v>61.642086826215049</v>
      </c>
      <c r="I215" s="226">
        <f t="shared" si="14"/>
        <v>0</v>
      </c>
      <c r="J215" s="42">
        <f t="shared" si="15"/>
        <v>0</v>
      </c>
      <c r="K215" s="5"/>
      <c r="L215" s="10"/>
      <c r="M215" s="11"/>
      <c r="R215" s="11"/>
    </row>
    <row r="216" spans="1:18" x14ac:dyDescent="0.25">
      <c r="A216" s="38">
        <f>Données!A216</f>
        <v>5755</v>
      </c>
      <c r="B216" s="200" t="str">
        <f>Données!B216</f>
        <v>Lignerolle</v>
      </c>
      <c r="C216" s="353">
        <f>VPI!R216</f>
        <v>9053.1652859085789</v>
      </c>
      <c r="D216" s="544">
        <f>Données!AP216</f>
        <v>2.9019000802757899</v>
      </c>
      <c r="E216" s="422">
        <f>VPI!Q216</f>
        <v>78.5</v>
      </c>
      <c r="F216" s="244">
        <f t="shared" si="12"/>
        <v>75.598099919724206</v>
      </c>
      <c r="G216" s="241">
        <f>Effort!I216+Aide!I216/Taux!C216+Effort!K216/Taux!C216</f>
        <v>-59.872623028369432</v>
      </c>
      <c r="H216" s="83">
        <f t="shared" si="13"/>
        <v>15.725476891354774</v>
      </c>
      <c r="I216" s="226">
        <f t="shared" si="14"/>
        <v>0</v>
      </c>
      <c r="J216" s="42">
        <f t="shared" si="15"/>
        <v>0</v>
      </c>
      <c r="K216" s="5"/>
      <c r="L216" s="10"/>
      <c r="M216" s="11"/>
      <c r="R216" s="11"/>
    </row>
    <row r="217" spans="1:18" x14ac:dyDescent="0.25">
      <c r="A217" s="38">
        <f>Données!A217</f>
        <v>5756</v>
      </c>
      <c r="B217" s="200" t="str">
        <f>Données!B217</f>
        <v>Montcherand</v>
      </c>
      <c r="C217" s="353">
        <f>VPI!R217</f>
        <v>15753.043205801514</v>
      </c>
      <c r="D217" s="544">
        <f>Données!AP217</f>
        <v>22.275397389322617</v>
      </c>
      <c r="E217" s="422">
        <f>VPI!Q217</f>
        <v>72</v>
      </c>
      <c r="F217" s="244">
        <f t="shared" si="12"/>
        <v>49.72460261067738</v>
      </c>
      <c r="G217" s="241">
        <f>Effort!I217+Aide!I217/Taux!C217+Effort!K217/Taux!C217</f>
        <v>15.105220213624932</v>
      </c>
      <c r="H217" s="83">
        <f t="shared" si="13"/>
        <v>64.829822824302312</v>
      </c>
      <c r="I217" s="226">
        <f t="shared" si="14"/>
        <v>0</v>
      </c>
      <c r="J217" s="42">
        <f t="shared" si="15"/>
        <v>0</v>
      </c>
      <c r="K217" s="5"/>
      <c r="L217" s="10"/>
      <c r="M217" s="11"/>
      <c r="R217" s="11"/>
    </row>
    <row r="218" spans="1:18" x14ac:dyDescent="0.25">
      <c r="A218" s="38">
        <f>Données!A218</f>
        <v>5757</v>
      </c>
      <c r="B218" s="200" t="str">
        <f>Données!B218</f>
        <v>Orbe</v>
      </c>
      <c r="C218" s="353">
        <f>VPI!R218</f>
        <v>203477.21355711605</v>
      </c>
      <c r="D218" s="544">
        <f>Données!AP218</f>
        <v>5.6088596531538366</v>
      </c>
      <c r="E218" s="422">
        <f>VPI!Q218</f>
        <v>75.5</v>
      </c>
      <c r="F218" s="244">
        <f t="shared" si="12"/>
        <v>69.891140346846157</v>
      </c>
      <c r="G218" s="241">
        <f>Effort!I218+Aide!I218/Taux!C218+Effort!K218/Taux!C218</f>
        <v>-5.0775526486289166</v>
      </c>
      <c r="H218" s="83">
        <f t="shared" si="13"/>
        <v>64.813587698217248</v>
      </c>
      <c r="I218" s="226">
        <f t="shared" si="14"/>
        <v>0</v>
      </c>
      <c r="J218" s="42">
        <f t="shared" si="15"/>
        <v>0</v>
      </c>
      <c r="K218" s="5"/>
      <c r="L218" s="10"/>
      <c r="M218" s="11"/>
      <c r="R218" s="11"/>
    </row>
    <row r="219" spans="1:18" x14ac:dyDescent="0.25">
      <c r="A219" s="38">
        <f>Données!A219</f>
        <v>5758</v>
      </c>
      <c r="B219" s="200" t="str">
        <f>Données!B219</f>
        <v>La Praz</v>
      </c>
      <c r="C219" s="353">
        <f>VPI!R219</f>
        <v>4311.7430790337894</v>
      </c>
      <c r="D219" s="544">
        <f>Données!AP219</f>
        <v>11.902517480982496</v>
      </c>
      <c r="E219" s="422">
        <f>VPI!Q219</f>
        <v>83</v>
      </c>
      <c r="F219" s="244">
        <f t="shared" si="12"/>
        <v>71.097482519017504</v>
      </c>
      <c r="G219" s="241">
        <f>Effort!I219+Aide!I219/Taux!C219+Effort!K219/Taux!C219</f>
        <v>2.2175452398226838</v>
      </c>
      <c r="H219" s="83">
        <f t="shared" si="13"/>
        <v>73.315027758840188</v>
      </c>
      <c r="I219" s="226">
        <f t="shared" si="14"/>
        <v>0</v>
      </c>
      <c r="J219" s="42">
        <f t="shared" si="15"/>
        <v>0</v>
      </c>
      <c r="K219" s="5"/>
      <c r="L219" s="10"/>
      <c r="M219" s="11"/>
      <c r="R219" s="11"/>
    </row>
    <row r="220" spans="1:18" x14ac:dyDescent="0.25">
      <c r="A220" s="38">
        <f>Données!A220</f>
        <v>5759</v>
      </c>
      <c r="B220" s="200" t="str">
        <f>Données!B220</f>
        <v>Premier</v>
      </c>
      <c r="C220" s="353">
        <f>VPI!R220</f>
        <v>5307.2435849357244</v>
      </c>
      <c r="D220" s="544">
        <f>Données!AP220</f>
        <v>7.1880360918911972</v>
      </c>
      <c r="E220" s="422">
        <f>VPI!Q220</f>
        <v>79.5</v>
      </c>
      <c r="F220" s="244">
        <f t="shared" si="12"/>
        <v>72.311963908108808</v>
      </c>
      <c r="G220" s="241">
        <f>Effort!I220+Aide!I220/Taux!C220+Effort!K220/Taux!C220</f>
        <v>-4.491387602868059</v>
      </c>
      <c r="H220" s="83">
        <f t="shared" si="13"/>
        <v>67.820576305240749</v>
      </c>
      <c r="I220" s="226">
        <f t="shared" si="14"/>
        <v>0</v>
      </c>
      <c r="J220" s="42">
        <f t="shared" si="15"/>
        <v>0</v>
      </c>
      <c r="K220" s="5"/>
      <c r="L220" s="10"/>
      <c r="M220" s="11"/>
      <c r="R220" s="11"/>
    </row>
    <row r="221" spans="1:18" x14ac:dyDescent="0.25">
      <c r="A221" s="38">
        <f>Données!A221</f>
        <v>5760</v>
      </c>
      <c r="B221" s="200" t="str">
        <f>Données!B221</f>
        <v>Rances</v>
      </c>
      <c r="C221" s="353">
        <f>VPI!R221</f>
        <v>12825.206275823581</v>
      </c>
      <c r="D221" s="544">
        <f>Données!AP221</f>
        <v>8.7803002777378349</v>
      </c>
      <c r="E221" s="422">
        <f>VPI!Q221</f>
        <v>76.5</v>
      </c>
      <c r="F221" s="244">
        <f t="shared" si="12"/>
        <v>67.719699722262163</v>
      </c>
      <c r="G221" s="241">
        <f>Effort!I221+Aide!I221/Taux!C221+Effort!K221/Taux!C221</f>
        <v>-2.9842755734783886</v>
      </c>
      <c r="H221" s="83">
        <f t="shared" si="13"/>
        <v>64.735424148783778</v>
      </c>
      <c r="I221" s="226">
        <f t="shared" si="14"/>
        <v>0</v>
      </c>
      <c r="J221" s="42">
        <f t="shared" si="15"/>
        <v>0</v>
      </c>
      <c r="K221" s="5"/>
      <c r="L221" s="10"/>
      <c r="M221" s="11"/>
      <c r="R221" s="11"/>
    </row>
    <row r="222" spans="1:18" x14ac:dyDescent="0.25">
      <c r="A222" s="38">
        <f>Données!A222</f>
        <v>5761</v>
      </c>
      <c r="B222" s="200" t="str">
        <f>Données!B222</f>
        <v>Romainmôtier-Envy</v>
      </c>
      <c r="C222" s="353">
        <f>VPI!R222</f>
        <v>12133.770909516334</v>
      </c>
      <c r="D222" s="544">
        <f>Données!AP222</f>
        <v>3.5554618729687766</v>
      </c>
      <c r="E222" s="422">
        <f>VPI!Q222</f>
        <v>81</v>
      </c>
      <c r="F222" s="244">
        <f t="shared" si="12"/>
        <v>77.444538127031223</v>
      </c>
      <c r="G222" s="241">
        <f>Effort!I222+Aide!I222/Taux!C222+Effort!K222/Taux!C222</f>
        <v>-14.207168829667765</v>
      </c>
      <c r="H222" s="83">
        <f t="shared" si="13"/>
        <v>63.237369297363458</v>
      </c>
      <c r="I222" s="226">
        <f t="shared" si="14"/>
        <v>0</v>
      </c>
      <c r="J222" s="42">
        <f t="shared" si="15"/>
        <v>0</v>
      </c>
      <c r="K222" s="5"/>
      <c r="L222" s="10"/>
      <c r="M222" s="11"/>
      <c r="R222" s="11"/>
    </row>
    <row r="223" spans="1:18" x14ac:dyDescent="0.25">
      <c r="A223" s="38">
        <f>Données!A223</f>
        <v>5762</v>
      </c>
      <c r="B223" s="200" t="str">
        <f>Données!B223</f>
        <v>Sergey</v>
      </c>
      <c r="C223" s="353">
        <f>VPI!R223</f>
        <v>3771.973692411721</v>
      </c>
      <c r="D223" s="544">
        <f>Données!AP223</f>
        <v>14.345356813385095</v>
      </c>
      <c r="E223" s="422">
        <f>VPI!Q223</f>
        <v>78</v>
      </c>
      <c r="F223" s="244">
        <f t="shared" si="12"/>
        <v>63.654643186614905</v>
      </c>
      <c r="G223" s="241">
        <f>Effort!I223+Aide!I223/Taux!C223+Effort!K223/Taux!C223</f>
        <v>3.0007875967022741</v>
      </c>
      <c r="H223" s="83">
        <f t="shared" si="13"/>
        <v>66.655430783317172</v>
      </c>
      <c r="I223" s="226">
        <f t="shared" si="14"/>
        <v>0</v>
      </c>
      <c r="J223" s="42">
        <f t="shared" si="15"/>
        <v>0</v>
      </c>
      <c r="K223" s="5"/>
      <c r="L223" s="10"/>
      <c r="M223" s="11"/>
      <c r="R223" s="11"/>
    </row>
    <row r="224" spans="1:18" x14ac:dyDescent="0.25">
      <c r="A224" s="38">
        <f>Données!A224</f>
        <v>5763</v>
      </c>
      <c r="B224" s="200" t="str">
        <f>Données!B224</f>
        <v>Valeyres-sous-Rances</v>
      </c>
      <c r="C224" s="353">
        <f>VPI!R224</f>
        <v>20450.878825889598</v>
      </c>
      <c r="D224" s="544">
        <f>Données!AP224</f>
        <v>25.960016097338027</v>
      </c>
      <c r="E224" s="422">
        <f>VPI!Q224</f>
        <v>68</v>
      </c>
      <c r="F224" s="244">
        <f t="shared" si="12"/>
        <v>42.039983902661973</v>
      </c>
      <c r="G224" s="241">
        <f>Effort!I224+Aide!I224/Taux!C224+Effort!K224/Taux!C224</f>
        <v>17.489768090417716</v>
      </c>
      <c r="H224" s="83">
        <f t="shared" si="13"/>
        <v>59.529751993079685</v>
      </c>
      <c r="I224" s="226">
        <f t="shared" si="14"/>
        <v>0</v>
      </c>
      <c r="J224" s="42">
        <f t="shared" si="15"/>
        <v>0</v>
      </c>
      <c r="K224" s="5"/>
      <c r="L224" s="10"/>
      <c r="M224" s="11"/>
      <c r="R224" s="11"/>
    </row>
    <row r="225" spans="1:18" x14ac:dyDescent="0.25">
      <c r="A225" s="38">
        <f>Données!A225</f>
        <v>5764</v>
      </c>
      <c r="B225" s="200" t="str">
        <f>Données!B225</f>
        <v>Vallorbe</v>
      </c>
      <c r="C225" s="353">
        <f>VPI!R225</f>
        <v>84208.757632819674</v>
      </c>
      <c r="D225" s="544">
        <f>Données!AP225</f>
        <v>-0.98164842777661832</v>
      </c>
      <c r="E225" s="422">
        <f>VPI!Q225</f>
        <v>71.5</v>
      </c>
      <c r="F225" s="244">
        <f t="shared" si="12"/>
        <v>72.481648427776619</v>
      </c>
      <c r="G225" s="241">
        <f>Effort!I225+Aide!I225/Taux!C225+Effort!K225/Taux!C225</f>
        <v>-28.093165885580675</v>
      </c>
      <c r="H225" s="83">
        <f t="shared" si="13"/>
        <v>44.388482542195945</v>
      </c>
      <c r="I225" s="226">
        <f t="shared" si="14"/>
        <v>0</v>
      </c>
      <c r="J225" s="42">
        <f t="shared" si="15"/>
        <v>0</v>
      </c>
      <c r="K225" s="5"/>
      <c r="L225" s="10"/>
      <c r="M225" s="11"/>
      <c r="R225" s="11"/>
    </row>
    <row r="226" spans="1:18" x14ac:dyDescent="0.25">
      <c r="A226" s="38">
        <f>Données!A226</f>
        <v>5765</v>
      </c>
      <c r="B226" s="200" t="str">
        <f>Données!B226</f>
        <v>Vaulion</v>
      </c>
      <c r="C226" s="353">
        <f>VPI!R226</f>
        <v>11314.093434772476</v>
      </c>
      <c r="D226" s="544">
        <f>Données!AP226</f>
        <v>6.230580067834171</v>
      </c>
      <c r="E226" s="422">
        <f>VPI!Q226</f>
        <v>81</v>
      </c>
      <c r="F226" s="244">
        <f t="shared" si="12"/>
        <v>74.769419932165832</v>
      </c>
      <c r="G226" s="241">
        <f>Effort!I226+Aide!I226/Taux!C226+Effort!K226/Taux!C226</f>
        <v>-13.41348658282044</v>
      </c>
      <c r="H226" s="83">
        <f t="shared" si="13"/>
        <v>61.355933349345392</v>
      </c>
      <c r="I226" s="226">
        <f t="shared" si="14"/>
        <v>0</v>
      </c>
      <c r="J226" s="42">
        <f t="shared" si="15"/>
        <v>0</v>
      </c>
      <c r="K226" s="5"/>
      <c r="L226" s="10"/>
      <c r="M226" s="11"/>
      <c r="R226" s="11"/>
    </row>
    <row r="227" spans="1:18" x14ac:dyDescent="0.25">
      <c r="A227" s="38">
        <f>Données!A227</f>
        <v>5766</v>
      </c>
      <c r="B227" s="200" t="str">
        <f>Données!B227</f>
        <v>Vuiteboeuf</v>
      </c>
      <c r="C227" s="353">
        <f>VPI!R227</f>
        <v>15990.410165272326</v>
      </c>
      <c r="D227" s="544">
        <f>Données!AP227</f>
        <v>8.7234113244295255</v>
      </c>
      <c r="E227" s="422">
        <f>VPI!Q227</f>
        <v>77</v>
      </c>
      <c r="F227" s="244">
        <f t="shared" si="12"/>
        <v>68.27658867557048</v>
      </c>
      <c r="G227" s="241">
        <f>Effort!I227+Aide!I227/Taux!C227+Effort!K227/Taux!C227</f>
        <v>5.8885464956682956</v>
      </c>
      <c r="H227" s="83">
        <f t="shared" si="13"/>
        <v>74.165135171238774</v>
      </c>
      <c r="I227" s="226">
        <f t="shared" si="14"/>
        <v>0</v>
      </c>
      <c r="J227" s="42">
        <f t="shared" si="15"/>
        <v>0</v>
      </c>
      <c r="K227" s="5"/>
      <c r="L227" s="10"/>
      <c r="M227" s="11"/>
      <c r="R227" s="11"/>
    </row>
    <row r="228" spans="1:18" x14ac:dyDescent="0.25">
      <c r="A228" s="38">
        <f>Données!A228</f>
        <v>5785</v>
      </c>
      <c r="B228" s="200" t="str">
        <f>Données!B228</f>
        <v>Corcelles-le-Jorat</v>
      </c>
      <c r="C228" s="353">
        <f>VPI!R228</f>
        <v>17505.983698727712</v>
      </c>
      <c r="D228" s="544">
        <f>Données!AP228</f>
        <v>25.899479975054707</v>
      </c>
      <c r="E228" s="422">
        <f>VPI!Q228</f>
        <v>77</v>
      </c>
      <c r="F228" s="244">
        <f t="shared" si="12"/>
        <v>51.100520024945297</v>
      </c>
      <c r="G228" s="241">
        <f>Effort!I228+Aide!I228/Taux!C228+Effort!K228/Taux!C228</f>
        <v>22.362977579538782</v>
      </c>
      <c r="H228" s="83">
        <f t="shared" si="13"/>
        <v>73.463497604484076</v>
      </c>
      <c r="I228" s="226">
        <f t="shared" si="14"/>
        <v>0</v>
      </c>
      <c r="J228" s="42">
        <f t="shared" si="15"/>
        <v>0</v>
      </c>
      <c r="K228" s="5"/>
      <c r="L228" s="10"/>
      <c r="M228" s="11"/>
      <c r="R228" s="11"/>
    </row>
    <row r="229" spans="1:18" x14ac:dyDescent="0.25">
      <c r="A229" s="38">
        <f>Données!A229</f>
        <v>5790</v>
      </c>
      <c r="B229" s="200" t="str">
        <f>Données!B229</f>
        <v>Maracon</v>
      </c>
      <c r="C229" s="353">
        <f>VPI!R229</f>
        <v>13395.718975615504</v>
      </c>
      <c r="D229" s="544">
        <f>Données!AP229</f>
        <v>13.997158558972288</v>
      </c>
      <c r="E229" s="422">
        <f>VPI!Q229</f>
        <v>74.5</v>
      </c>
      <c r="F229" s="244">
        <f t="shared" si="12"/>
        <v>60.502841441027712</v>
      </c>
      <c r="G229" s="241">
        <f>Effort!I229+Aide!I229/Taux!C229+Effort!K229/Taux!C229</f>
        <v>5.4240787393051733</v>
      </c>
      <c r="H229" s="83">
        <f t="shared" si="13"/>
        <v>65.926920180332885</v>
      </c>
      <c r="I229" s="226">
        <f t="shared" si="14"/>
        <v>0</v>
      </c>
      <c r="J229" s="42">
        <f t="shared" si="15"/>
        <v>0</v>
      </c>
      <c r="K229" s="5"/>
      <c r="L229" s="10"/>
      <c r="M229" s="11"/>
      <c r="R229" s="11"/>
    </row>
    <row r="230" spans="1:18" x14ac:dyDescent="0.25">
      <c r="A230" s="38">
        <f>Données!A230</f>
        <v>5792</v>
      </c>
      <c r="B230" s="200" t="str">
        <f>Données!B230</f>
        <v>Montpreveyres</v>
      </c>
      <c r="C230" s="353">
        <f>VPI!R230</f>
        <v>17608.366503920086</v>
      </c>
      <c r="D230" s="544">
        <f>Données!AP230</f>
        <v>19.278707260188284</v>
      </c>
      <c r="E230" s="422">
        <f>VPI!Q230</f>
        <v>75</v>
      </c>
      <c r="F230" s="244">
        <f t="shared" si="12"/>
        <v>55.721292739811716</v>
      </c>
      <c r="G230" s="241">
        <f>Effort!I230+Aide!I230/Taux!C230+Effort!K230/Taux!C230</f>
        <v>3.1240548976784339</v>
      </c>
      <c r="H230" s="83">
        <f t="shared" si="13"/>
        <v>58.84534763749015</v>
      </c>
      <c r="I230" s="226">
        <f t="shared" si="14"/>
        <v>0</v>
      </c>
      <c r="J230" s="42">
        <f t="shared" si="15"/>
        <v>0</v>
      </c>
      <c r="K230" s="5"/>
      <c r="L230" s="10"/>
      <c r="M230" s="11"/>
      <c r="R230" s="11"/>
    </row>
    <row r="231" spans="1:18" x14ac:dyDescent="0.25">
      <c r="A231" s="38">
        <f>Données!A231</f>
        <v>5798</v>
      </c>
      <c r="B231" s="200" t="str">
        <f>Données!B231</f>
        <v>Ropraz</v>
      </c>
      <c r="C231" s="353">
        <f>VPI!R231</f>
        <v>15757.055763710458</v>
      </c>
      <c r="D231" s="544">
        <f>Données!AP231</f>
        <v>17.354559595364567</v>
      </c>
      <c r="E231" s="422">
        <f>VPI!Q231</f>
        <v>77.5</v>
      </c>
      <c r="F231" s="244">
        <f t="shared" si="12"/>
        <v>60.145440404635437</v>
      </c>
      <c r="G231" s="241">
        <f>Effort!I231+Aide!I231/Taux!C231+Effort!K231/Taux!C231</f>
        <v>12.837402311506501</v>
      </c>
      <c r="H231" s="83">
        <f t="shared" si="13"/>
        <v>72.982842716141931</v>
      </c>
      <c r="I231" s="226">
        <f t="shared" si="14"/>
        <v>0</v>
      </c>
      <c r="J231" s="42">
        <f t="shared" si="15"/>
        <v>0</v>
      </c>
      <c r="K231" s="5"/>
      <c r="L231" s="10"/>
      <c r="M231" s="11"/>
      <c r="R231" s="11"/>
    </row>
    <row r="232" spans="1:18" x14ac:dyDescent="0.25">
      <c r="A232" s="38">
        <f>Données!A232</f>
        <v>5799</v>
      </c>
      <c r="B232" s="200" t="str">
        <f>Données!B232</f>
        <v>Servion</v>
      </c>
      <c r="C232" s="353">
        <f>VPI!R232</f>
        <v>69379.10406939665</v>
      </c>
      <c r="D232" s="544">
        <f>Données!AP232</f>
        <v>22.745454451564061</v>
      </c>
      <c r="E232" s="422">
        <f>VPI!Q232</f>
        <v>69</v>
      </c>
      <c r="F232" s="244">
        <f t="shared" si="12"/>
        <v>46.254545548435942</v>
      </c>
      <c r="G232" s="241">
        <f>Effort!I232+Aide!I232/Taux!C232+Effort!K232/Taux!C232</f>
        <v>14.582841602713694</v>
      </c>
      <c r="H232" s="83">
        <f t="shared" si="13"/>
        <v>60.837387151149635</v>
      </c>
      <c r="I232" s="226">
        <f t="shared" si="14"/>
        <v>0</v>
      </c>
      <c r="J232" s="42">
        <f t="shared" si="15"/>
        <v>0</v>
      </c>
      <c r="K232" s="5"/>
      <c r="L232" s="10"/>
      <c r="M232" s="11"/>
      <c r="R232" s="11"/>
    </row>
    <row r="233" spans="1:18" x14ac:dyDescent="0.25">
      <c r="A233" s="38">
        <f>Données!A233</f>
        <v>5803</v>
      </c>
      <c r="B233" s="200" t="str">
        <f>Données!B233</f>
        <v>Vulliens</v>
      </c>
      <c r="C233" s="353">
        <f>VPI!R233</f>
        <v>18878.281315789478</v>
      </c>
      <c r="D233" s="544">
        <f>Données!AP233</f>
        <v>15.676072864606827</v>
      </c>
      <c r="E233" s="422">
        <f>VPI!Q233</f>
        <v>76</v>
      </c>
      <c r="F233" s="244">
        <f t="shared" si="12"/>
        <v>60.323927135393177</v>
      </c>
      <c r="G233" s="241">
        <f>Effort!I233+Aide!I233/Taux!C233+Effort!K233/Taux!C233</f>
        <v>13.17048200744949</v>
      </c>
      <c r="H233" s="83">
        <f t="shared" si="13"/>
        <v>73.49440914284267</v>
      </c>
      <c r="I233" s="226">
        <f t="shared" si="14"/>
        <v>0</v>
      </c>
      <c r="J233" s="42">
        <f t="shared" si="15"/>
        <v>0</v>
      </c>
      <c r="K233" s="5"/>
      <c r="L233" s="10"/>
      <c r="M233" s="11"/>
      <c r="R233" s="11"/>
    </row>
    <row r="234" spans="1:18" x14ac:dyDescent="0.25">
      <c r="A234" s="38">
        <f>Données!A234</f>
        <v>5804</v>
      </c>
      <c r="B234" s="200" t="str">
        <f>Données!B234</f>
        <v>Jorat-Menthue</v>
      </c>
      <c r="C234" s="353">
        <f>VPI!R234</f>
        <v>46675.442411362579</v>
      </c>
      <c r="D234" s="544">
        <f>Données!AP234</f>
        <v>14.037741079062053</v>
      </c>
      <c r="E234" s="422">
        <f>VPI!Q234</f>
        <v>70.5</v>
      </c>
      <c r="F234" s="244">
        <f t="shared" si="12"/>
        <v>56.462258920937948</v>
      </c>
      <c r="G234" s="241">
        <f>Effort!I234+Aide!I234/Taux!C234+Effort!K234/Taux!C234</f>
        <v>4.4195438622034491</v>
      </c>
      <c r="H234" s="83">
        <f t="shared" si="13"/>
        <v>60.881802783141396</v>
      </c>
      <c r="I234" s="226">
        <f t="shared" si="14"/>
        <v>0</v>
      </c>
      <c r="J234" s="42">
        <f t="shared" si="15"/>
        <v>0</v>
      </c>
      <c r="K234" s="5"/>
      <c r="L234" s="10"/>
      <c r="M234" s="11"/>
      <c r="R234" s="11"/>
    </row>
    <row r="235" spans="1:18" x14ac:dyDescent="0.25">
      <c r="A235" s="38">
        <f>Données!A235</f>
        <v>5805</v>
      </c>
      <c r="B235" s="200" t="str">
        <f>Données!B235</f>
        <v>Oron</v>
      </c>
      <c r="C235" s="353">
        <f>VPI!R235</f>
        <v>172360.6832516081</v>
      </c>
      <c r="D235" s="544">
        <f>Données!AP235</f>
        <v>9.5504692282597219</v>
      </c>
      <c r="E235" s="422">
        <f>VPI!Q235</f>
        <v>69.239999999999995</v>
      </c>
      <c r="F235" s="244">
        <f t="shared" si="12"/>
        <v>59.689530771740273</v>
      </c>
      <c r="G235" s="241">
        <f>Effort!I235+Aide!I235/Taux!C235+Effort!K235/Taux!C235</f>
        <v>2.5117808987506649</v>
      </c>
      <c r="H235" s="83">
        <f t="shared" si="13"/>
        <v>62.201311670490938</v>
      </c>
      <c r="I235" s="226">
        <f t="shared" si="14"/>
        <v>0</v>
      </c>
      <c r="J235" s="42">
        <f t="shared" si="15"/>
        <v>0</v>
      </c>
      <c r="K235" s="5"/>
      <c r="L235" s="10"/>
      <c r="M235" s="11"/>
      <c r="R235" s="11"/>
    </row>
    <row r="236" spans="1:18" x14ac:dyDescent="0.25">
      <c r="A236" s="38">
        <f>Données!A236</f>
        <v>5806</v>
      </c>
      <c r="B236" s="200" t="str">
        <f>Données!B236</f>
        <v>Jorat-Mézières</v>
      </c>
      <c r="C236" s="353">
        <f>VPI!R236</f>
        <v>91040.343063115521</v>
      </c>
      <c r="D236" s="544">
        <f>Données!AP236</f>
        <v>15.263888429508569</v>
      </c>
      <c r="E236" s="422">
        <f>VPI!Q236</f>
        <v>73</v>
      </c>
      <c r="F236" s="244">
        <f t="shared" si="12"/>
        <v>57.736111570491431</v>
      </c>
      <c r="G236" s="241">
        <f>Effort!I236+Aide!I236/Taux!C236+Effort!K236/Taux!C236</f>
        <v>9.6175792133209033</v>
      </c>
      <c r="H236" s="83">
        <f t="shared" si="13"/>
        <v>67.35369078381234</v>
      </c>
      <c r="I236" s="226">
        <f t="shared" si="14"/>
        <v>0</v>
      </c>
      <c r="J236" s="42">
        <f t="shared" si="15"/>
        <v>0</v>
      </c>
      <c r="K236" s="5"/>
      <c r="L236" s="10"/>
      <c r="M236" s="11"/>
      <c r="R236" s="11"/>
    </row>
    <row r="237" spans="1:18" x14ac:dyDescent="0.25">
      <c r="A237" s="38">
        <f>Données!A237</f>
        <v>5812</v>
      </c>
      <c r="B237" s="200" t="str">
        <f>Données!B237</f>
        <v>Champtauroz</v>
      </c>
      <c r="C237" s="353">
        <f>VPI!R237</f>
        <v>2509.107922077922</v>
      </c>
      <c r="D237" s="544">
        <f>Données!AP237</f>
        <v>14.550669655500396</v>
      </c>
      <c r="E237" s="422">
        <f>VPI!Q237</f>
        <v>77</v>
      </c>
      <c r="F237" s="244">
        <f t="shared" si="12"/>
        <v>62.4493303444996</v>
      </c>
      <c r="G237" s="241">
        <f>Effort!I237+Aide!I237/Taux!C237+Effort!K237/Taux!C237</f>
        <v>-24.232096541752114</v>
      </c>
      <c r="H237" s="83">
        <f t="shared" si="13"/>
        <v>38.217233802747486</v>
      </c>
      <c r="I237" s="226">
        <f t="shared" si="14"/>
        <v>0</v>
      </c>
      <c r="J237" s="42">
        <f t="shared" si="15"/>
        <v>0</v>
      </c>
      <c r="K237" s="5"/>
      <c r="L237" s="10"/>
      <c r="M237" s="11"/>
      <c r="R237" s="11"/>
    </row>
    <row r="238" spans="1:18" x14ac:dyDescent="0.25">
      <c r="A238" s="38">
        <f>Données!A238</f>
        <v>5813</v>
      </c>
      <c r="B238" s="200" t="str">
        <f>Données!B238</f>
        <v>Chevroux</v>
      </c>
      <c r="C238" s="353">
        <f>VPI!R238</f>
        <v>15173.187804567502</v>
      </c>
      <c r="D238" s="544">
        <f>Données!AP238</f>
        <v>20.360182459620098</v>
      </c>
      <c r="E238" s="422">
        <f>VPI!Q238</f>
        <v>68.5</v>
      </c>
      <c r="F238" s="244">
        <f t="shared" si="12"/>
        <v>48.139817540379902</v>
      </c>
      <c r="G238" s="241">
        <f>Effort!I238+Aide!I238/Taux!C238+Effort!K238/Taux!C238</f>
        <v>-1.3460357385088599</v>
      </c>
      <c r="H238" s="83">
        <f t="shared" si="13"/>
        <v>46.793781801871042</v>
      </c>
      <c r="I238" s="226">
        <f t="shared" si="14"/>
        <v>0</v>
      </c>
      <c r="J238" s="42">
        <f t="shared" si="15"/>
        <v>0</v>
      </c>
      <c r="K238" s="5"/>
      <c r="L238" s="10"/>
      <c r="M238" s="11"/>
      <c r="R238" s="11"/>
    </row>
    <row r="239" spans="1:18" x14ac:dyDescent="0.25">
      <c r="A239" s="38">
        <f>Données!A239</f>
        <v>5816</v>
      </c>
      <c r="B239" s="200" t="str">
        <f>Données!B239</f>
        <v>Corcelles-près-Payerne</v>
      </c>
      <c r="C239" s="353">
        <f>VPI!R239</f>
        <v>60494.301475743108</v>
      </c>
      <c r="D239" s="544">
        <f>Données!AP239</f>
        <v>5.2287482847822977</v>
      </c>
      <c r="E239" s="422">
        <f>VPI!Q239</f>
        <v>68.5</v>
      </c>
      <c r="F239" s="244">
        <f t="shared" si="12"/>
        <v>63.271251715217701</v>
      </c>
      <c r="G239" s="241">
        <f>Effort!I239+Aide!I239/Taux!C239+Effort!K239/Taux!C239</f>
        <v>-3.1400489836003658</v>
      </c>
      <c r="H239" s="83">
        <f t="shared" si="13"/>
        <v>60.131202731617336</v>
      </c>
      <c r="I239" s="226">
        <f t="shared" si="14"/>
        <v>0</v>
      </c>
      <c r="J239" s="42">
        <f t="shared" si="15"/>
        <v>0</v>
      </c>
      <c r="K239" s="5"/>
      <c r="L239" s="10"/>
      <c r="M239" s="11"/>
      <c r="R239" s="11"/>
    </row>
    <row r="240" spans="1:18" x14ac:dyDescent="0.25">
      <c r="A240" s="38">
        <f>Données!A240</f>
        <v>5817</v>
      </c>
      <c r="B240" s="200" t="str">
        <f>Données!B240</f>
        <v>Grandcour</v>
      </c>
      <c r="C240" s="353">
        <f>VPI!R240</f>
        <v>21852.23221700843</v>
      </c>
      <c r="D240" s="544">
        <f>Données!AP240</f>
        <v>5.8455590078078368</v>
      </c>
      <c r="E240" s="422">
        <f>VPI!Q240</f>
        <v>73.5</v>
      </c>
      <c r="F240" s="244">
        <f t="shared" si="12"/>
        <v>67.654440992192164</v>
      </c>
      <c r="G240" s="241">
        <f>Effort!I240+Aide!I240/Taux!C240+Effort!K240/Taux!C240</f>
        <v>-1.0089415201222494</v>
      </c>
      <c r="H240" s="83">
        <f t="shared" si="13"/>
        <v>66.645499472069915</v>
      </c>
      <c r="I240" s="226">
        <f t="shared" si="14"/>
        <v>0</v>
      </c>
      <c r="J240" s="42">
        <f t="shared" si="15"/>
        <v>0</v>
      </c>
      <c r="K240" s="5"/>
      <c r="L240" s="10"/>
      <c r="M240" s="11"/>
      <c r="R240" s="11"/>
    </row>
    <row r="241" spans="1:18" x14ac:dyDescent="0.25">
      <c r="A241" s="38">
        <f>Données!A241</f>
        <v>5819</v>
      </c>
      <c r="B241" s="200" t="str">
        <f>Données!B241</f>
        <v>Henniez</v>
      </c>
      <c r="C241" s="353">
        <f>VPI!R241</f>
        <v>11442.507547725303</v>
      </c>
      <c r="D241" s="544">
        <f>Données!AP241</f>
        <v>22.426881535591441</v>
      </c>
      <c r="E241" s="422">
        <f>VPI!Q241</f>
        <v>69</v>
      </c>
      <c r="F241" s="244">
        <f t="shared" si="12"/>
        <v>46.573118464408559</v>
      </c>
      <c r="G241" s="241">
        <f>Effort!I241+Aide!I241/Taux!C241+Effort!K241/Taux!C241</f>
        <v>9.2276082755715993</v>
      </c>
      <c r="H241" s="83">
        <f t="shared" si="13"/>
        <v>55.800726739980156</v>
      </c>
      <c r="I241" s="226">
        <f t="shared" si="14"/>
        <v>0</v>
      </c>
      <c r="J241" s="42">
        <f t="shared" si="15"/>
        <v>0</v>
      </c>
      <c r="K241" s="5"/>
      <c r="L241" s="10"/>
      <c r="M241" s="11"/>
      <c r="R241" s="11"/>
    </row>
    <row r="242" spans="1:18" x14ac:dyDescent="0.25">
      <c r="A242" s="38">
        <f>Données!A242</f>
        <v>5821</v>
      </c>
      <c r="B242" s="200" t="str">
        <f>Données!B242</f>
        <v>Missy</v>
      </c>
      <c r="C242" s="353">
        <f>VPI!R242</f>
        <v>7871.5501639965696</v>
      </c>
      <c r="D242" s="544">
        <f>Données!AP242</f>
        <v>9.1767641606074886</v>
      </c>
      <c r="E242" s="422">
        <f>VPI!Q242</f>
        <v>72</v>
      </c>
      <c r="F242" s="244">
        <f t="shared" si="12"/>
        <v>62.82323583939251</v>
      </c>
      <c r="G242" s="241">
        <f>Effort!I242+Aide!I242/Taux!C242+Effort!K242/Taux!C242</f>
        <v>1.5009064232080433</v>
      </c>
      <c r="H242" s="83">
        <f t="shared" si="13"/>
        <v>64.32414226260056</v>
      </c>
      <c r="I242" s="226">
        <f t="shared" si="14"/>
        <v>0</v>
      </c>
      <c r="J242" s="42">
        <f t="shared" si="15"/>
        <v>0</v>
      </c>
      <c r="K242" s="5"/>
      <c r="L242" s="10"/>
      <c r="M242" s="11"/>
      <c r="R242" s="11"/>
    </row>
    <row r="243" spans="1:18" x14ac:dyDescent="0.25">
      <c r="A243" s="38">
        <f>Données!A243</f>
        <v>5822</v>
      </c>
      <c r="B243" s="200" t="str">
        <f>Données!B243</f>
        <v>Payerne</v>
      </c>
      <c r="C243" s="353">
        <f>VPI!R243</f>
        <v>237529.8930471511</v>
      </c>
      <c r="D243" s="544">
        <f>Données!AP243</f>
        <v>-6.230756850139791</v>
      </c>
      <c r="E243" s="422">
        <f>VPI!Q243</f>
        <v>73</v>
      </c>
      <c r="F243" s="244">
        <f t="shared" si="12"/>
        <v>79.230756850139784</v>
      </c>
      <c r="G243" s="241">
        <f>Effort!I243+Aide!I243/Taux!C243+Effort!K243/Taux!C243</f>
        <v>-15.545225354486888</v>
      </c>
      <c r="H243" s="83">
        <f t="shared" si="13"/>
        <v>63.685531495652896</v>
      </c>
      <c r="I243" s="226">
        <f t="shared" si="14"/>
        <v>0</v>
      </c>
      <c r="J243" s="42">
        <f t="shared" si="15"/>
        <v>0</v>
      </c>
      <c r="K243" s="5"/>
      <c r="L243" s="10"/>
      <c r="M243" s="11"/>
      <c r="R243" s="11"/>
    </row>
    <row r="244" spans="1:18" x14ac:dyDescent="0.25">
      <c r="A244" s="38">
        <f>Données!A244</f>
        <v>5827</v>
      </c>
      <c r="B244" s="200" t="str">
        <f>Données!B244</f>
        <v>Trey</v>
      </c>
      <c r="C244" s="353">
        <f>VPI!R244</f>
        <v>6158.3041346806722</v>
      </c>
      <c r="D244" s="544">
        <f>Données!AP244</f>
        <v>5.9429090583303266</v>
      </c>
      <c r="E244" s="422">
        <f>VPI!Q244</f>
        <v>78</v>
      </c>
      <c r="F244" s="244">
        <f t="shared" si="12"/>
        <v>72.057090941669671</v>
      </c>
      <c r="G244" s="241">
        <f>Effort!I244+Aide!I244/Taux!C244+Effort!K244/Taux!C244</f>
        <v>-11.928070456894748</v>
      </c>
      <c r="H244" s="83">
        <f t="shared" si="13"/>
        <v>60.129020484774927</v>
      </c>
      <c r="I244" s="226">
        <f t="shared" si="14"/>
        <v>0</v>
      </c>
      <c r="J244" s="42">
        <f t="shared" si="15"/>
        <v>0</v>
      </c>
      <c r="K244" s="5"/>
      <c r="L244" s="10"/>
      <c r="M244" s="11"/>
      <c r="R244" s="11"/>
    </row>
    <row r="245" spans="1:18" x14ac:dyDescent="0.25">
      <c r="A245" s="38">
        <f>Données!A245</f>
        <v>5828</v>
      </c>
      <c r="B245" s="200" t="str">
        <f>Données!B245</f>
        <v>Treytorrens (Payerne)</v>
      </c>
      <c r="C245" s="353">
        <f>VPI!R245</f>
        <v>2288.504365079365</v>
      </c>
      <c r="D245" s="544">
        <f>Données!AP245</f>
        <v>-1.6227052066156928</v>
      </c>
      <c r="E245" s="422">
        <f>VPI!Q245</f>
        <v>84</v>
      </c>
      <c r="F245" s="244">
        <f t="shared" si="12"/>
        <v>85.622705206615692</v>
      </c>
      <c r="G245" s="241">
        <f>Effort!I245+Aide!I245/Taux!C245+Effort!K245/Taux!C245</f>
        <v>-20.405344977139542</v>
      </c>
      <c r="H245" s="83">
        <f t="shared" si="13"/>
        <v>65.217360229476157</v>
      </c>
      <c r="I245" s="226">
        <f t="shared" si="14"/>
        <v>0</v>
      </c>
      <c r="J245" s="42">
        <f t="shared" si="15"/>
        <v>0</v>
      </c>
      <c r="K245" s="5"/>
      <c r="L245" s="10"/>
      <c r="M245" s="11"/>
      <c r="R245" s="11"/>
    </row>
    <row r="246" spans="1:18" x14ac:dyDescent="0.25">
      <c r="A246" s="38">
        <f>Données!A246</f>
        <v>5830</v>
      </c>
      <c r="B246" s="200" t="str">
        <f>Données!B246</f>
        <v>Villarzel</v>
      </c>
      <c r="C246" s="353">
        <f>VPI!R246</f>
        <v>12469.37329599799</v>
      </c>
      <c r="D246" s="544">
        <f>Données!AP246</f>
        <v>18.699244491689559</v>
      </c>
      <c r="E246" s="422">
        <f>VPI!Q246</f>
        <v>77</v>
      </c>
      <c r="F246" s="244">
        <f t="shared" si="12"/>
        <v>58.300755508310445</v>
      </c>
      <c r="G246" s="241">
        <f>Effort!I246+Aide!I246/Taux!C246+Effort!K246/Taux!C246</f>
        <v>3.4156014650668514</v>
      </c>
      <c r="H246" s="83">
        <f t="shared" si="13"/>
        <v>61.716356973377295</v>
      </c>
      <c r="I246" s="226">
        <f t="shared" si="14"/>
        <v>0</v>
      </c>
      <c r="J246" s="42">
        <f t="shared" si="15"/>
        <v>0</v>
      </c>
      <c r="K246" s="5"/>
      <c r="L246" s="10"/>
      <c r="M246" s="11"/>
      <c r="R246" s="11"/>
    </row>
    <row r="247" spans="1:18" x14ac:dyDescent="0.25">
      <c r="A247" s="38">
        <f>Données!A247</f>
        <v>5831</v>
      </c>
      <c r="B247" s="200" t="str">
        <f>Données!B247</f>
        <v>Valbroye</v>
      </c>
      <c r="C247" s="353">
        <f>VPI!R247</f>
        <v>83737.262655956278</v>
      </c>
      <c r="D247" s="544">
        <f>Données!AP247</f>
        <v>9.9447195985233119</v>
      </c>
      <c r="E247" s="422">
        <f>VPI!Q247</f>
        <v>70.5</v>
      </c>
      <c r="F247" s="244">
        <f t="shared" si="12"/>
        <v>60.555280401476686</v>
      </c>
      <c r="G247" s="241">
        <f>Effort!I247+Aide!I247/Taux!C247+Effort!K247/Taux!C247</f>
        <v>-4.7082816872703575</v>
      </c>
      <c r="H247" s="83">
        <f t="shared" si="13"/>
        <v>55.846998714206329</v>
      </c>
      <c r="I247" s="226">
        <f t="shared" si="14"/>
        <v>0</v>
      </c>
      <c r="J247" s="42">
        <f t="shared" si="15"/>
        <v>0</v>
      </c>
      <c r="K247" s="5"/>
      <c r="L247" s="10"/>
      <c r="M247" s="11"/>
      <c r="R247" s="11"/>
    </row>
    <row r="248" spans="1:18" x14ac:dyDescent="0.25">
      <c r="A248" s="38">
        <f>Données!A248</f>
        <v>5841</v>
      </c>
      <c r="B248" s="200" t="str">
        <f>Données!B248</f>
        <v>Château-d'Oex</v>
      </c>
      <c r="C248" s="353">
        <f>VPI!R248</f>
        <v>108627.58984858803</v>
      </c>
      <c r="D248" s="544">
        <f>Données!AP248</f>
        <v>16.535402644313749</v>
      </c>
      <c r="E248" s="422">
        <f>VPI!Q248</f>
        <v>81.5</v>
      </c>
      <c r="F248" s="244">
        <f t="shared" si="12"/>
        <v>64.964597355686251</v>
      </c>
      <c r="G248" s="241">
        <f>Effort!I248+Aide!I248/Taux!C248+Effort!K248/Taux!C248</f>
        <v>-7.9418240872268342</v>
      </c>
      <c r="H248" s="83">
        <f t="shared" si="13"/>
        <v>57.022773268459417</v>
      </c>
      <c r="I248" s="226">
        <f t="shared" si="14"/>
        <v>0</v>
      </c>
      <c r="J248" s="42">
        <f t="shared" si="15"/>
        <v>0</v>
      </c>
      <c r="K248" s="5"/>
      <c r="L248" s="10"/>
      <c r="M248" s="11"/>
      <c r="R248" s="11"/>
    </row>
    <row r="249" spans="1:18" x14ac:dyDescent="0.25">
      <c r="A249" s="38">
        <f>Données!A249</f>
        <v>5842</v>
      </c>
      <c r="B249" s="200" t="str">
        <f>Données!B249</f>
        <v>Rossinière</v>
      </c>
      <c r="C249" s="353">
        <f>VPI!R249</f>
        <v>14504.788146274859</v>
      </c>
      <c r="D249" s="544">
        <f>Données!AP249</f>
        <v>8.4582602732509784</v>
      </c>
      <c r="E249" s="422">
        <f>VPI!Q249</f>
        <v>81</v>
      </c>
      <c r="F249" s="244">
        <f t="shared" si="12"/>
        <v>72.541739726749029</v>
      </c>
      <c r="G249" s="241">
        <f>Effort!I249+Aide!I249/Taux!C249+Effort!K249/Taux!C249</f>
        <v>-15.688452942553781</v>
      </c>
      <c r="H249" s="83">
        <f t="shared" si="13"/>
        <v>56.853286784195248</v>
      </c>
      <c r="I249" s="226">
        <f t="shared" si="14"/>
        <v>0</v>
      </c>
      <c r="J249" s="42">
        <f t="shared" si="15"/>
        <v>0</v>
      </c>
      <c r="K249" s="5"/>
      <c r="L249" s="10"/>
      <c r="M249" s="11"/>
      <c r="R249" s="11"/>
    </row>
    <row r="250" spans="1:18" x14ac:dyDescent="0.25">
      <c r="A250" s="38">
        <f>Données!A250</f>
        <v>5843</v>
      </c>
      <c r="B250" s="200" t="str">
        <f>Données!B250</f>
        <v>Rougemont</v>
      </c>
      <c r="C250" s="353">
        <f>VPI!R250</f>
        <v>100453.05146272083</v>
      </c>
      <c r="D250" s="544">
        <f>Données!AP250</f>
        <v>47.946331754316624</v>
      </c>
      <c r="E250" s="422">
        <f>VPI!Q250</f>
        <v>74</v>
      </c>
      <c r="F250" s="244">
        <f t="shared" si="12"/>
        <v>26.053668245683376</v>
      </c>
      <c r="G250" s="241">
        <f>Effort!I250+Aide!I250/Taux!C250+Effort!K250/Taux!C250</f>
        <v>48</v>
      </c>
      <c r="H250" s="83">
        <f t="shared" si="13"/>
        <v>74.053668245683383</v>
      </c>
      <c r="I250" s="226">
        <f t="shared" si="14"/>
        <v>0</v>
      </c>
      <c r="J250" s="42">
        <f t="shared" si="15"/>
        <v>0</v>
      </c>
      <c r="K250" s="5"/>
      <c r="L250" s="10"/>
      <c r="M250" s="11"/>
      <c r="R250" s="11"/>
    </row>
    <row r="251" spans="1:18" x14ac:dyDescent="0.25">
      <c r="A251" s="38">
        <f>Données!A251</f>
        <v>5851</v>
      </c>
      <c r="B251" s="200" t="str">
        <f>Données!B251</f>
        <v>Allaman</v>
      </c>
      <c r="C251" s="353">
        <f>VPI!R251</f>
        <v>24279.81507965273</v>
      </c>
      <c r="D251" s="544">
        <f>Données!AP251</f>
        <v>33.880449835240597</v>
      </c>
      <c r="E251" s="422">
        <f>VPI!Q251</f>
        <v>60</v>
      </c>
      <c r="F251" s="244">
        <f t="shared" si="12"/>
        <v>26.119550164759403</v>
      </c>
      <c r="G251" s="241">
        <f>Effort!I251+Aide!I251/Taux!C251+Effort!K251/Taux!C251</f>
        <v>33.385040446135406</v>
      </c>
      <c r="H251" s="83">
        <f t="shared" si="13"/>
        <v>59.504590610894809</v>
      </c>
      <c r="I251" s="226">
        <f t="shared" si="14"/>
        <v>0</v>
      </c>
      <c r="J251" s="42">
        <f t="shared" si="15"/>
        <v>0</v>
      </c>
      <c r="K251" s="5"/>
      <c r="L251" s="10"/>
      <c r="M251" s="11"/>
      <c r="R251" s="11"/>
    </row>
    <row r="252" spans="1:18" x14ac:dyDescent="0.25">
      <c r="A252" s="38">
        <f>Données!A252</f>
        <v>5852</v>
      </c>
      <c r="B252" s="200" t="str">
        <f>Données!B252</f>
        <v>Bursinel</v>
      </c>
      <c r="C252" s="353">
        <f>VPI!R252</f>
        <v>40701.690718752099</v>
      </c>
      <c r="D252" s="544">
        <f>Données!AP252</f>
        <v>42.80283336126503</v>
      </c>
      <c r="E252" s="422">
        <f>VPI!Q252</f>
        <v>65.5</v>
      </c>
      <c r="F252" s="244">
        <f t="shared" si="12"/>
        <v>22.69716663873497</v>
      </c>
      <c r="G252" s="241">
        <f>Effort!I252+Aide!I252/Taux!C252+Effort!K252/Taux!C252</f>
        <v>41.313938092906191</v>
      </c>
      <c r="H252" s="83">
        <f t="shared" si="13"/>
        <v>64.011104731641154</v>
      </c>
      <c r="I252" s="226">
        <f t="shared" si="14"/>
        <v>0</v>
      </c>
      <c r="J252" s="42">
        <f t="shared" si="15"/>
        <v>0</v>
      </c>
      <c r="K252" s="5"/>
      <c r="L252" s="10"/>
      <c r="M252" s="11"/>
      <c r="R252" s="11"/>
    </row>
    <row r="253" spans="1:18" x14ac:dyDescent="0.25">
      <c r="A253" s="38">
        <f>Données!A253</f>
        <v>5853</v>
      </c>
      <c r="B253" s="200" t="str">
        <f>Données!B253</f>
        <v>Bursins</v>
      </c>
      <c r="C253" s="353">
        <f>VPI!R253</f>
        <v>41997.209489150475</v>
      </c>
      <c r="D253" s="544">
        <f>Données!AP253</f>
        <v>32.386795858672599</v>
      </c>
      <c r="E253" s="422">
        <f>VPI!Q253</f>
        <v>71</v>
      </c>
      <c r="F253" s="244">
        <f t="shared" si="12"/>
        <v>38.613204141327401</v>
      </c>
      <c r="G253" s="241">
        <f>Effort!I253+Aide!I253/Taux!C253+Effort!K253/Taux!C253</f>
        <v>33.501478763559717</v>
      </c>
      <c r="H253" s="83">
        <f t="shared" si="13"/>
        <v>72.114682904887118</v>
      </c>
      <c r="I253" s="226">
        <f t="shared" si="14"/>
        <v>0</v>
      </c>
      <c r="J253" s="42">
        <f t="shared" si="15"/>
        <v>0</v>
      </c>
      <c r="K253" s="5"/>
      <c r="L253" s="10"/>
      <c r="M253" s="11"/>
      <c r="R253" s="11"/>
    </row>
    <row r="254" spans="1:18" x14ac:dyDescent="0.25">
      <c r="A254" s="38">
        <f>Données!A254</f>
        <v>5854</v>
      </c>
      <c r="B254" s="200" t="str">
        <f>Données!B254</f>
        <v>Burtigny</v>
      </c>
      <c r="C254" s="353">
        <f>VPI!R254</f>
        <v>10782.892174980714</v>
      </c>
      <c r="D254" s="544">
        <f>Données!AP254</f>
        <v>14.739200440010144</v>
      </c>
      <c r="E254" s="422">
        <f>VPI!Q254</f>
        <v>80</v>
      </c>
      <c r="F254" s="244">
        <f t="shared" si="12"/>
        <v>65.260799559989863</v>
      </c>
      <c r="G254" s="241">
        <f>Effort!I254+Aide!I254/Taux!C254+Effort!K254/Taux!C254</f>
        <v>7.0387606068871449</v>
      </c>
      <c r="H254" s="83">
        <f t="shared" si="13"/>
        <v>72.299560166877001</v>
      </c>
      <c r="I254" s="226">
        <f t="shared" si="14"/>
        <v>0</v>
      </c>
      <c r="J254" s="42">
        <f t="shared" si="15"/>
        <v>0</v>
      </c>
      <c r="K254" s="5"/>
      <c r="L254" s="10"/>
      <c r="M254" s="11"/>
      <c r="R254" s="11"/>
    </row>
    <row r="255" spans="1:18" x14ac:dyDescent="0.25">
      <c r="A255" s="38">
        <f>Données!A255</f>
        <v>5855</v>
      </c>
      <c r="B255" s="200" t="str">
        <f>Données!B255</f>
        <v>Dully</v>
      </c>
      <c r="C255" s="353">
        <f>VPI!R255</f>
        <v>98130.783845823462</v>
      </c>
      <c r="D255" s="544">
        <f>Données!AP255</f>
        <v>46.347827735540299</v>
      </c>
      <c r="E255" s="422">
        <f>VPI!Q255</f>
        <v>49</v>
      </c>
      <c r="F255" s="244">
        <f t="shared" si="12"/>
        <v>2.6521722644597006</v>
      </c>
      <c r="G255" s="241">
        <f>Effort!I255+Aide!I255/Taux!C255+Effort!K255/Taux!C255</f>
        <v>48</v>
      </c>
      <c r="H255" s="83">
        <f t="shared" si="13"/>
        <v>50.652172264459701</v>
      </c>
      <c r="I255" s="226">
        <f t="shared" si="14"/>
        <v>0</v>
      </c>
      <c r="J255" s="42">
        <f t="shared" si="15"/>
        <v>0</v>
      </c>
      <c r="K255" s="5"/>
      <c r="L255" s="10"/>
      <c r="M255" s="11"/>
      <c r="R255" s="11"/>
    </row>
    <row r="256" spans="1:18" x14ac:dyDescent="0.25">
      <c r="A256" s="38">
        <f>Données!A256</f>
        <v>5856</v>
      </c>
      <c r="B256" s="200" t="str">
        <f>Données!B256</f>
        <v>Essertines-sur-Rolle</v>
      </c>
      <c r="C256" s="353">
        <f>VPI!R256</f>
        <v>35711.178597082457</v>
      </c>
      <c r="D256" s="544">
        <f>Données!AP256</f>
        <v>33.726755140234161</v>
      </c>
      <c r="E256" s="422">
        <f>VPI!Q256</f>
        <v>66.5</v>
      </c>
      <c r="F256" s="244">
        <f t="shared" si="12"/>
        <v>32.773244859765839</v>
      </c>
      <c r="G256" s="241">
        <f>Effort!I256+Aide!I256/Taux!C256+Effort!K256/Taux!C256</f>
        <v>31.762260108886117</v>
      </c>
      <c r="H256" s="83">
        <f t="shared" si="13"/>
        <v>64.535504968651964</v>
      </c>
      <c r="I256" s="226">
        <f t="shared" si="14"/>
        <v>0</v>
      </c>
      <c r="J256" s="42">
        <f t="shared" si="15"/>
        <v>0</v>
      </c>
      <c r="K256" s="5"/>
      <c r="L256" s="10"/>
      <c r="M256" s="11"/>
      <c r="R256" s="11"/>
    </row>
    <row r="257" spans="1:18" x14ac:dyDescent="0.25">
      <c r="A257" s="38">
        <f>Données!A257</f>
        <v>5857</v>
      </c>
      <c r="B257" s="200" t="str">
        <f>Données!B257</f>
        <v>Gilly</v>
      </c>
      <c r="C257" s="353">
        <f>VPI!R257</f>
        <v>82138.568992248052</v>
      </c>
      <c r="D257" s="544">
        <f>Données!AP257</f>
        <v>36.210934309566973</v>
      </c>
      <c r="E257" s="422">
        <f>VPI!Q257</f>
        <v>64.5</v>
      </c>
      <c r="F257" s="244">
        <f t="shared" si="12"/>
        <v>28.289065690433027</v>
      </c>
      <c r="G257" s="241">
        <f>Effort!I257+Aide!I257/Taux!C257+Effort!K257/Taux!C257</f>
        <v>33.220054478053413</v>
      </c>
      <c r="H257" s="83">
        <f t="shared" si="13"/>
        <v>61.50912016848644</v>
      </c>
      <c r="I257" s="226">
        <f t="shared" si="14"/>
        <v>0</v>
      </c>
      <c r="J257" s="42">
        <f t="shared" si="15"/>
        <v>0</v>
      </c>
      <c r="K257" s="5"/>
      <c r="L257" s="10"/>
      <c r="M257" s="11"/>
      <c r="R257" s="11"/>
    </row>
    <row r="258" spans="1:18" x14ac:dyDescent="0.25">
      <c r="A258" s="38">
        <f>Données!A258</f>
        <v>5858</v>
      </c>
      <c r="B258" s="200" t="str">
        <f>Données!B258</f>
        <v>Luins</v>
      </c>
      <c r="C258" s="353">
        <f>VPI!R258</f>
        <v>40277.440146315326</v>
      </c>
      <c r="D258" s="544">
        <f>Données!AP258</f>
        <v>40.05575536201502</v>
      </c>
      <c r="E258" s="422">
        <f>VPI!Q258</f>
        <v>58.5</v>
      </c>
      <c r="F258" s="244">
        <f t="shared" si="12"/>
        <v>18.44424463798498</v>
      </c>
      <c r="G258" s="241">
        <f>Effort!I258+Aide!I258/Taux!C258+Effort!K258/Taux!C258</f>
        <v>36.117531144137907</v>
      </c>
      <c r="H258" s="83">
        <f t="shared" si="13"/>
        <v>54.561775782122886</v>
      </c>
      <c r="I258" s="226">
        <f t="shared" si="14"/>
        <v>0</v>
      </c>
      <c r="J258" s="42">
        <f t="shared" si="15"/>
        <v>0</v>
      </c>
      <c r="K258" s="5"/>
      <c r="L258" s="10"/>
      <c r="M258" s="11"/>
      <c r="R258" s="11"/>
    </row>
    <row r="259" spans="1:18" x14ac:dyDescent="0.25">
      <c r="A259" s="38">
        <f>Données!A259</f>
        <v>5859</v>
      </c>
      <c r="B259" s="200" t="str">
        <f>Données!B259</f>
        <v>Mont-sur-Rolle</v>
      </c>
      <c r="C259" s="353">
        <f>VPI!R259</f>
        <v>146440.66164065379</v>
      </c>
      <c r="D259" s="544">
        <f>Données!AP259</f>
        <v>30.993521629371489</v>
      </c>
      <c r="E259" s="422">
        <f>VPI!Q259</f>
        <v>63.5</v>
      </c>
      <c r="F259" s="244">
        <f t="shared" si="12"/>
        <v>32.506478370628514</v>
      </c>
      <c r="G259" s="241">
        <f>Effort!I259+Aide!I259/Taux!C259+Effort!K259/Taux!C259</f>
        <v>31.112317342989428</v>
      </c>
      <c r="H259" s="83">
        <f t="shared" si="13"/>
        <v>63.618795713617942</v>
      </c>
      <c r="I259" s="226">
        <f t="shared" si="14"/>
        <v>0</v>
      </c>
      <c r="J259" s="42">
        <f t="shared" si="15"/>
        <v>0</v>
      </c>
      <c r="K259" s="5"/>
      <c r="L259" s="10"/>
      <c r="M259" s="11"/>
      <c r="R259" s="11"/>
    </row>
    <row r="260" spans="1:18" x14ac:dyDescent="0.25">
      <c r="A260" s="38">
        <f>Données!A260</f>
        <v>5860</v>
      </c>
      <c r="B260" s="200" t="str">
        <f>Données!B260</f>
        <v>Perroy</v>
      </c>
      <c r="C260" s="353">
        <f>VPI!R260</f>
        <v>110194.28576674461</v>
      </c>
      <c r="D260" s="544">
        <f>Données!AP260</f>
        <v>37.172716402628915</v>
      </c>
      <c r="E260" s="422">
        <f>VPI!Q260</f>
        <v>58.5</v>
      </c>
      <c r="F260" s="244">
        <f t="shared" si="12"/>
        <v>21.327283597371085</v>
      </c>
      <c r="G260" s="241">
        <f>Effort!I260+Aide!I260/Taux!C260+Effort!K260/Taux!C260</f>
        <v>36.911212837607842</v>
      </c>
      <c r="H260" s="83">
        <f t="shared" si="13"/>
        <v>58.238496434978927</v>
      </c>
      <c r="I260" s="226">
        <f t="shared" si="14"/>
        <v>0</v>
      </c>
      <c r="J260" s="42">
        <f t="shared" si="15"/>
        <v>0</v>
      </c>
      <c r="K260" s="5"/>
      <c r="L260" s="10"/>
      <c r="M260" s="11"/>
      <c r="R260" s="11"/>
    </row>
    <row r="261" spans="1:18" x14ac:dyDescent="0.25">
      <c r="A261" s="38">
        <f>Données!A261</f>
        <v>5861</v>
      </c>
      <c r="B261" s="200" t="str">
        <f>Données!B261</f>
        <v>Rolle</v>
      </c>
      <c r="C261" s="353">
        <f>VPI!R261</f>
        <v>663825.23287759279</v>
      </c>
      <c r="D261" s="544">
        <f>Données!AP261</f>
        <v>39.200423529727033</v>
      </c>
      <c r="E261" s="422">
        <f>VPI!Q261</f>
        <v>59.5</v>
      </c>
      <c r="F261" s="244">
        <f t="shared" si="12"/>
        <v>20.299576470272967</v>
      </c>
      <c r="G261" s="241">
        <f>Effort!I261+Aide!I261/Taux!C261+Effort!K261/Taux!C261</f>
        <v>42.29591228067207</v>
      </c>
      <c r="H261" s="83">
        <f t="shared" si="13"/>
        <v>62.595488750945037</v>
      </c>
      <c r="I261" s="226">
        <f t="shared" si="14"/>
        <v>0</v>
      </c>
      <c r="J261" s="42">
        <f t="shared" si="15"/>
        <v>0</v>
      </c>
      <c r="K261" s="5"/>
      <c r="L261" s="10"/>
      <c r="M261" s="11"/>
      <c r="R261" s="11"/>
    </row>
    <row r="262" spans="1:18" x14ac:dyDescent="0.25">
      <c r="A262" s="38">
        <f>Données!A262</f>
        <v>5862</v>
      </c>
      <c r="B262" s="200" t="str">
        <f>Données!B262</f>
        <v>Tartegnin</v>
      </c>
      <c r="C262" s="353">
        <f>VPI!R262</f>
        <v>8093.970937390457</v>
      </c>
      <c r="D262" s="544">
        <f>Données!AP262</f>
        <v>32.656337698828594</v>
      </c>
      <c r="E262" s="422">
        <f>VPI!Q262</f>
        <v>79</v>
      </c>
      <c r="F262" s="244">
        <f t="shared" si="12"/>
        <v>46.343662301171406</v>
      </c>
      <c r="G262" s="241">
        <f>Effort!I262+Aide!I262/Taux!C262+Effort!K262/Taux!C262</f>
        <v>21.506269400070845</v>
      </c>
      <c r="H262" s="83">
        <f t="shared" si="13"/>
        <v>67.849931701242255</v>
      </c>
      <c r="I262" s="226">
        <f t="shared" si="14"/>
        <v>0</v>
      </c>
      <c r="J262" s="42">
        <f t="shared" si="15"/>
        <v>0</v>
      </c>
      <c r="K262" s="5"/>
      <c r="L262" s="10"/>
      <c r="M262" s="11"/>
      <c r="R262" s="11"/>
    </row>
    <row r="263" spans="1:18" x14ac:dyDescent="0.25">
      <c r="A263" s="38">
        <f>Données!A263</f>
        <v>5863</v>
      </c>
      <c r="B263" s="200" t="str">
        <f>Données!B263</f>
        <v>Vinzel</v>
      </c>
      <c r="C263" s="353">
        <f>VPI!R263</f>
        <v>21922.221840386148</v>
      </c>
      <c r="D263" s="544">
        <f>Données!AP263</f>
        <v>33.62684551947622</v>
      </c>
      <c r="E263" s="422">
        <f>VPI!Q263</f>
        <v>67</v>
      </c>
      <c r="F263" s="244">
        <f t="shared" ref="F263:F306" si="16">E263-D263</f>
        <v>33.37315448052378</v>
      </c>
      <c r="G263" s="241">
        <f>Effort!I263+Aide!I263/Taux!C263+Effort!K263/Taux!C263</f>
        <v>34.293886084002281</v>
      </c>
      <c r="H263" s="83">
        <f t="shared" ref="H263:H306" si="17">F263+G263</f>
        <v>67.667040564526062</v>
      </c>
      <c r="I263" s="226">
        <f t="shared" ref="I263:I305" si="18">IF(H263&gt;$I$5,H263-$I$5,0)</f>
        <v>0</v>
      </c>
      <c r="J263" s="42">
        <f t="shared" ref="J263:J305" si="19">-I263*C263</f>
        <v>0</v>
      </c>
      <c r="K263" s="5"/>
      <c r="L263" s="10"/>
      <c r="M263" s="11"/>
      <c r="R263" s="11"/>
    </row>
    <row r="264" spans="1:18" x14ac:dyDescent="0.25">
      <c r="A264" s="38">
        <f>Données!A264</f>
        <v>5871</v>
      </c>
      <c r="B264" s="200" t="str">
        <f>Données!B264</f>
        <v>L'Abbaye</v>
      </c>
      <c r="C264" s="353">
        <f>VPI!R264</f>
        <v>49484.284679945325</v>
      </c>
      <c r="D264" s="544">
        <f>Données!AP264</f>
        <v>17.501421010897605</v>
      </c>
      <c r="E264" s="422">
        <f>VPI!Q264</f>
        <v>77.56</v>
      </c>
      <c r="F264" s="244">
        <f t="shared" si="16"/>
        <v>60.058578989102401</v>
      </c>
      <c r="G264" s="241">
        <f>Effort!I264+Aide!I264/Taux!C264+Effort!K264/Taux!C264</f>
        <v>11.864538898106158</v>
      </c>
      <c r="H264" s="83">
        <f t="shared" si="17"/>
        <v>71.923117887208562</v>
      </c>
      <c r="I264" s="226">
        <f t="shared" si="18"/>
        <v>0</v>
      </c>
      <c r="J264" s="42">
        <f t="shared" si="19"/>
        <v>0</v>
      </c>
      <c r="K264" s="5"/>
      <c r="L264" s="10"/>
      <c r="M264" s="11"/>
      <c r="R264" s="11"/>
    </row>
    <row r="265" spans="1:18" x14ac:dyDescent="0.25">
      <c r="A265" s="38">
        <f>Données!A265</f>
        <v>5872</v>
      </c>
      <c r="B265" s="200" t="str">
        <f>Données!B265</f>
        <v>Le Chenit</v>
      </c>
      <c r="C265" s="353">
        <f>VPI!R265</f>
        <v>234098.82523259622</v>
      </c>
      <c r="D265" s="544">
        <f>Données!AP265</f>
        <v>30.578888579199941</v>
      </c>
      <c r="E265" s="422">
        <f>VPI!Q265</f>
        <v>66.95</v>
      </c>
      <c r="F265" s="244">
        <f t="shared" si="16"/>
        <v>36.371111420800062</v>
      </c>
      <c r="G265" s="241">
        <f>Effort!I265+Aide!I265/Taux!C265+Effort!K265/Taux!C265</f>
        <v>21.541683446790724</v>
      </c>
      <c r="H265" s="83">
        <f t="shared" si="17"/>
        <v>57.91279486759079</v>
      </c>
      <c r="I265" s="226">
        <f t="shared" si="18"/>
        <v>0</v>
      </c>
      <c r="J265" s="42">
        <f t="shared" si="19"/>
        <v>0</v>
      </c>
      <c r="K265" s="5"/>
      <c r="L265" s="10"/>
      <c r="M265" s="11"/>
      <c r="R265" s="11"/>
    </row>
    <row r="266" spans="1:18" x14ac:dyDescent="0.25">
      <c r="A266" s="38">
        <f>Données!A266</f>
        <v>5873</v>
      </c>
      <c r="B266" s="200" t="str">
        <f>Données!B266</f>
        <v>Le Lieu</v>
      </c>
      <c r="C266" s="353">
        <f>VPI!R266</f>
        <v>30412.639654224466</v>
      </c>
      <c r="D266" s="544">
        <f>Données!AP266</f>
        <v>22.274603826295845</v>
      </c>
      <c r="E266" s="422">
        <f>VPI!Q266</f>
        <v>70</v>
      </c>
      <c r="F266" s="244">
        <f t="shared" si="16"/>
        <v>47.725396173704155</v>
      </c>
      <c r="G266" s="241">
        <f>Effort!I266+Aide!I266/Taux!C266+Effort!K266/Taux!C266</f>
        <v>0.52250776060142812</v>
      </c>
      <c r="H266" s="83">
        <f t="shared" si="17"/>
        <v>48.247903934305583</v>
      </c>
      <c r="I266" s="226">
        <f t="shared" si="18"/>
        <v>0</v>
      </c>
      <c r="J266" s="42">
        <f t="shared" si="19"/>
        <v>0</v>
      </c>
      <c r="K266" s="5"/>
      <c r="L266" s="10"/>
      <c r="M266" s="11"/>
      <c r="R266" s="11"/>
    </row>
    <row r="267" spans="1:18" x14ac:dyDescent="0.25">
      <c r="A267" s="38">
        <f>Données!A267</f>
        <v>5882</v>
      </c>
      <c r="B267" s="200" t="str">
        <f>Données!B267</f>
        <v>Chardonne</v>
      </c>
      <c r="C267" s="353">
        <f>VPI!R267</f>
        <v>178990.25503852809</v>
      </c>
      <c r="D267" s="544">
        <f>Données!AP267</f>
        <v>34.30126721058398</v>
      </c>
      <c r="E267" s="422">
        <f>VPI!Q267</f>
        <v>68</v>
      </c>
      <c r="F267" s="244">
        <f t="shared" si="16"/>
        <v>33.69873278941602</v>
      </c>
      <c r="G267" s="241">
        <f>Effort!I267+Aide!I267/Taux!C267+Effort!K267/Taux!C267</f>
        <v>29.816452406221778</v>
      </c>
      <c r="H267" s="83">
        <f t="shared" si="17"/>
        <v>63.515185195637798</v>
      </c>
      <c r="I267" s="226">
        <f t="shared" si="18"/>
        <v>0</v>
      </c>
      <c r="J267" s="42">
        <f t="shared" si="19"/>
        <v>0</v>
      </c>
      <c r="K267" s="5"/>
      <c r="L267" s="10"/>
      <c r="M267" s="11"/>
      <c r="R267" s="11"/>
    </row>
    <row r="268" spans="1:18" x14ac:dyDescent="0.25">
      <c r="A268" s="38">
        <f>Données!A268</f>
        <v>5883</v>
      </c>
      <c r="B268" s="200" t="str">
        <f>Données!B268</f>
        <v>Corseaux</v>
      </c>
      <c r="C268" s="353">
        <f>VPI!R268</f>
        <v>167834.94979180559</v>
      </c>
      <c r="D268" s="544">
        <f>Données!AP268</f>
        <v>38.318827971658472</v>
      </c>
      <c r="E268" s="422">
        <f>VPI!Q268</f>
        <v>67.5</v>
      </c>
      <c r="F268" s="244">
        <f t="shared" si="16"/>
        <v>29.181172028341528</v>
      </c>
      <c r="G268" s="241">
        <f>Effort!I268+Aide!I268/Taux!C268+Effort!K268/Taux!C268</f>
        <v>37.136353755197121</v>
      </c>
      <c r="H268" s="83">
        <f t="shared" si="17"/>
        <v>66.317525783538656</v>
      </c>
      <c r="I268" s="226">
        <f t="shared" si="18"/>
        <v>0</v>
      </c>
      <c r="J268" s="42">
        <f t="shared" si="19"/>
        <v>0</v>
      </c>
      <c r="K268" s="5"/>
      <c r="L268" s="10"/>
      <c r="M268" s="11"/>
      <c r="R268" s="11"/>
    </row>
    <row r="269" spans="1:18" x14ac:dyDescent="0.25">
      <c r="A269" s="38">
        <f>Données!A269</f>
        <v>5884</v>
      </c>
      <c r="B269" s="200" t="str">
        <f>Données!B269</f>
        <v>Corsier-sur-Vevey</v>
      </c>
      <c r="C269" s="353">
        <f>VPI!R269</f>
        <v>122060.78000997694</v>
      </c>
      <c r="D269" s="544">
        <f>Données!AP269</f>
        <v>22.830027994913792</v>
      </c>
      <c r="E269" s="422">
        <f>VPI!Q269</f>
        <v>66</v>
      </c>
      <c r="F269" s="244">
        <f t="shared" si="16"/>
        <v>43.169972005086208</v>
      </c>
      <c r="G269" s="241">
        <f>Effort!I269+Aide!I269/Taux!C269+Effort!K269/Taux!C269</f>
        <v>9.4261051188423828</v>
      </c>
      <c r="H269" s="83">
        <f t="shared" si="17"/>
        <v>52.596077123928595</v>
      </c>
      <c r="I269" s="226">
        <f t="shared" si="18"/>
        <v>0</v>
      </c>
      <c r="J269" s="42">
        <f t="shared" si="19"/>
        <v>0</v>
      </c>
      <c r="K269" s="5"/>
      <c r="L269" s="10"/>
      <c r="M269" s="11"/>
      <c r="R269" s="11"/>
    </row>
    <row r="270" spans="1:18" x14ac:dyDescent="0.25">
      <c r="A270" s="38">
        <f>Données!A270</f>
        <v>5885</v>
      </c>
      <c r="B270" s="200" t="str">
        <f>Données!B270</f>
        <v>Jongny</v>
      </c>
      <c r="C270" s="353">
        <f>VPI!R270</f>
        <v>85101.147065913159</v>
      </c>
      <c r="D270" s="544">
        <f>Données!AP270</f>
        <v>32.327141851197077</v>
      </c>
      <c r="E270" s="422">
        <f>VPI!Q270</f>
        <v>69.5</v>
      </c>
      <c r="F270" s="244">
        <f t="shared" si="16"/>
        <v>37.172858148802923</v>
      </c>
      <c r="G270" s="241">
        <f>Effort!I270+Aide!I270/Taux!C270+Effort!K270/Taux!C270</f>
        <v>30.006420580655572</v>
      </c>
      <c r="H270" s="83">
        <f t="shared" si="17"/>
        <v>67.179278729458503</v>
      </c>
      <c r="I270" s="226">
        <f t="shared" si="18"/>
        <v>0</v>
      </c>
      <c r="J270" s="42">
        <f t="shared" si="19"/>
        <v>0</v>
      </c>
      <c r="K270" s="5"/>
      <c r="L270" s="10"/>
      <c r="M270" s="11"/>
      <c r="R270" s="11"/>
    </row>
    <row r="271" spans="1:18" x14ac:dyDescent="0.25">
      <c r="A271" s="38">
        <f>Données!A271</f>
        <v>5886</v>
      </c>
      <c r="B271" s="200" t="str">
        <f>Données!B271</f>
        <v>Montreux</v>
      </c>
      <c r="C271" s="353">
        <f>VPI!R271</f>
        <v>1096049.6436560636</v>
      </c>
      <c r="D271" s="544">
        <f>Données!AP271</f>
        <v>15.057680116685484</v>
      </c>
      <c r="E271" s="422">
        <f>VPI!Q271</f>
        <v>65</v>
      </c>
      <c r="F271" s="244">
        <f t="shared" si="16"/>
        <v>49.942319883314518</v>
      </c>
      <c r="G271" s="241">
        <f>Effort!I271+Aide!I271/Taux!C271+Effort!K271/Taux!C271</f>
        <v>6.773572307275586</v>
      </c>
      <c r="H271" s="83">
        <f t="shared" si="17"/>
        <v>56.715892190590104</v>
      </c>
      <c r="I271" s="226">
        <f t="shared" si="18"/>
        <v>0</v>
      </c>
      <c r="J271" s="42">
        <f t="shared" si="19"/>
        <v>0</v>
      </c>
      <c r="K271" s="5"/>
      <c r="L271" s="10"/>
      <c r="M271" s="11"/>
      <c r="R271" s="11"/>
    </row>
    <row r="272" spans="1:18" x14ac:dyDescent="0.25">
      <c r="A272" s="38">
        <f>Données!A272</f>
        <v>5889</v>
      </c>
      <c r="B272" s="200" t="str">
        <f>Données!B272</f>
        <v>La Tour-de-Peilz</v>
      </c>
      <c r="C272" s="353">
        <f>VPI!R272</f>
        <v>674464.00637600874</v>
      </c>
      <c r="D272" s="544">
        <f>Données!AP272</f>
        <v>28.215667746047149</v>
      </c>
      <c r="E272" s="422">
        <f>VPI!Q272</f>
        <v>64</v>
      </c>
      <c r="F272" s="244">
        <f t="shared" si="16"/>
        <v>35.784332253952854</v>
      </c>
      <c r="G272" s="241">
        <f>Effort!I272+Aide!I272/Taux!C272+Effort!K272/Taux!C272</f>
        <v>25.697971298155913</v>
      </c>
      <c r="H272" s="83">
        <f t="shared" si="17"/>
        <v>61.482303552108768</v>
      </c>
      <c r="I272" s="226">
        <f t="shared" si="18"/>
        <v>0</v>
      </c>
      <c r="J272" s="42">
        <f t="shared" si="19"/>
        <v>0</v>
      </c>
      <c r="K272" s="5"/>
      <c r="L272" s="10"/>
      <c r="M272" s="11"/>
      <c r="R272" s="11"/>
    </row>
    <row r="273" spans="1:18" x14ac:dyDescent="0.25">
      <c r="A273" s="38">
        <f>Données!A273</f>
        <v>5890</v>
      </c>
      <c r="B273" s="200" t="str">
        <f>Données!B273</f>
        <v>Vevey</v>
      </c>
      <c r="C273" s="353">
        <f>VPI!R273</f>
        <v>858874.45047675935</v>
      </c>
      <c r="D273" s="544">
        <f>Données!AP273</f>
        <v>20.275745223662241</v>
      </c>
      <c r="E273" s="422">
        <f>VPI!Q273</f>
        <v>74.5</v>
      </c>
      <c r="F273" s="244">
        <f t="shared" si="16"/>
        <v>54.224254776337759</v>
      </c>
      <c r="G273" s="241">
        <f>Effort!I273+Aide!I273/Taux!C273+Effort!K273/Taux!C273</f>
        <v>10.911840707903529</v>
      </c>
      <c r="H273" s="83">
        <f t="shared" si="17"/>
        <v>65.136095484241281</v>
      </c>
      <c r="I273" s="226">
        <f t="shared" si="18"/>
        <v>0</v>
      </c>
      <c r="J273" s="42">
        <f t="shared" si="19"/>
        <v>0</v>
      </c>
      <c r="K273" s="5"/>
      <c r="L273" s="10"/>
      <c r="M273" s="11"/>
      <c r="R273" s="11"/>
    </row>
    <row r="274" spans="1:18" x14ac:dyDescent="0.25">
      <c r="A274" s="38">
        <f>Données!A274</f>
        <v>5891</v>
      </c>
      <c r="B274" s="200" t="str">
        <f>Données!B274</f>
        <v>Veytaux</v>
      </c>
      <c r="C274" s="353">
        <f>VPI!R274</f>
        <v>43940.417859726374</v>
      </c>
      <c r="D274" s="544">
        <f>Données!AP274</f>
        <v>28.964439302557491</v>
      </c>
      <c r="E274" s="422">
        <f>VPI!Q274</f>
        <v>69.5</v>
      </c>
      <c r="F274" s="244">
        <f t="shared" si="16"/>
        <v>40.535560697442506</v>
      </c>
      <c r="G274" s="241">
        <f>Effort!I274+Aide!I274/Taux!C274+Effort!K274/Taux!C274</f>
        <v>20.565274005148197</v>
      </c>
      <c r="H274" s="83">
        <f t="shared" si="17"/>
        <v>61.100834702590703</v>
      </c>
      <c r="I274" s="226">
        <f t="shared" si="18"/>
        <v>0</v>
      </c>
      <c r="J274" s="42">
        <f t="shared" si="19"/>
        <v>0</v>
      </c>
      <c r="K274" s="5"/>
      <c r="L274" s="10"/>
      <c r="M274" s="11"/>
      <c r="R274" s="11"/>
    </row>
    <row r="275" spans="1:18" x14ac:dyDescent="0.25">
      <c r="A275" s="38">
        <f>Données!A275</f>
        <v>5892</v>
      </c>
      <c r="B275" s="200" t="str">
        <f>Données!B275</f>
        <v>Blonay-Saint-Légier</v>
      </c>
      <c r="C275" s="353">
        <f>VPI!R275</f>
        <v>693176.17061999615</v>
      </c>
      <c r="D275" s="544">
        <f>Données!AP275</f>
        <v>32.513816050731265</v>
      </c>
      <c r="E275" s="422">
        <f>VPI!Q275</f>
        <v>68.5</v>
      </c>
      <c r="F275" s="244">
        <f t="shared" si="16"/>
        <v>35.986183949268735</v>
      </c>
      <c r="G275" s="241">
        <f>Effort!I275+Aide!I275/Taux!C275+Effort!K275/Taux!C275</f>
        <v>25.088002140661544</v>
      </c>
      <c r="H275" s="83">
        <f t="shared" si="17"/>
        <v>61.074186089930279</v>
      </c>
      <c r="I275" s="226">
        <f t="shared" si="18"/>
        <v>0</v>
      </c>
      <c r="J275" s="42">
        <f t="shared" si="19"/>
        <v>0</v>
      </c>
      <c r="K275" s="5"/>
      <c r="L275" s="10"/>
      <c r="M275" s="11"/>
      <c r="R275" s="11"/>
    </row>
    <row r="276" spans="1:18" x14ac:dyDescent="0.25">
      <c r="A276" s="38">
        <f>Données!A276</f>
        <v>5902</v>
      </c>
      <c r="B276" s="200" t="str">
        <f>Données!B276</f>
        <v>Belmont-sur-Yverdon</v>
      </c>
      <c r="C276" s="353">
        <f>VPI!R276</f>
        <v>11718.07192496429</v>
      </c>
      <c r="D276" s="544">
        <f>Données!AP276</f>
        <v>17.011431986611662</v>
      </c>
      <c r="E276" s="422">
        <f>VPI!Q276</f>
        <v>70</v>
      </c>
      <c r="F276" s="244">
        <f t="shared" si="16"/>
        <v>52.988568013388338</v>
      </c>
      <c r="G276" s="241">
        <f>Effort!I276+Aide!I276/Taux!C276+Effort!K276/Taux!C276</f>
        <v>18.220310287605656</v>
      </c>
      <c r="H276" s="83">
        <f t="shared" si="17"/>
        <v>71.208878300994002</v>
      </c>
      <c r="I276" s="226">
        <f t="shared" si="18"/>
        <v>0</v>
      </c>
      <c r="J276" s="42">
        <f t="shared" si="19"/>
        <v>0</v>
      </c>
      <c r="K276" s="5"/>
      <c r="L276" s="10"/>
      <c r="M276" s="11"/>
      <c r="R276" s="11"/>
    </row>
    <row r="277" spans="1:18" x14ac:dyDescent="0.25">
      <c r="A277" s="38">
        <f>Données!A277</f>
        <v>5903</v>
      </c>
      <c r="B277" s="200" t="str">
        <f>Données!B277</f>
        <v>Bioley-Magnoux</v>
      </c>
      <c r="C277" s="353">
        <f>VPI!R277</f>
        <v>5023.7843849206347</v>
      </c>
      <c r="D277" s="544">
        <f>Données!AP277</f>
        <v>17.143076373642756</v>
      </c>
      <c r="E277" s="422">
        <f>VPI!Q277</f>
        <v>72</v>
      </c>
      <c r="F277" s="244">
        <f t="shared" si="16"/>
        <v>54.856923626357244</v>
      </c>
      <c r="G277" s="241">
        <f>Effort!I277+Aide!I277/Taux!C277+Effort!K277/Taux!C277</f>
        <v>-22.659018572639809</v>
      </c>
      <c r="H277" s="83">
        <f t="shared" si="17"/>
        <v>32.197905053717434</v>
      </c>
      <c r="I277" s="226">
        <f t="shared" si="18"/>
        <v>0</v>
      </c>
      <c r="J277" s="42">
        <f t="shared" si="19"/>
        <v>0</v>
      </c>
      <c r="K277" s="5"/>
      <c r="L277" s="10"/>
      <c r="M277" s="11"/>
      <c r="R277" s="11"/>
    </row>
    <row r="278" spans="1:18" x14ac:dyDescent="0.25">
      <c r="A278" s="38">
        <f>Données!A278</f>
        <v>5904</v>
      </c>
      <c r="B278" s="200" t="str">
        <f>Données!B278</f>
        <v>Chamblon</v>
      </c>
      <c r="C278" s="353">
        <f>VPI!R278</f>
        <v>21692.89514545034</v>
      </c>
      <c r="D278" s="544">
        <f>Données!AP278</f>
        <v>29.645790558500348</v>
      </c>
      <c r="E278" s="422">
        <f>VPI!Q278</f>
        <v>66</v>
      </c>
      <c r="F278" s="244">
        <f t="shared" si="16"/>
        <v>36.354209441499648</v>
      </c>
      <c r="G278" s="241">
        <f>Effort!I278+Aide!I278/Taux!C278+Effort!K278/Taux!C278</f>
        <v>27.257889576600061</v>
      </c>
      <c r="H278" s="83">
        <f t="shared" si="17"/>
        <v>63.612099018099713</v>
      </c>
      <c r="I278" s="226">
        <f t="shared" si="18"/>
        <v>0</v>
      </c>
      <c r="J278" s="42">
        <f t="shared" si="19"/>
        <v>0</v>
      </c>
      <c r="K278" s="5"/>
      <c r="L278" s="10"/>
      <c r="M278" s="11"/>
      <c r="R278" s="11"/>
    </row>
    <row r="279" spans="1:18" x14ac:dyDescent="0.25">
      <c r="A279" s="38">
        <f>Données!A279</f>
        <v>5905</v>
      </c>
      <c r="B279" s="200" t="str">
        <f>Données!B279</f>
        <v>Champvent</v>
      </c>
      <c r="C279" s="353">
        <f>VPI!R279</f>
        <v>21633.757449586756</v>
      </c>
      <c r="D279" s="544">
        <f>Données!AP279</f>
        <v>24.124737699758025</v>
      </c>
      <c r="E279" s="422">
        <f>VPI!Q279</f>
        <v>71</v>
      </c>
      <c r="F279" s="244">
        <f t="shared" si="16"/>
        <v>46.875262300241971</v>
      </c>
      <c r="G279" s="241">
        <f>Effort!I279+Aide!I279/Taux!C279+Effort!K279/Taux!C279</f>
        <v>15.874363026233111</v>
      </c>
      <c r="H279" s="83">
        <f t="shared" si="17"/>
        <v>62.749625326475083</v>
      </c>
      <c r="I279" s="226">
        <f t="shared" si="18"/>
        <v>0</v>
      </c>
      <c r="J279" s="42">
        <f t="shared" si="19"/>
        <v>0</v>
      </c>
      <c r="K279" s="5"/>
      <c r="L279" s="10"/>
      <c r="M279" s="11"/>
      <c r="R279" s="11"/>
    </row>
    <row r="280" spans="1:18" x14ac:dyDescent="0.25">
      <c r="A280" s="38">
        <f>Données!A280</f>
        <v>5907</v>
      </c>
      <c r="B280" s="200" t="str">
        <f>Données!B280</f>
        <v>Chavannes-le-Chêne</v>
      </c>
      <c r="C280" s="353">
        <f>VPI!R280</f>
        <v>9890.8899187559018</v>
      </c>
      <c r="D280" s="544">
        <f>Données!AP280</f>
        <v>18.629534317815324</v>
      </c>
      <c r="E280" s="422">
        <f>VPI!Q280</f>
        <v>75</v>
      </c>
      <c r="F280" s="244">
        <f t="shared" si="16"/>
        <v>56.370465682184673</v>
      </c>
      <c r="G280" s="241">
        <f>Effort!I280+Aide!I280/Taux!C280+Effort!K280/Taux!C280</f>
        <v>13.275347400896704</v>
      </c>
      <c r="H280" s="83">
        <f t="shared" si="17"/>
        <v>69.645813083081379</v>
      </c>
      <c r="I280" s="226">
        <f t="shared" si="18"/>
        <v>0</v>
      </c>
      <c r="J280" s="42">
        <f t="shared" si="19"/>
        <v>0</v>
      </c>
      <c r="K280" s="5"/>
      <c r="L280" s="10"/>
      <c r="M280" s="11"/>
      <c r="R280" s="11"/>
    </row>
    <row r="281" spans="1:18" x14ac:dyDescent="0.25">
      <c r="A281" s="38">
        <f>Données!A281</f>
        <v>5908</v>
      </c>
      <c r="B281" s="200" t="str">
        <f>Données!B281</f>
        <v>Chêne-Pâquier</v>
      </c>
      <c r="C281" s="353">
        <f>VPI!R281</f>
        <v>6502.346088577403</v>
      </c>
      <c r="D281" s="544">
        <f>Données!AP281</f>
        <v>2.5504252252033468</v>
      </c>
      <c r="E281" s="422">
        <f>VPI!Q281</f>
        <v>79</v>
      </c>
      <c r="F281" s="244">
        <f t="shared" si="16"/>
        <v>76.449574774796659</v>
      </c>
      <c r="G281" s="241">
        <f>Effort!I281+Aide!I281/Taux!C281+Effort!K281/Taux!C281</f>
        <v>29.414629508318047</v>
      </c>
      <c r="H281" s="83">
        <f t="shared" si="17"/>
        <v>105.8642042831147</v>
      </c>
      <c r="I281" s="226">
        <f t="shared" si="18"/>
        <v>13.6762042831147</v>
      </c>
      <c r="J281" s="42">
        <f t="shared" si="19"/>
        <v>-88927.413426896397</v>
      </c>
      <c r="K281" s="5"/>
      <c r="L281" s="10"/>
      <c r="M281" s="11"/>
      <c r="R281" s="11"/>
    </row>
    <row r="282" spans="1:18" x14ac:dyDescent="0.25">
      <c r="A282" s="38">
        <f>Données!A282</f>
        <v>5909</v>
      </c>
      <c r="B282" s="200" t="str">
        <f>Données!B282</f>
        <v>Cheseaux-Noréaz</v>
      </c>
      <c r="C282" s="353">
        <f>VPI!R282</f>
        <v>39252.843107523055</v>
      </c>
      <c r="D282" s="544">
        <f>Données!AP282</f>
        <v>31.561803412280792</v>
      </c>
      <c r="E282" s="422">
        <f>VPI!Q282</f>
        <v>67</v>
      </c>
      <c r="F282" s="244">
        <f t="shared" si="16"/>
        <v>35.438196587719204</v>
      </c>
      <c r="G282" s="241">
        <f>Effort!I282+Aide!I282/Taux!C282+Effort!K282/Taux!C282</f>
        <v>32.413128005766822</v>
      </c>
      <c r="H282" s="83">
        <f t="shared" si="17"/>
        <v>67.851324593486027</v>
      </c>
      <c r="I282" s="226">
        <f t="shared" si="18"/>
        <v>0</v>
      </c>
      <c r="J282" s="42">
        <f t="shared" si="19"/>
        <v>0</v>
      </c>
      <c r="K282" s="5"/>
      <c r="L282" s="10"/>
      <c r="M282" s="11"/>
      <c r="R282" s="11"/>
    </row>
    <row r="283" spans="1:18" x14ac:dyDescent="0.25">
      <c r="A283" s="38">
        <f>Données!A283</f>
        <v>5910</v>
      </c>
      <c r="B283" s="200" t="str">
        <f>Données!B283</f>
        <v>Cronay</v>
      </c>
      <c r="C283" s="353">
        <f>VPI!R283</f>
        <v>9974.6879714090483</v>
      </c>
      <c r="D283" s="544">
        <f>Données!AP283</f>
        <v>10.975724427285545</v>
      </c>
      <c r="E283" s="422">
        <f>VPI!Q283</f>
        <v>77</v>
      </c>
      <c r="F283" s="244">
        <f t="shared" si="16"/>
        <v>66.024275572714458</v>
      </c>
      <c r="G283" s="241">
        <f>Effort!I283+Aide!I283/Taux!C283+Effort!K283/Taux!C283</f>
        <v>-0.59507586066677476</v>
      </c>
      <c r="H283" s="83">
        <f t="shared" si="17"/>
        <v>65.429199712047676</v>
      </c>
      <c r="I283" s="226">
        <f t="shared" si="18"/>
        <v>0</v>
      </c>
      <c r="J283" s="42">
        <f t="shared" si="19"/>
        <v>0</v>
      </c>
      <c r="K283" s="5"/>
      <c r="L283" s="10"/>
      <c r="M283" s="11"/>
      <c r="R283" s="11"/>
    </row>
    <row r="284" spans="1:18" x14ac:dyDescent="0.25">
      <c r="A284" s="38">
        <f>Données!A284</f>
        <v>5911</v>
      </c>
      <c r="B284" s="200" t="str">
        <f>Données!B284</f>
        <v>Cuarny</v>
      </c>
      <c r="C284" s="353">
        <f>VPI!R284</f>
        <v>6938.982891321557</v>
      </c>
      <c r="D284" s="544">
        <f>Données!AP284</f>
        <v>21.214872639574185</v>
      </c>
      <c r="E284" s="422">
        <f>VPI!Q284</f>
        <v>77</v>
      </c>
      <c r="F284" s="244">
        <f t="shared" si="16"/>
        <v>55.785127360425818</v>
      </c>
      <c r="G284" s="241">
        <f>Effort!I284+Aide!I284/Taux!C284+Effort!K284/Taux!C284</f>
        <v>15.150020483744841</v>
      </c>
      <c r="H284" s="83">
        <f t="shared" si="17"/>
        <v>70.935147844170658</v>
      </c>
      <c r="I284" s="226">
        <f t="shared" si="18"/>
        <v>0</v>
      </c>
      <c r="J284" s="42">
        <f t="shared" si="19"/>
        <v>0</v>
      </c>
      <c r="K284" s="5"/>
      <c r="L284" s="10"/>
      <c r="M284" s="11"/>
      <c r="R284" s="11"/>
    </row>
    <row r="285" spans="1:18" x14ac:dyDescent="0.25">
      <c r="A285" s="38">
        <f>Données!A285</f>
        <v>5912</v>
      </c>
      <c r="B285" s="200" t="str">
        <f>Données!B285</f>
        <v>Démoret</v>
      </c>
      <c r="C285" s="353">
        <f>VPI!R285</f>
        <v>4068.1026902439612</v>
      </c>
      <c r="D285" s="544">
        <f>Données!AP285</f>
        <v>9.0378003090285244</v>
      </c>
      <c r="E285" s="422">
        <f>VPI!Q285</f>
        <v>81</v>
      </c>
      <c r="F285" s="244">
        <f t="shared" si="16"/>
        <v>71.962199690971474</v>
      </c>
      <c r="G285" s="241">
        <f>Effort!I285+Aide!I285/Taux!C285+Effort!K285/Taux!C285</f>
        <v>5.4616707340470594</v>
      </c>
      <c r="H285" s="83">
        <f t="shared" si="17"/>
        <v>77.423870425018535</v>
      </c>
      <c r="I285" s="226">
        <f t="shared" si="18"/>
        <v>0</v>
      </c>
      <c r="J285" s="42">
        <f t="shared" si="19"/>
        <v>0</v>
      </c>
      <c r="K285" s="5"/>
      <c r="L285" s="10"/>
      <c r="M285" s="11"/>
      <c r="R285" s="11"/>
    </row>
    <row r="286" spans="1:18" x14ac:dyDescent="0.25">
      <c r="A286" s="38">
        <f>Données!A286</f>
        <v>5913</v>
      </c>
      <c r="B286" s="200" t="str">
        <f>Données!B286</f>
        <v>Donneloye</v>
      </c>
      <c r="C286" s="353">
        <f>VPI!R286</f>
        <v>19877.397448309883</v>
      </c>
      <c r="D286" s="544">
        <f>Données!AP286</f>
        <v>14.280342687839807</v>
      </c>
      <c r="E286" s="422">
        <f>VPI!Q286</f>
        <v>73</v>
      </c>
      <c r="F286" s="244">
        <f t="shared" si="16"/>
        <v>58.719657312160194</v>
      </c>
      <c r="G286" s="241">
        <f>Effort!I286+Aide!I286/Taux!C286+Effort!K286/Taux!C286</f>
        <v>6.7139217311341497</v>
      </c>
      <c r="H286" s="83">
        <f t="shared" si="17"/>
        <v>65.433579043294344</v>
      </c>
      <c r="I286" s="226">
        <f t="shared" si="18"/>
        <v>0</v>
      </c>
      <c r="J286" s="42">
        <f t="shared" si="19"/>
        <v>0</v>
      </c>
      <c r="K286" s="5"/>
      <c r="L286" s="10"/>
      <c r="M286" s="11"/>
      <c r="R286" s="11"/>
    </row>
    <row r="287" spans="1:18" x14ac:dyDescent="0.25">
      <c r="A287" s="38">
        <f>Données!A287</f>
        <v>5914</v>
      </c>
      <c r="B287" s="200" t="str">
        <f>Données!B287</f>
        <v>Ependes</v>
      </c>
      <c r="C287" s="353">
        <f>VPI!R287</f>
        <v>10654.485759200121</v>
      </c>
      <c r="D287" s="544">
        <f>Données!AP287</f>
        <v>16.719326837874917</v>
      </c>
      <c r="E287" s="422">
        <f>VPI!Q287</f>
        <v>73.5</v>
      </c>
      <c r="F287" s="244">
        <f t="shared" si="16"/>
        <v>56.780673162125083</v>
      </c>
      <c r="G287" s="241">
        <f>Effort!I287+Aide!I287/Taux!C287+Effort!K287/Taux!C287</f>
        <v>8.463206762037558</v>
      </c>
      <c r="H287" s="83">
        <f t="shared" si="17"/>
        <v>65.243879924162641</v>
      </c>
      <c r="I287" s="226">
        <f t="shared" si="18"/>
        <v>0</v>
      </c>
      <c r="J287" s="42">
        <f t="shared" si="19"/>
        <v>0</v>
      </c>
      <c r="K287" s="5"/>
      <c r="L287" s="10"/>
      <c r="M287" s="11"/>
      <c r="R287" s="11"/>
    </row>
    <row r="288" spans="1:18" x14ac:dyDescent="0.25">
      <c r="A288" s="38">
        <f>Données!A288</f>
        <v>5919</v>
      </c>
      <c r="B288" s="200" t="str">
        <f>Données!B288</f>
        <v>Mathod</v>
      </c>
      <c r="C288" s="353">
        <f>VPI!R288</f>
        <v>21548.298328397002</v>
      </c>
      <c r="D288" s="544">
        <f>Données!AP288</f>
        <v>18.640863121886955</v>
      </c>
      <c r="E288" s="422">
        <f>VPI!Q288</f>
        <v>72</v>
      </c>
      <c r="F288" s="244">
        <f t="shared" si="16"/>
        <v>53.359136878113048</v>
      </c>
      <c r="G288" s="241">
        <f>Effort!I288+Aide!I288/Taux!C288+Effort!K288/Taux!C288</f>
        <v>12.142894175819713</v>
      </c>
      <c r="H288" s="83">
        <f t="shared" si="17"/>
        <v>65.502031053932768</v>
      </c>
      <c r="I288" s="226">
        <f t="shared" si="18"/>
        <v>0</v>
      </c>
      <c r="J288" s="42">
        <f t="shared" si="19"/>
        <v>0</v>
      </c>
      <c r="K288" s="5"/>
      <c r="L288" s="10"/>
      <c r="M288" s="11"/>
      <c r="R288" s="11"/>
    </row>
    <row r="289" spans="1:18" x14ac:dyDescent="0.25">
      <c r="A289" s="38">
        <f>Données!A289</f>
        <v>5921</v>
      </c>
      <c r="B289" s="200" t="str">
        <f>Données!B289</f>
        <v>Molondin</v>
      </c>
      <c r="C289" s="353">
        <f>VPI!R289</f>
        <v>5680.8817283950611</v>
      </c>
      <c r="D289" s="544">
        <f>Données!AP289</f>
        <v>4.9112542307870513</v>
      </c>
      <c r="E289" s="422">
        <f>VPI!Q289</f>
        <v>81</v>
      </c>
      <c r="F289" s="244">
        <f t="shared" si="16"/>
        <v>76.088745769212949</v>
      </c>
      <c r="G289" s="241">
        <f>Effort!I289+Aide!I289/Taux!C289+Effort!K289/Taux!C289</f>
        <v>-10.543860150902805</v>
      </c>
      <c r="H289" s="83">
        <f t="shared" si="17"/>
        <v>65.544885618310147</v>
      </c>
      <c r="I289" s="226">
        <f t="shared" si="18"/>
        <v>0</v>
      </c>
      <c r="J289" s="42">
        <f t="shared" si="19"/>
        <v>0</v>
      </c>
      <c r="K289" s="5"/>
      <c r="L289" s="10"/>
      <c r="M289" s="11"/>
      <c r="R289" s="11"/>
    </row>
    <row r="290" spans="1:18" x14ac:dyDescent="0.25">
      <c r="A290" s="38">
        <f>Données!A290</f>
        <v>5922</v>
      </c>
      <c r="B290" s="200" t="str">
        <f>Données!B290</f>
        <v>Montagny-près-Yverdon</v>
      </c>
      <c r="C290" s="353">
        <f>VPI!R290</f>
        <v>33186.709071572135</v>
      </c>
      <c r="D290" s="544">
        <f>Données!AP290</f>
        <v>32.95973407353565</v>
      </c>
      <c r="E290" s="422">
        <f>VPI!Q290</f>
        <v>63.5</v>
      </c>
      <c r="F290" s="244">
        <f t="shared" si="16"/>
        <v>30.54026592646435</v>
      </c>
      <c r="G290" s="241">
        <f>Effort!I290+Aide!I290/Taux!C290+Effort!K290/Taux!C290</f>
        <v>25.794962412840579</v>
      </c>
      <c r="H290" s="83">
        <f t="shared" si="17"/>
        <v>56.335228339304933</v>
      </c>
      <c r="I290" s="226">
        <f t="shared" si="18"/>
        <v>0</v>
      </c>
      <c r="J290" s="42">
        <f t="shared" si="19"/>
        <v>0</v>
      </c>
      <c r="K290" s="5"/>
      <c r="L290" s="10"/>
      <c r="M290" s="11"/>
      <c r="R290" s="11"/>
    </row>
    <row r="291" spans="1:18" x14ac:dyDescent="0.25">
      <c r="A291" s="38">
        <f>Données!A291</f>
        <v>5923</v>
      </c>
      <c r="B291" s="200" t="str">
        <f>Données!B291</f>
        <v>Oppens</v>
      </c>
      <c r="C291" s="353">
        <f>VPI!R291</f>
        <v>4798.3716723042917</v>
      </c>
      <c r="D291" s="544">
        <f>Données!AP291</f>
        <v>11.516997451718455</v>
      </c>
      <c r="E291" s="422">
        <f>VPI!Q291</f>
        <v>81</v>
      </c>
      <c r="F291" s="244">
        <f t="shared" si="16"/>
        <v>69.483002548281547</v>
      </c>
      <c r="G291" s="241">
        <f>Effort!I291+Aide!I291/Taux!C291+Effort!K291/Taux!C291</f>
        <v>-8.2381453596347534</v>
      </c>
      <c r="H291" s="83">
        <f t="shared" si="17"/>
        <v>61.24485718864679</v>
      </c>
      <c r="I291" s="226">
        <f t="shared" si="18"/>
        <v>0</v>
      </c>
      <c r="J291" s="42">
        <f t="shared" si="19"/>
        <v>0</v>
      </c>
      <c r="K291" s="5"/>
      <c r="L291" s="10"/>
      <c r="M291" s="11"/>
      <c r="R291" s="11"/>
    </row>
    <row r="292" spans="1:18" x14ac:dyDescent="0.25">
      <c r="A292" s="38">
        <f>Données!A292</f>
        <v>5924</v>
      </c>
      <c r="B292" s="200" t="str">
        <f>Données!B292</f>
        <v>Orges</v>
      </c>
      <c r="C292" s="353">
        <f>VPI!R292</f>
        <v>12515.741993747673</v>
      </c>
      <c r="D292" s="544">
        <f>Données!AP292</f>
        <v>25.25977118698065</v>
      </c>
      <c r="E292" s="422">
        <f>VPI!Q292</f>
        <v>74</v>
      </c>
      <c r="F292" s="244">
        <f t="shared" si="16"/>
        <v>48.74022881301935</v>
      </c>
      <c r="G292" s="241">
        <f>Effort!I292+Aide!I292/Taux!C292+Effort!K292/Taux!C292</f>
        <v>24.552022960240109</v>
      </c>
      <c r="H292" s="83">
        <f t="shared" si="17"/>
        <v>73.292251773259466</v>
      </c>
      <c r="I292" s="226">
        <f t="shared" si="18"/>
        <v>0</v>
      </c>
      <c r="J292" s="42">
        <f t="shared" si="19"/>
        <v>0</v>
      </c>
      <c r="K292" s="5"/>
      <c r="L292" s="10"/>
      <c r="M292" s="11"/>
      <c r="R292" s="11"/>
    </row>
    <row r="293" spans="1:18" x14ac:dyDescent="0.25">
      <c r="A293" s="38">
        <f>Données!A293</f>
        <v>5925</v>
      </c>
      <c r="B293" s="200" t="str">
        <f>Données!B293</f>
        <v>Orzens</v>
      </c>
      <c r="C293" s="353">
        <f>VPI!R293</f>
        <v>5885.1778481012652</v>
      </c>
      <c r="D293" s="544">
        <f>Données!AP293</f>
        <v>10.602713263370246</v>
      </c>
      <c r="E293" s="422">
        <f>VPI!Q293</f>
        <v>79</v>
      </c>
      <c r="F293" s="244">
        <f t="shared" si="16"/>
        <v>68.397286736629752</v>
      </c>
      <c r="G293" s="241">
        <f>Effort!I293+Aide!I293/Taux!C293+Effort!K293/Taux!C293</f>
        <v>13.186096059061967</v>
      </c>
      <c r="H293" s="83">
        <f t="shared" si="17"/>
        <v>81.583382795691719</v>
      </c>
      <c r="I293" s="226">
        <f t="shared" si="18"/>
        <v>0</v>
      </c>
      <c r="J293" s="42">
        <f t="shared" si="19"/>
        <v>0</v>
      </c>
      <c r="K293" s="5"/>
      <c r="L293" s="10"/>
      <c r="M293" s="11"/>
      <c r="R293" s="11"/>
    </row>
    <row r="294" spans="1:18" x14ac:dyDescent="0.25">
      <c r="A294" s="38">
        <f>Données!A294</f>
        <v>5926</v>
      </c>
      <c r="B294" s="200" t="str">
        <f>Données!B294</f>
        <v>Pomy</v>
      </c>
      <c r="C294" s="353">
        <f>VPI!R294</f>
        <v>27361.56181889947</v>
      </c>
      <c r="D294" s="544">
        <f>Données!AP294</f>
        <v>24.841274883120967</v>
      </c>
      <c r="E294" s="422">
        <f>VPI!Q294</f>
        <v>71</v>
      </c>
      <c r="F294" s="244">
        <f t="shared" si="16"/>
        <v>46.158725116879033</v>
      </c>
      <c r="G294" s="241">
        <f>Effort!I294+Aide!I294/Taux!C294+Effort!K294/Taux!C294</f>
        <v>22.419700033411313</v>
      </c>
      <c r="H294" s="83">
        <f t="shared" si="17"/>
        <v>68.578425150290343</v>
      </c>
      <c r="I294" s="226">
        <f t="shared" si="18"/>
        <v>0</v>
      </c>
      <c r="J294" s="42">
        <f t="shared" si="19"/>
        <v>0</v>
      </c>
      <c r="K294" s="5"/>
      <c r="L294" s="10"/>
      <c r="M294" s="11"/>
      <c r="R294" s="11"/>
    </row>
    <row r="295" spans="1:18" x14ac:dyDescent="0.25">
      <c r="A295" s="38">
        <f>Données!A295</f>
        <v>5928</v>
      </c>
      <c r="B295" s="200" t="str">
        <f>Données!B295</f>
        <v>Rovray</v>
      </c>
      <c r="C295" s="353">
        <f>VPI!R295</f>
        <v>5562.4200865991261</v>
      </c>
      <c r="D295" s="544">
        <f>Données!AP295</f>
        <v>22.323121877204002</v>
      </c>
      <c r="E295" s="422">
        <f>VPI!Q295</f>
        <v>71.5</v>
      </c>
      <c r="F295" s="244">
        <f t="shared" si="16"/>
        <v>49.176878122795998</v>
      </c>
      <c r="G295" s="241">
        <f>Effort!I295+Aide!I295/Taux!C295+Effort!K295/Taux!C295</f>
        <v>15.045729871932888</v>
      </c>
      <c r="H295" s="83">
        <f t="shared" si="17"/>
        <v>64.222607994728889</v>
      </c>
      <c r="I295" s="226">
        <f t="shared" si="18"/>
        <v>0</v>
      </c>
      <c r="J295" s="42">
        <f t="shared" si="19"/>
        <v>0</v>
      </c>
      <c r="K295" s="5"/>
      <c r="L295" s="10"/>
      <c r="M295" s="11"/>
      <c r="R295" s="11"/>
    </row>
    <row r="296" spans="1:18" x14ac:dyDescent="0.25">
      <c r="A296" s="38">
        <f>Données!A296</f>
        <v>5929</v>
      </c>
      <c r="B296" s="200" t="str">
        <f>Données!B296</f>
        <v>Suchy</v>
      </c>
      <c r="C296" s="353">
        <f>VPI!R296</f>
        <v>19817.928233868191</v>
      </c>
      <c r="D296" s="544">
        <f>Données!AP296</f>
        <v>16.278032746748725</v>
      </c>
      <c r="E296" s="422">
        <f>VPI!Q296</f>
        <v>70</v>
      </c>
      <c r="F296" s="244">
        <f t="shared" si="16"/>
        <v>53.721967253251279</v>
      </c>
      <c r="G296" s="241">
        <f>Effort!I296+Aide!I296/Taux!C296+Effort!K296/Taux!C296</f>
        <v>18.608011861431883</v>
      </c>
      <c r="H296" s="83">
        <f t="shared" si="17"/>
        <v>72.329979114683169</v>
      </c>
      <c r="I296" s="226">
        <f t="shared" si="18"/>
        <v>0</v>
      </c>
      <c r="J296" s="42">
        <f t="shared" si="19"/>
        <v>0</v>
      </c>
      <c r="K296" s="5"/>
      <c r="L296" s="10"/>
      <c r="M296" s="11"/>
      <c r="R296" s="11"/>
    </row>
    <row r="297" spans="1:18" x14ac:dyDescent="0.25">
      <c r="A297" s="38">
        <f>Données!A297</f>
        <v>5930</v>
      </c>
      <c r="B297" s="200" t="str">
        <f>Données!B297</f>
        <v>Suscévaz</v>
      </c>
      <c r="C297" s="353">
        <f>VPI!R297</f>
        <v>5767.7688822867358</v>
      </c>
      <c r="D297" s="544">
        <f>Données!AP297</f>
        <v>16.28908252459464</v>
      </c>
      <c r="E297" s="422">
        <f>VPI!Q297</f>
        <v>72</v>
      </c>
      <c r="F297" s="244">
        <f t="shared" si="16"/>
        <v>55.71091747540536</v>
      </c>
      <c r="G297" s="241">
        <f>Effort!I297+Aide!I297/Taux!C297+Effort!K297/Taux!C297</f>
        <v>10.274989210374386</v>
      </c>
      <c r="H297" s="83">
        <f t="shared" si="17"/>
        <v>65.985906685779753</v>
      </c>
      <c r="I297" s="226">
        <f t="shared" si="18"/>
        <v>0</v>
      </c>
      <c r="J297" s="42">
        <f t="shared" si="19"/>
        <v>0</v>
      </c>
      <c r="K297" s="5"/>
      <c r="L297" s="10"/>
      <c r="M297" s="11"/>
      <c r="R297" s="11"/>
    </row>
    <row r="298" spans="1:18" x14ac:dyDescent="0.25">
      <c r="A298" s="38">
        <f>Données!A298</f>
        <v>5931</v>
      </c>
      <c r="B298" s="200" t="str">
        <f>Données!B298</f>
        <v>Treycovagnes</v>
      </c>
      <c r="C298" s="353">
        <f>VPI!R298</f>
        <v>15378.452365711239</v>
      </c>
      <c r="D298" s="544">
        <f>Données!AP298</f>
        <v>10.820665377711256</v>
      </c>
      <c r="E298" s="422">
        <f>VPI!Q298</f>
        <v>75</v>
      </c>
      <c r="F298" s="244">
        <f t="shared" si="16"/>
        <v>64.179334622288749</v>
      </c>
      <c r="G298" s="241">
        <f>Effort!I298+Aide!I298/Taux!C298+Effort!K298/Taux!C298</f>
        <v>17.51457225085295</v>
      </c>
      <c r="H298" s="83">
        <f t="shared" si="17"/>
        <v>81.6939068731417</v>
      </c>
      <c r="I298" s="226">
        <f t="shared" si="18"/>
        <v>0</v>
      </c>
      <c r="J298" s="42">
        <f t="shared" si="19"/>
        <v>0</v>
      </c>
      <c r="K298" s="5"/>
      <c r="L298" s="10"/>
      <c r="M298" s="11"/>
      <c r="R298" s="11"/>
    </row>
    <row r="299" spans="1:18" x14ac:dyDescent="0.25">
      <c r="A299" s="38">
        <f>Données!A299</f>
        <v>5932</v>
      </c>
      <c r="B299" s="200" t="str">
        <f>Données!B299</f>
        <v>Ursins</v>
      </c>
      <c r="C299" s="353">
        <f>VPI!R299</f>
        <v>6819.2739438524613</v>
      </c>
      <c r="D299" s="544">
        <f>Données!AP299</f>
        <v>25.702337835097079</v>
      </c>
      <c r="E299" s="422">
        <f>VPI!Q299</f>
        <v>75</v>
      </c>
      <c r="F299" s="244">
        <f t="shared" si="16"/>
        <v>49.297662164902917</v>
      </c>
      <c r="G299" s="241">
        <f>Effort!I299+Aide!I299/Taux!C299+Effort!K299/Taux!C299</f>
        <v>12.51881570233085</v>
      </c>
      <c r="H299" s="83">
        <f t="shared" si="17"/>
        <v>61.816477867233765</v>
      </c>
      <c r="I299" s="226">
        <f t="shared" si="18"/>
        <v>0</v>
      </c>
      <c r="J299" s="42">
        <f t="shared" si="19"/>
        <v>0</v>
      </c>
      <c r="K299" s="5"/>
      <c r="L299" s="10"/>
      <c r="M299" s="11"/>
      <c r="R299" s="11"/>
    </row>
    <row r="300" spans="1:18" x14ac:dyDescent="0.25">
      <c r="A300" s="38">
        <f>Données!A300</f>
        <v>5933</v>
      </c>
      <c r="B300" s="200" t="str">
        <f>Données!B300</f>
        <v>Valeyres-sous-Montagny</v>
      </c>
      <c r="C300" s="353">
        <f>VPI!R300</f>
        <v>22563.405559232429</v>
      </c>
      <c r="D300" s="544">
        <f>Données!AP300</f>
        <v>21.196136358609873</v>
      </c>
      <c r="E300" s="422">
        <f>VPI!Q300</f>
        <v>70.5</v>
      </c>
      <c r="F300" s="244">
        <f t="shared" si="16"/>
        <v>49.303863641390123</v>
      </c>
      <c r="G300" s="241">
        <f>Effort!I300+Aide!I300/Taux!C300+Effort!K300/Taux!C300</f>
        <v>12.402325038318111</v>
      </c>
      <c r="H300" s="83">
        <f t="shared" si="17"/>
        <v>61.706188679708234</v>
      </c>
      <c r="I300" s="226">
        <f t="shared" si="18"/>
        <v>0</v>
      </c>
      <c r="J300" s="42">
        <f t="shared" si="19"/>
        <v>0</v>
      </c>
      <c r="K300" s="5"/>
      <c r="L300" s="10"/>
      <c r="M300" s="11"/>
      <c r="R300" s="11"/>
    </row>
    <row r="301" spans="1:18" x14ac:dyDescent="0.25">
      <c r="A301" s="38">
        <f>Données!A301</f>
        <v>5934</v>
      </c>
      <c r="B301" s="200" t="str">
        <f>Données!B301</f>
        <v>Valeyres-sous-Ursins</v>
      </c>
      <c r="C301" s="353">
        <f>VPI!R301</f>
        <v>7577.6382278481005</v>
      </c>
      <c r="D301" s="544">
        <f>Données!AP301</f>
        <v>21.751757035780155</v>
      </c>
      <c r="E301" s="422">
        <f>VPI!Q301</f>
        <v>79</v>
      </c>
      <c r="F301" s="244">
        <f t="shared" si="16"/>
        <v>57.248242964219841</v>
      </c>
      <c r="G301" s="241">
        <f>Effort!I301+Aide!I301/Taux!C301+Effort!K301/Taux!C301</f>
        <v>17.391603320415573</v>
      </c>
      <c r="H301" s="83">
        <f t="shared" si="17"/>
        <v>74.639846284635411</v>
      </c>
      <c r="I301" s="226">
        <f t="shared" si="18"/>
        <v>0</v>
      </c>
      <c r="J301" s="42">
        <f t="shared" si="19"/>
        <v>0</v>
      </c>
      <c r="K301" s="5"/>
      <c r="L301" s="10"/>
      <c r="M301" s="11"/>
      <c r="R301" s="11"/>
    </row>
    <row r="302" spans="1:18" x14ac:dyDescent="0.25">
      <c r="A302" s="38">
        <f>Données!A302</f>
        <v>5935</v>
      </c>
      <c r="B302" s="200" t="str">
        <f>Données!B302</f>
        <v>Villars-Epeney</v>
      </c>
      <c r="C302" s="353">
        <f>VPI!R302</f>
        <v>3928.0620213791694</v>
      </c>
      <c r="D302" s="544">
        <f>Données!AP302</f>
        <v>32.738693456487894</v>
      </c>
      <c r="E302" s="422">
        <f>VPI!Q302</f>
        <v>60</v>
      </c>
      <c r="F302" s="244">
        <f t="shared" si="16"/>
        <v>27.261306543512106</v>
      </c>
      <c r="G302" s="241">
        <f>Effort!I302+Aide!I302/Taux!C302+Effort!K302/Taux!C302</f>
        <v>26.568728288816445</v>
      </c>
      <c r="H302" s="83">
        <f t="shared" si="17"/>
        <v>53.83003483232855</v>
      </c>
      <c r="I302" s="226">
        <f t="shared" si="18"/>
        <v>0</v>
      </c>
      <c r="J302" s="42">
        <f t="shared" si="19"/>
        <v>0</v>
      </c>
      <c r="K302" s="5"/>
      <c r="L302" s="10"/>
      <c r="M302" s="11"/>
      <c r="R302" s="11"/>
    </row>
    <row r="303" spans="1:18" x14ac:dyDescent="0.25">
      <c r="A303" s="38">
        <f>Données!A303</f>
        <v>5937</v>
      </c>
      <c r="B303" s="200" t="str">
        <f>Données!B303</f>
        <v>Vugelles-La Mothe</v>
      </c>
      <c r="C303" s="353">
        <f>VPI!R303</f>
        <v>3185.9394172567995</v>
      </c>
      <c r="D303" s="544">
        <f>Données!AP303</f>
        <v>8.8328789046913538</v>
      </c>
      <c r="E303" s="422">
        <f>VPI!Q303</f>
        <v>70</v>
      </c>
      <c r="F303" s="244">
        <f t="shared" si="16"/>
        <v>61.167121095308644</v>
      </c>
      <c r="G303" s="241">
        <f>Effort!I303+Aide!I303/Taux!C303+Effort!K303/Taux!C303</f>
        <v>1.4368964613278621</v>
      </c>
      <c r="H303" s="83">
        <f t="shared" si="17"/>
        <v>62.604017556636506</v>
      </c>
      <c r="I303" s="226">
        <f t="shared" si="18"/>
        <v>0</v>
      </c>
      <c r="J303" s="42">
        <f t="shared" si="19"/>
        <v>0</v>
      </c>
      <c r="K303" s="5"/>
      <c r="L303" s="10"/>
      <c r="M303" s="11"/>
      <c r="R303" s="11"/>
    </row>
    <row r="304" spans="1:18" x14ac:dyDescent="0.25">
      <c r="A304" s="38">
        <f>Données!A304</f>
        <v>5938</v>
      </c>
      <c r="B304" s="200" t="str">
        <f>Données!B304</f>
        <v>Yverdon-les-Bains</v>
      </c>
      <c r="C304" s="353">
        <f>VPI!R304</f>
        <v>794891.37980729085</v>
      </c>
      <c r="D304" s="544">
        <f>Données!AP304</f>
        <v>-12.07954248136752</v>
      </c>
      <c r="E304" s="422">
        <f>VPI!Q304</f>
        <v>75</v>
      </c>
      <c r="F304" s="244">
        <f t="shared" si="16"/>
        <v>87.079542481367525</v>
      </c>
      <c r="G304" s="241">
        <f>Effort!I304+Aide!I304/Taux!C304+Effort!K304/Taux!C304</f>
        <v>-26.094657077100599</v>
      </c>
      <c r="H304" s="83">
        <f t="shared" si="17"/>
        <v>60.984885404266926</v>
      </c>
      <c r="I304" s="226">
        <f t="shared" si="18"/>
        <v>0</v>
      </c>
      <c r="J304" s="42">
        <f t="shared" si="19"/>
        <v>0</v>
      </c>
      <c r="K304" s="5"/>
      <c r="L304" s="10"/>
      <c r="M304" s="11"/>
      <c r="R304" s="11"/>
    </row>
    <row r="305" spans="1:18" x14ac:dyDescent="0.25">
      <c r="A305" s="39">
        <f>Données!A305</f>
        <v>5939</v>
      </c>
      <c r="B305" s="201" t="str">
        <f>Données!B305</f>
        <v>Yvonand</v>
      </c>
      <c r="C305" s="420">
        <f>VPI!R305</f>
        <v>92828.645169819079</v>
      </c>
      <c r="D305" s="545">
        <f>Données!AP305</f>
        <v>10.021830293173625</v>
      </c>
      <c r="E305" s="423">
        <f>VPI!Q305</f>
        <v>71.5</v>
      </c>
      <c r="F305" s="246">
        <f t="shared" si="16"/>
        <v>61.478169706826378</v>
      </c>
      <c r="G305" s="242">
        <f>Effort!I305+Aide!I305/Taux!C305+Effort!K305/Taux!C305</f>
        <v>1.2833598582406971</v>
      </c>
      <c r="H305" s="84">
        <f t="shared" si="17"/>
        <v>62.761529565067079</v>
      </c>
      <c r="I305" s="226">
        <f t="shared" si="18"/>
        <v>0</v>
      </c>
      <c r="J305" s="65">
        <f t="shared" si="19"/>
        <v>0</v>
      </c>
      <c r="K305" s="5"/>
      <c r="L305" s="10"/>
      <c r="M305" s="11"/>
      <c r="R305" s="11"/>
    </row>
    <row r="306" spans="1:18" x14ac:dyDescent="0.25">
      <c r="A306" s="25"/>
      <c r="B306" s="74">
        <f>COUNTA(B6:B305)</f>
        <v>300</v>
      </c>
      <c r="C306" s="420">
        <f t="shared" ref="C306" si="20">SUM(C6:C305)</f>
        <v>37643741.933631986</v>
      </c>
      <c r="D306" s="545"/>
      <c r="E306" s="424">
        <f>VPI!Q306</f>
        <v>67.569303017074205</v>
      </c>
      <c r="F306" s="246">
        <f t="shared" si="16"/>
        <v>67.569303017074205</v>
      </c>
      <c r="G306" s="242">
        <f>Effort!I306+Aide!I306/Taux!C306+Effort!K306/Taux!C306</f>
        <v>17.701648818433377</v>
      </c>
      <c r="H306" s="84">
        <f t="shared" si="17"/>
        <v>85.270951835507589</v>
      </c>
      <c r="I306" s="354"/>
      <c r="J306" s="65">
        <f>SUM(J6:J305)</f>
        <v>-182923.22088643571</v>
      </c>
      <c r="K306" s="5"/>
      <c r="L306" s="11"/>
      <c r="M306" s="11"/>
      <c r="R306" s="11"/>
    </row>
    <row r="307" spans="1:18" x14ac:dyDescent="0.25">
      <c r="Q307" s="18"/>
    </row>
    <row r="308" spans="1:18" s="5" customFormat="1" x14ac:dyDescent="0.25">
      <c r="M308" s="13"/>
    </row>
    <row r="311" spans="1:18" s="5" customFormat="1" x14ac:dyDescent="0.25">
      <c r="L311" s="166"/>
      <c r="M311" s="13"/>
      <c r="N311" s="166"/>
      <c r="O311" s="166"/>
    </row>
  </sheetData>
  <sheetProtection sheet="1" objects="1" scenarios="1"/>
  <mergeCells count="7">
    <mergeCell ref="B4:B5"/>
    <mergeCell ref="A4:A5"/>
    <mergeCell ref="C4:C5"/>
    <mergeCell ref="J4:J5"/>
    <mergeCell ref="H4:H5"/>
    <mergeCell ref="F4:F5"/>
    <mergeCell ref="E4:E5"/>
  </mergeCells>
  <phoneticPr fontId="0" type="noConversion"/>
  <hyperlinks>
    <hyperlink ref="C1" location="Aide!A1" display="← Précédent" xr:uid="{00D85FBE-C9A1-4DAD-8388-6665A16184A7}"/>
    <hyperlink ref="E1" location="'Facture policière'!A1" display="Suivant →" xr:uid="{1A29BF59-48EA-4027-B528-0BD68DA04860}"/>
    <hyperlink ref="D1" location="'Table des matières'!A1" display="Table des             matières" xr:uid="{BAADEC0A-8BF6-4BD9-A62A-9F972EA7EC07}"/>
  </hyperlinks>
  <printOptions horizontalCentered="1"/>
  <pageMargins left="0" right="0" top="0" bottom="0" header="0.51181102362204722" footer="0.51181102362204722"/>
  <pageSetup paperSize="9" scale="63" orientation="landscape" horizontalDpi="4294967292" verticalDpi="4294967292"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theme="7" tint="-0.249977111117893"/>
    <pageSetUpPr fitToPage="1"/>
  </sheetPr>
  <dimension ref="A1:T308"/>
  <sheetViews>
    <sheetView workbookViewId="0">
      <pane ySplit="5" topLeftCell="A6" activePane="bottomLeft" state="frozen"/>
      <selection pane="bottomLeft" activeCell="L34" sqref="L34"/>
    </sheetView>
  </sheetViews>
  <sheetFormatPr baseColWidth="10" defaultColWidth="9.375" defaultRowHeight="15" x14ac:dyDescent="0.25"/>
  <cols>
    <col min="1" max="1" width="8.125" style="128" customWidth="1"/>
    <col min="2" max="2" width="22" style="128" customWidth="1"/>
    <col min="3" max="3" width="11.625" style="128" customWidth="1"/>
    <col min="4" max="4" width="11.375" style="128" customWidth="1"/>
    <col min="5" max="5" width="6.625" style="128" customWidth="1"/>
    <col min="6" max="6" width="12" style="128" bestFit="1" customWidth="1"/>
    <col min="7" max="7" width="19.625" style="128" customWidth="1"/>
    <col min="8" max="8" width="14.25" style="128" customWidth="1"/>
    <col min="9" max="9" width="20" style="128" customWidth="1"/>
    <col min="10" max="10" width="16.625" style="128" customWidth="1"/>
    <col min="11" max="11" width="14.5" style="128" customWidth="1"/>
    <col min="12" max="12" width="13" style="128" customWidth="1"/>
    <col min="13" max="13" width="10.75" style="128" bestFit="1" customWidth="1"/>
    <col min="14" max="14" width="13.125" style="130" customWidth="1"/>
    <col min="15" max="15" width="9.375" style="129"/>
    <col min="16" max="16" width="9.875" style="130" customWidth="1"/>
    <col min="17" max="17" width="11.75" style="130" bestFit="1" customWidth="1"/>
    <col min="18" max="20" width="9.375" style="129"/>
    <col min="21" max="247" width="9.375" style="128"/>
    <col min="248" max="248" width="5" style="128" customWidth="1"/>
    <col min="249" max="249" width="17.875" style="128" bestFit="1" customWidth="1"/>
    <col min="250" max="250" width="9.875" style="128" customWidth="1"/>
    <col min="251" max="251" width="8.875" style="128" customWidth="1"/>
    <col min="252" max="252" width="7.375" style="128" bestFit="1" customWidth="1"/>
    <col min="253" max="253" width="10.125" style="128" bestFit="1" customWidth="1"/>
    <col min="254" max="254" width="9.375" style="128"/>
    <col min="255" max="255" width="10.125" style="128" bestFit="1" customWidth="1"/>
    <col min="256" max="256" width="10.75" style="128" customWidth="1"/>
    <col min="257" max="259" width="9.375" style="128"/>
    <col min="260" max="261" width="10.75" style="128" customWidth="1"/>
    <col min="262" max="266" width="9.375" style="128"/>
    <col min="267" max="267" width="1.625" style="128" bestFit="1" customWidth="1"/>
    <col min="268" max="268" width="9.375" style="128"/>
    <col min="269" max="269" width="8.875" style="128" customWidth="1"/>
    <col min="270" max="270" width="13.125" style="128" customWidth="1"/>
    <col min="271" max="271" width="9.375" style="128"/>
    <col min="272" max="272" width="9.875" style="128" customWidth="1"/>
    <col min="273" max="273" width="11.75" style="128" bestFit="1" customWidth="1"/>
    <col min="274" max="503" width="9.375" style="128"/>
    <col min="504" max="504" width="5" style="128" customWidth="1"/>
    <col min="505" max="505" width="17.875" style="128" bestFit="1" customWidth="1"/>
    <col min="506" max="506" width="9.875" style="128" customWidth="1"/>
    <col min="507" max="507" width="8.875" style="128" customWidth="1"/>
    <col min="508" max="508" width="7.375" style="128" bestFit="1" customWidth="1"/>
    <col min="509" max="509" width="10.125" style="128" bestFit="1" customWidth="1"/>
    <col min="510" max="510" width="9.375" style="128"/>
    <col min="511" max="511" width="10.125" style="128" bestFit="1" customWidth="1"/>
    <col min="512" max="512" width="10.75" style="128" customWidth="1"/>
    <col min="513" max="515" width="9.375" style="128"/>
    <col min="516" max="517" width="10.75" style="128" customWidth="1"/>
    <col min="518" max="522" width="9.375" style="128"/>
    <col min="523" max="523" width="1.625" style="128" bestFit="1" customWidth="1"/>
    <col min="524" max="524" width="9.375" style="128"/>
    <col min="525" max="525" width="8.875" style="128" customWidth="1"/>
    <col min="526" max="526" width="13.125" style="128" customWidth="1"/>
    <col min="527" max="527" width="9.375" style="128"/>
    <col min="528" max="528" width="9.875" style="128" customWidth="1"/>
    <col min="529" max="529" width="11.75" style="128" bestFit="1" customWidth="1"/>
    <col min="530" max="759" width="9.375" style="128"/>
    <col min="760" max="760" width="5" style="128" customWidth="1"/>
    <col min="761" max="761" width="17.875" style="128" bestFit="1" customWidth="1"/>
    <col min="762" max="762" width="9.875" style="128" customWidth="1"/>
    <col min="763" max="763" width="8.875" style="128" customWidth="1"/>
    <col min="764" max="764" width="7.375" style="128" bestFit="1" customWidth="1"/>
    <col min="765" max="765" width="10.125" style="128" bestFit="1" customWidth="1"/>
    <col min="766" max="766" width="9.375" style="128"/>
    <col min="767" max="767" width="10.125" style="128" bestFit="1" customWidth="1"/>
    <col min="768" max="768" width="10.75" style="128" customWidth="1"/>
    <col min="769" max="771" width="9.375" style="128"/>
    <col min="772" max="773" width="10.75" style="128" customWidth="1"/>
    <col min="774" max="778" width="9.375" style="128"/>
    <col min="779" max="779" width="1.625" style="128" bestFit="1" customWidth="1"/>
    <col min="780" max="780" width="9.375" style="128"/>
    <col min="781" max="781" width="8.875" style="128" customWidth="1"/>
    <col min="782" max="782" width="13.125" style="128" customWidth="1"/>
    <col min="783" max="783" width="9.375" style="128"/>
    <col min="784" max="784" width="9.875" style="128" customWidth="1"/>
    <col min="785" max="785" width="11.75" style="128" bestFit="1" customWidth="1"/>
    <col min="786" max="1015" width="9.375" style="128"/>
    <col min="1016" max="1016" width="5" style="128" customWidth="1"/>
    <col min="1017" max="1017" width="17.875" style="128" bestFit="1" customWidth="1"/>
    <col min="1018" max="1018" width="9.875" style="128" customWidth="1"/>
    <col min="1019" max="1019" width="8.875" style="128" customWidth="1"/>
    <col min="1020" max="1020" width="7.375" style="128" bestFit="1" customWidth="1"/>
    <col min="1021" max="1021" width="10.125" style="128" bestFit="1" customWidth="1"/>
    <col min="1022" max="1022" width="9.375" style="128"/>
    <col min="1023" max="1023" width="10.125" style="128" bestFit="1" customWidth="1"/>
    <col min="1024" max="1024" width="10.75" style="128" customWidth="1"/>
    <col min="1025" max="1027" width="9.375" style="128"/>
    <col min="1028" max="1029" width="10.75" style="128" customWidth="1"/>
    <col min="1030" max="1034" width="9.375" style="128"/>
    <col min="1035" max="1035" width="1.625" style="128" bestFit="1" customWidth="1"/>
    <col min="1036" max="1036" width="9.375" style="128"/>
    <col min="1037" max="1037" width="8.875" style="128" customWidth="1"/>
    <col min="1038" max="1038" width="13.125" style="128" customWidth="1"/>
    <col min="1039" max="1039" width="9.375" style="128"/>
    <col min="1040" max="1040" width="9.875" style="128" customWidth="1"/>
    <col min="1041" max="1041" width="11.75" style="128" bestFit="1" customWidth="1"/>
    <col min="1042" max="1271" width="9.375" style="128"/>
    <col min="1272" max="1272" width="5" style="128" customWidth="1"/>
    <col min="1273" max="1273" width="17.875" style="128" bestFit="1" customWidth="1"/>
    <col min="1274" max="1274" width="9.875" style="128" customWidth="1"/>
    <col min="1275" max="1275" width="8.875" style="128" customWidth="1"/>
    <col min="1276" max="1276" width="7.375" style="128" bestFit="1" customWidth="1"/>
    <col min="1277" max="1277" width="10.125" style="128" bestFit="1" customWidth="1"/>
    <col min="1278" max="1278" width="9.375" style="128"/>
    <col min="1279" max="1279" width="10.125" style="128" bestFit="1" customWidth="1"/>
    <col min="1280" max="1280" width="10.75" style="128" customWidth="1"/>
    <col min="1281" max="1283" width="9.375" style="128"/>
    <col min="1284" max="1285" width="10.75" style="128" customWidth="1"/>
    <col min="1286" max="1290" width="9.375" style="128"/>
    <col min="1291" max="1291" width="1.625" style="128" bestFit="1" customWidth="1"/>
    <col min="1292" max="1292" width="9.375" style="128"/>
    <col min="1293" max="1293" width="8.875" style="128" customWidth="1"/>
    <col min="1294" max="1294" width="13.125" style="128" customWidth="1"/>
    <col min="1295" max="1295" width="9.375" style="128"/>
    <col min="1296" max="1296" width="9.875" style="128" customWidth="1"/>
    <col min="1297" max="1297" width="11.75" style="128" bestFit="1" customWidth="1"/>
    <col min="1298" max="1527" width="9.375" style="128"/>
    <col min="1528" max="1528" width="5" style="128" customWidth="1"/>
    <col min="1529" max="1529" width="17.875" style="128" bestFit="1" customWidth="1"/>
    <col min="1530" max="1530" width="9.875" style="128" customWidth="1"/>
    <col min="1531" max="1531" width="8.875" style="128" customWidth="1"/>
    <col min="1532" max="1532" width="7.375" style="128" bestFit="1" customWidth="1"/>
    <col min="1533" max="1533" width="10.125" style="128" bestFit="1" customWidth="1"/>
    <col min="1534" max="1534" width="9.375" style="128"/>
    <col min="1535" max="1535" width="10.125" style="128" bestFit="1" customWidth="1"/>
    <col min="1536" max="1536" width="10.75" style="128" customWidth="1"/>
    <col min="1537" max="1539" width="9.375" style="128"/>
    <col min="1540" max="1541" width="10.75" style="128" customWidth="1"/>
    <col min="1542" max="1546" width="9.375" style="128"/>
    <col min="1547" max="1547" width="1.625" style="128" bestFit="1" customWidth="1"/>
    <col min="1548" max="1548" width="9.375" style="128"/>
    <col min="1549" max="1549" width="8.875" style="128" customWidth="1"/>
    <col min="1550" max="1550" width="13.125" style="128" customWidth="1"/>
    <col min="1551" max="1551" width="9.375" style="128"/>
    <col min="1552" max="1552" width="9.875" style="128" customWidth="1"/>
    <col min="1553" max="1553" width="11.75" style="128" bestFit="1" customWidth="1"/>
    <col min="1554" max="1783" width="9.375" style="128"/>
    <col min="1784" max="1784" width="5" style="128" customWidth="1"/>
    <col min="1785" max="1785" width="17.875" style="128" bestFit="1" customWidth="1"/>
    <col min="1786" max="1786" width="9.875" style="128" customWidth="1"/>
    <col min="1787" max="1787" width="8.875" style="128" customWidth="1"/>
    <col min="1788" max="1788" width="7.375" style="128" bestFit="1" customWidth="1"/>
    <col min="1789" max="1789" width="10.125" style="128" bestFit="1" customWidth="1"/>
    <col min="1790" max="1790" width="9.375" style="128"/>
    <col min="1791" max="1791" width="10.125" style="128" bestFit="1" customWidth="1"/>
    <col min="1792" max="1792" width="10.75" style="128" customWidth="1"/>
    <col min="1793" max="1795" width="9.375" style="128"/>
    <col min="1796" max="1797" width="10.75" style="128" customWidth="1"/>
    <col min="1798" max="1802" width="9.375" style="128"/>
    <col min="1803" max="1803" width="1.625" style="128" bestFit="1" customWidth="1"/>
    <col min="1804" max="1804" width="9.375" style="128"/>
    <col min="1805" max="1805" width="8.875" style="128" customWidth="1"/>
    <col min="1806" max="1806" width="13.125" style="128" customWidth="1"/>
    <col min="1807" max="1807" width="9.375" style="128"/>
    <col min="1808" max="1808" width="9.875" style="128" customWidth="1"/>
    <col min="1809" max="1809" width="11.75" style="128" bestFit="1" customWidth="1"/>
    <col min="1810" max="2039" width="9.375" style="128"/>
    <col min="2040" max="2040" width="5" style="128" customWidth="1"/>
    <col min="2041" max="2041" width="17.875" style="128" bestFit="1" customWidth="1"/>
    <col min="2042" max="2042" width="9.875" style="128" customWidth="1"/>
    <col min="2043" max="2043" width="8.875" style="128" customWidth="1"/>
    <col min="2044" max="2044" width="7.375" style="128" bestFit="1" customWidth="1"/>
    <col min="2045" max="2045" width="10.125" style="128" bestFit="1" customWidth="1"/>
    <col min="2046" max="2046" width="9.375" style="128"/>
    <col min="2047" max="2047" width="10.125" style="128" bestFit="1" customWidth="1"/>
    <col min="2048" max="2048" width="10.75" style="128" customWidth="1"/>
    <col min="2049" max="2051" width="9.375" style="128"/>
    <col min="2052" max="2053" width="10.75" style="128" customWidth="1"/>
    <col min="2054" max="2058" width="9.375" style="128"/>
    <col min="2059" max="2059" width="1.625" style="128" bestFit="1" customWidth="1"/>
    <col min="2060" max="2060" width="9.375" style="128"/>
    <col min="2061" max="2061" width="8.875" style="128" customWidth="1"/>
    <col min="2062" max="2062" width="13.125" style="128" customWidth="1"/>
    <col min="2063" max="2063" width="9.375" style="128"/>
    <col min="2064" max="2064" width="9.875" style="128" customWidth="1"/>
    <col min="2065" max="2065" width="11.75" style="128" bestFit="1" customWidth="1"/>
    <col min="2066" max="2295" width="9.375" style="128"/>
    <col min="2296" max="2296" width="5" style="128" customWidth="1"/>
    <col min="2297" max="2297" width="17.875" style="128" bestFit="1" customWidth="1"/>
    <col min="2298" max="2298" width="9.875" style="128" customWidth="1"/>
    <col min="2299" max="2299" width="8.875" style="128" customWidth="1"/>
    <col min="2300" max="2300" width="7.375" style="128" bestFit="1" customWidth="1"/>
    <col min="2301" max="2301" width="10.125" style="128" bestFit="1" customWidth="1"/>
    <col min="2302" max="2302" width="9.375" style="128"/>
    <col min="2303" max="2303" width="10.125" style="128" bestFit="1" customWidth="1"/>
    <col min="2304" max="2304" width="10.75" style="128" customWidth="1"/>
    <col min="2305" max="2307" width="9.375" style="128"/>
    <col min="2308" max="2309" width="10.75" style="128" customWidth="1"/>
    <col min="2310" max="2314" width="9.375" style="128"/>
    <col min="2315" max="2315" width="1.625" style="128" bestFit="1" customWidth="1"/>
    <col min="2316" max="2316" width="9.375" style="128"/>
    <col min="2317" max="2317" width="8.875" style="128" customWidth="1"/>
    <col min="2318" max="2318" width="13.125" style="128" customWidth="1"/>
    <col min="2319" max="2319" width="9.375" style="128"/>
    <col min="2320" max="2320" width="9.875" style="128" customWidth="1"/>
    <col min="2321" max="2321" width="11.75" style="128" bestFit="1" customWidth="1"/>
    <col min="2322" max="2551" width="9.375" style="128"/>
    <col min="2552" max="2552" width="5" style="128" customWidth="1"/>
    <col min="2553" max="2553" width="17.875" style="128" bestFit="1" customWidth="1"/>
    <col min="2554" max="2554" width="9.875" style="128" customWidth="1"/>
    <col min="2555" max="2555" width="8.875" style="128" customWidth="1"/>
    <col min="2556" max="2556" width="7.375" style="128" bestFit="1" customWidth="1"/>
    <col min="2557" max="2557" width="10.125" style="128" bestFit="1" customWidth="1"/>
    <col min="2558" max="2558" width="9.375" style="128"/>
    <col min="2559" max="2559" width="10.125" style="128" bestFit="1" customWidth="1"/>
    <col min="2560" max="2560" width="10.75" style="128" customWidth="1"/>
    <col min="2561" max="2563" width="9.375" style="128"/>
    <col min="2564" max="2565" width="10.75" style="128" customWidth="1"/>
    <col min="2566" max="2570" width="9.375" style="128"/>
    <col min="2571" max="2571" width="1.625" style="128" bestFit="1" customWidth="1"/>
    <col min="2572" max="2572" width="9.375" style="128"/>
    <col min="2573" max="2573" width="8.875" style="128" customWidth="1"/>
    <col min="2574" max="2574" width="13.125" style="128" customWidth="1"/>
    <col min="2575" max="2575" width="9.375" style="128"/>
    <col min="2576" max="2576" width="9.875" style="128" customWidth="1"/>
    <col min="2577" max="2577" width="11.75" style="128" bestFit="1" customWidth="1"/>
    <col min="2578" max="2807" width="9.375" style="128"/>
    <col min="2808" max="2808" width="5" style="128" customWidth="1"/>
    <col min="2809" max="2809" width="17.875" style="128" bestFit="1" customWidth="1"/>
    <col min="2810" max="2810" width="9.875" style="128" customWidth="1"/>
    <col min="2811" max="2811" width="8.875" style="128" customWidth="1"/>
    <col min="2812" max="2812" width="7.375" style="128" bestFit="1" customWidth="1"/>
    <col min="2813" max="2813" width="10.125" style="128" bestFit="1" customWidth="1"/>
    <col min="2814" max="2814" width="9.375" style="128"/>
    <col min="2815" max="2815" width="10.125" style="128" bestFit="1" customWidth="1"/>
    <col min="2816" max="2816" width="10.75" style="128" customWidth="1"/>
    <col min="2817" max="2819" width="9.375" style="128"/>
    <col min="2820" max="2821" width="10.75" style="128" customWidth="1"/>
    <col min="2822" max="2826" width="9.375" style="128"/>
    <col min="2827" max="2827" width="1.625" style="128" bestFit="1" customWidth="1"/>
    <col min="2828" max="2828" width="9.375" style="128"/>
    <col min="2829" max="2829" width="8.875" style="128" customWidth="1"/>
    <col min="2830" max="2830" width="13.125" style="128" customWidth="1"/>
    <col min="2831" max="2831" width="9.375" style="128"/>
    <col min="2832" max="2832" width="9.875" style="128" customWidth="1"/>
    <col min="2833" max="2833" width="11.75" style="128" bestFit="1" customWidth="1"/>
    <col min="2834" max="3063" width="9.375" style="128"/>
    <col min="3064" max="3064" width="5" style="128" customWidth="1"/>
    <col min="3065" max="3065" width="17.875" style="128" bestFit="1" customWidth="1"/>
    <col min="3066" max="3066" width="9.875" style="128" customWidth="1"/>
    <col min="3067" max="3067" width="8.875" style="128" customWidth="1"/>
    <col min="3068" max="3068" width="7.375" style="128" bestFit="1" customWidth="1"/>
    <col min="3069" max="3069" width="10.125" style="128" bestFit="1" customWidth="1"/>
    <col min="3070" max="3070" width="9.375" style="128"/>
    <col min="3071" max="3071" width="10.125" style="128" bestFit="1" customWidth="1"/>
    <col min="3072" max="3072" width="10.75" style="128" customWidth="1"/>
    <col min="3073" max="3075" width="9.375" style="128"/>
    <col min="3076" max="3077" width="10.75" style="128" customWidth="1"/>
    <col min="3078" max="3082" width="9.375" style="128"/>
    <col min="3083" max="3083" width="1.625" style="128" bestFit="1" customWidth="1"/>
    <col min="3084" max="3084" width="9.375" style="128"/>
    <col min="3085" max="3085" width="8.875" style="128" customWidth="1"/>
    <col min="3086" max="3086" width="13.125" style="128" customWidth="1"/>
    <col min="3087" max="3087" width="9.375" style="128"/>
    <col min="3088" max="3088" width="9.875" style="128" customWidth="1"/>
    <col min="3089" max="3089" width="11.75" style="128" bestFit="1" customWidth="1"/>
    <col min="3090" max="3319" width="9.375" style="128"/>
    <col min="3320" max="3320" width="5" style="128" customWidth="1"/>
    <col min="3321" max="3321" width="17.875" style="128" bestFit="1" customWidth="1"/>
    <col min="3322" max="3322" width="9.875" style="128" customWidth="1"/>
    <col min="3323" max="3323" width="8.875" style="128" customWidth="1"/>
    <col min="3324" max="3324" width="7.375" style="128" bestFit="1" customWidth="1"/>
    <col min="3325" max="3325" width="10.125" style="128" bestFit="1" customWidth="1"/>
    <col min="3326" max="3326" width="9.375" style="128"/>
    <col min="3327" max="3327" width="10.125" style="128" bestFit="1" customWidth="1"/>
    <col min="3328" max="3328" width="10.75" style="128" customWidth="1"/>
    <col min="3329" max="3331" width="9.375" style="128"/>
    <col min="3332" max="3333" width="10.75" style="128" customWidth="1"/>
    <col min="3334" max="3338" width="9.375" style="128"/>
    <col min="3339" max="3339" width="1.625" style="128" bestFit="1" customWidth="1"/>
    <col min="3340" max="3340" width="9.375" style="128"/>
    <col min="3341" max="3341" width="8.875" style="128" customWidth="1"/>
    <col min="3342" max="3342" width="13.125" style="128" customWidth="1"/>
    <col min="3343" max="3343" width="9.375" style="128"/>
    <col min="3344" max="3344" width="9.875" style="128" customWidth="1"/>
    <col min="3345" max="3345" width="11.75" style="128" bestFit="1" customWidth="1"/>
    <col min="3346" max="3575" width="9.375" style="128"/>
    <col min="3576" max="3576" width="5" style="128" customWidth="1"/>
    <col min="3577" max="3577" width="17.875" style="128" bestFit="1" customWidth="1"/>
    <col min="3578" max="3578" width="9.875" style="128" customWidth="1"/>
    <col min="3579" max="3579" width="8.875" style="128" customWidth="1"/>
    <col min="3580" max="3580" width="7.375" style="128" bestFit="1" customWidth="1"/>
    <col min="3581" max="3581" width="10.125" style="128" bestFit="1" customWidth="1"/>
    <col min="3582" max="3582" width="9.375" style="128"/>
    <col min="3583" max="3583" width="10.125" style="128" bestFit="1" customWidth="1"/>
    <col min="3584" max="3584" width="10.75" style="128" customWidth="1"/>
    <col min="3585" max="3587" width="9.375" style="128"/>
    <col min="3588" max="3589" width="10.75" style="128" customWidth="1"/>
    <col min="3590" max="3594" width="9.375" style="128"/>
    <col min="3595" max="3595" width="1.625" style="128" bestFit="1" customWidth="1"/>
    <col min="3596" max="3596" width="9.375" style="128"/>
    <col min="3597" max="3597" width="8.875" style="128" customWidth="1"/>
    <col min="3598" max="3598" width="13.125" style="128" customWidth="1"/>
    <col min="3599" max="3599" width="9.375" style="128"/>
    <col min="3600" max="3600" width="9.875" style="128" customWidth="1"/>
    <col min="3601" max="3601" width="11.75" style="128" bestFit="1" customWidth="1"/>
    <col min="3602" max="3831" width="9.375" style="128"/>
    <col min="3832" max="3832" width="5" style="128" customWidth="1"/>
    <col min="3833" max="3833" width="17.875" style="128" bestFit="1" customWidth="1"/>
    <col min="3834" max="3834" width="9.875" style="128" customWidth="1"/>
    <col min="3835" max="3835" width="8.875" style="128" customWidth="1"/>
    <col min="3836" max="3836" width="7.375" style="128" bestFit="1" customWidth="1"/>
    <col min="3837" max="3837" width="10.125" style="128" bestFit="1" customWidth="1"/>
    <col min="3838" max="3838" width="9.375" style="128"/>
    <col min="3839" max="3839" width="10.125" style="128" bestFit="1" customWidth="1"/>
    <col min="3840" max="3840" width="10.75" style="128" customWidth="1"/>
    <col min="3841" max="3843" width="9.375" style="128"/>
    <col min="3844" max="3845" width="10.75" style="128" customWidth="1"/>
    <col min="3846" max="3850" width="9.375" style="128"/>
    <col min="3851" max="3851" width="1.625" style="128" bestFit="1" customWidth="1"/>
    <col min="3852" max="3852" width="9.375" style="128"/>
    <col min="3853" max="3853" width="8.875" style="128" customWidth="1"/>
    <col min="3854" max="3854" width="13.125" style="128" customWidth="1"/>
    <col min="3855" max="3855" width="9.375" style="128"/>
    <col min="3856" max="3856" width="9.875" style="128" customWidth="1"/>
    <col min="3857" max="3857" width="11.75" style="128" bestFit="1" customWidth="1"/>
    <col min="3858" max="4087" width="9.375" style="128"/>
    <col min="4088" max="4088" width="5" style="128" customWidth="1"/>
    <col min="4089" max="4089" width="17.875" style="128" bestFit="1" customWidth="1"/>
    <col min="4090" max="4090" width="9.875" style="128" customWidth="1"/>
    <col min="4091" max="4091" width="8.875" style="128" customWidth="1"/>
    <col min="4092" max="4092" width="7.375" style="128" bestFit="1" customWidth="1"/>
    <col min="4093" max="4093" width="10.125" style="128" bestFit="1" customWidth="1"/>
    <col min="4094" max="4094" width="9.375" style="128"/>
    <col min="4095" max="4095" width="10.125" style="128" bestFit="1" customWidth="1"/>
    <col min="4096" max="4096" width="10.75" style="128" customWidth="1"/>
    <col min="4097" max="4099" width="9.375" style="128"/>
    <col min="4100" max="4101" width="10.75" style="128" customWidth="1"/>
    <col min="4102" max="4106" width="9.375" style="128"/>
    <col min="4107" max="4107" width="1.625" style="128" bestFit="1" customWidth="1"/>
    <col min="4108" max="4108" width="9.375" style="128"/>
    <col min="4109" max="4109" width="8.875" style="128" customWidth="1"/>
    <col min="4110" max="4110" width="13.125" style="128" customWidth="1"/>
    <col min="4111" max="4111" width="9.375" style="128"/>
    <col min="4112" max="4112" width="9.875" style="128" customWidth="1"/>
    <col min="4113" max="4113" width="11.75" style="128" bestFit="1" customWidth="1"/>
    <col min="4114" max="4343" width="9.375" style="128"/>
    <col min="4344" max="4344" width="5" style="128" customWidth="1"/>
    <col min="4345" max="4345" width="17.875" style="128" bestFit="1" customWidth="1"/>
    <col min="4346" max="4346" width="9.875" style="128" customWidth="1"/>
    <col min="4347" max="4347" width="8.875" style="128" customWidth="1"/>
    <col min="4348" max="4348" width="7.375" style="128" bestFit="1" customWidth="1"/>
    <col min="4349" max="4349" width="10.125" style="128" bestFit="1" customWidth="1"/>
    <col min="4350" max="4350" width="9.375" style="128"/>
    <col min="4351" max="4351" width="10.125" style="128" bestFit="1" customWidth="1"/>
    <col min="4352" max="4352" width="10.75" style="128" customWidth="1"/>
    <col min="4353" max="4355" width="9.375" style="128"/>
    <col min="4356" max="4357" width="10.75" style="128" customWidth="1"/>
    <col min="4358" max="4362" width="9.375" style="128"/>
    <col min="4363" max="4363" width="1.625" style="128" bestFit="1" customWidth="1"/>
    <col min="4364" max="4364" width="9.375" style="128"/>
    <col min="4365" max="4365" width="8.875" style="128" customWidth="1"/>
    <col min="4366" max="4366" width="13.125" style="128" customWidth="1"/>
    <col min="4367" max="4367" width="9.375" style="128"/>
    <col min="4368" max="4368" width="9.875" style="128" customWidth="1"/>
    <col min="4369" max="4369" width="11.75" style="128" bestFit="1" customWidth="1"/>
    <col min="4370" max="4599" width="9.375" style="128"/>
    <col min="4600" max="4600" width="5" style="128" customWidth="1"/>
    <col min="4601" max="4601" width="17.875" style="128" bestFit="1" customWidth="1"/>
    <col min="4602" max="4602" width="9.875" style="128" customWidth="1"/>
    <col min="4603" max="4603" width="8.875" style="128" customWidth="1"/>
    <col min="4604" max="4604" width="7.375" style="128" bestFit="1" customWidth="1"/>
    <col min="4605" max="4605" width="10.125" style="128" bestFit="1" customWidth="1"/>
    <col min="4606" max="4606" width="9.375" style="128"/>
    <col min="4607" max="4607" width="10.125" style="128" bestFit="1" customWidth="1"/>
    <col min="4608" max="4608" width="10.75" style="128" customWidth="1"/>
    <col min="4609" max="4611" width="9.375" style="128"/>
    <col min="4612" max="4613" width="10.75" style="128" customWidth="1"/>
    <col min="4614" max="4618" width="9.375" style="128"/>
    <col min="4619" max="4619" width="1.625" style="128" bestFit="1" customWidth="1"/>
    <col min="4620" max="4620" width="9.375" style="128"/>
    <col min="4621" max="4621" width="8.875" style="128" customWidth="1"/>
    <col min="4622" max="4622" width="13.125" style="128" customWidth="1"/>
    <col min="4623" max="4623" width="9.375" style="128"/>
    <col min="4624" max="4624" width="9.875" style="128" customWidth="1"/>
    <col min="4625" max="4625" width="11.75" style="128" bestFit="1" customWidth="1"/>
    <col min="4626" max="4855" width="9.375" style="128"/>
    <col min="4856" max="4856" width="5" style="128" customWidth="1"/>
    <col min="4857" max="4857" width="17.875" style="128" bestFit="1" customWidth="1"/>
    <col min="4858" max="4858" width="9.875" style="128" customWidth="1"/>
    <col min="4859" max="4859" width="8.875" style="128" customWidth="1"/>
    <col min="4860" max="4860" width="7.375" style="128" bestFit="1" customWidth="1"/>
    <col min="4861" max="4861" width="10.125" style="128" bestFit="1" customWidth="1"/>
    <col min="4862" max="4862" width="9.375" style="128"/>
    <col min="4863" max="4863" width="10.125" style="128" bestFit="1" customWidth="1"/>
    <col min="4864" max="4864" width="10.75" style="128" customWidth="1"/>
    <col min="4865" max="4867" width="9.375" style="128"/>
    <col min="4868" max="4869" width="10.75" style="128" customWidth="1"/>
    <col min="4870" max="4874" width="9.375" style="128"/>
    <col min="4875" max="4875" width="1.625" style="128" bestFit="1" customWidth="1"/>
    <col min="4876" max="4876" width="9.375" style="128"/>
    <col min="4877" max="4877" width="8.875" style="128" customWidth="1"/>
    <col min="4878" max="4878" width="13.125" style="128" customWidth="1"/>
    <col min="4879" max="4879" width="9.375" style="128"/>
    <col min="4880" max="4880" width="9.875" style="128" customWidth="1"/>
    <col min="4881" max="4881" width="11.75" style="128" bestFit="1" customWidth="1"/>
    <col min="4882" max="5111" width="9.375" style="128"/>
    <col min="5112" max="5112" width="5" style="128" customWidth="1"/>
    <col min="5113" max="5113" width="17.875" style="128" bestFit="1" customWidth="1"/>
    <col min="5114" max="5114" width="9.875" style="128" customWidth="1"/>
    <col min="5115" max="5115" width="8.875" style="128" customWidth="1"/>
    <col min="5116" max="5116" width="7.375" style="128" bestFit="1" customWidth="1"/>
    <col min="5117" max="5117" width="10.125" style="128" bestFit="1" customWidth="1"/>
    <col min="5118" max="5118" width="9.375" style="128"/>
    <col min="5119" max="5119" width="10.125" style="128" bestFit="1" customWidth="1"/>
    <col min="5120" max="5120" width="10.75" style="128" customWidth="1"/>
    <col min="5121" max="5123" width="9.375" style="128"/>
    <col min="5124" max="5125" width="10.75" style="128" customWidth="1"/>
    <col min="5126" max="5130" width="9.375" style="128"/>
    <col min="5131" max="5131" width="1.625" style="128" bestFit="1" customWidth="1"/>
    <col min="5132" max="5132" width="9.375" style="128"/>
    <col min="5133" max="5133" width="8.875" style="128" customWidth="1"/>
    <col min="5134" max="5134" width="13.125" style="128" customWidth="1"/>
    <col min="5135" max="5135" width="9.375" style="128"/>
    <col min="5136" max="5136" width="9.875" style="128" customWidth="1"/>
    <col min="5137" max="5137" width="11.75" style="128" bestFit="1" customWidth="1"/>
    <col min="5138" max="5367" width="9.375" style="128"/>
    <col min="5368" max="5368" width="5" style="128" customWidth="1"/>
    <col min="5369" max="5369" width="17.875" style="128" bestFit="1" customWidth="1"/>
    <col min="5370" max="5370" width="9.875" style="128" customWidth="1"/>
    <col min="5371" max="5371" width="8.875" style="128" customWidth="1"/>
    <col min="5372" max="5372" width="7.375" style="128" bestFit="1" customWidth="1"/>
    <col min="5373" max="5373" width="10.125" style="128" bestFit="1" customWidth="1"/>
    <col min="5374" max="5374" width="9.375" style="128"/>
    <col min="5375" max="5375" width="10.125" style="128" bestFit="1" customWidth="1"/>
    <col min="5376" max="5376" width="10.75" style="128" customWidth="1"/>
    <col min="5377" max="5379" width="9.375" style="128"/>
    <col min="5380" max="5381" width="10.75" style="128" customWidth="1"/>
    <col min="5382" max="5386" width="9.375" style="128"/>
    <col min="5387" max="5387" width="1.625" style="128" bestFit="1" customWidth="1"/>
    <col min="5388" max="5388" width="9.375" style="128"/>
    <col min="5389" max="5389" width="8.875" style="128" customWidth="1"/>
    <col min="5390" max="5390" width="13.125" style="128" customWidth="1"/>
    <col min="5391" max="5391" width="9.375" style="128"/>
    <col min="5392" max="5392" width="9.875" style="128" customWidth="1"/>
    <col min="5393" max="5393" width="11.75" style="128" bestFit="1" customWidth="1"/>
    <col min="5394" max="5623" width="9.375" style="128"/>
    <col min="5624" max="5624" width="5" style="128" customWidth="1"/>
    <col min="5625" max="5625" width="17.875" style="128" bestFit="1" customWidth="1"/>
    <col min="5626" max="5626" width="9.875" style="128" customWidth="1"/>
    <col min="5627" max="5627" width="8.875" style="128" customWidth="1"/>
    <col min="5628" max="5628" width="7.375" style="128" bestFit="1" customWidth="1"/>
    <col min="5629" max="5629" width="10.125" style="128" bestFit="1" customWidth="1"/>
    <col min="5630" max="5630" width="9.375" style="128"/>
    <col min="5631" max="5631" width="10.125" style="128" bestFit="1" customWidth="1"/>
    <col min="5632" max="5632" width="10.75" style="128" customWidth="1"/>
    <col min="5633" max="5635" width="9.375" style="128"/>
    <col min="5636" max="5637" width="10.75" style="128" customWidth="1"/>
    <col min="5638" max="5642" width="9.375" style="128"/>
    <col min="5643" max="5643" width="1.625" style="128" bestFit="1" customWidth="1"/>
    <col min="5644" max="5644" width="9.375" style="128"/>
    <col min="5645" max="5645" width="8.875" style="128" customWidth="1"/>
    <col min="5646" max="5646" width="13.125" style="128" customWidth="1"/>
    <col min="5647" max="5647" width="9.375" style="128"/>
    <col min="5648" max="5648" width="9.875" style="128" customWidth="1"/>
    <col min="5649" max="5649" width="11.75" style="128" bestFit="1" customWidth="1"/>
    <col min="5650" max="5879" width="9.375" style="128"/>
    <col min="5880" max="5880" width="5" style="128" customWidth="1"/>
    <col min="5881" max="5881" width="17.875" style="128" bestFit="1" customWidth="1"/>
    <col min="5882" max="5882" width="9.875" style="128" customWidth="1"/>
    <col min="5883" max="5883" width="8.875" style="128" customWidth="1"/>
    <col min="5884" max="5884" width="7.375" style="128" bestFit="1" customWidth="1"/>
    <col min="5885" max="5885" width="10.125" style="128" bestFit="1" customWidth="1"/>
    <col min="5886" max="5886" width="9.375" style="128"/>
    <col min="5887" max="5887" width="10.125" style="128" bestFit="1" customWidth="1"/>
    <col min="5888" max="5888" width="10.75" style="128" customWidth="1"/>
    <col min="5889" max="5891" width="9.375" style="128"/>
    <col min="5892" max="5893" width="10.75" style="128" customWidth="1"/>
    <col min="5894" max="5898" width="9.375" style="128"/>
    <col min="5899" max="5899" width="1.625" style="128" bestFit="1" customWidth="1"/>
    <col min="5900" max="5900" width="9.375" style="128"/>
    <col min="5901" max="5901" width="8.875" style="128" customWidth="1"/>
    <col min="5902" max="5902" width="13.125" style="128" customWidth="1"/>
    <col min="5903" max="5903" width="9.375" style="128"/>
    <col min="5904" max="5904" width="9.875" style="128" customWidth="1"/>
    <col min="5905" max="5905" width="11.75" style="128" bestFit="1" customWidth="1"/>
    <col min="5906" max="6135" width="9.375" style="128"/>
    <col min="6136" max="6136" width="5" style="128" customWidth="1"/>
    <col min="6137" max="6137" width="17.875" style="128" bestFit="1" customWidth="1"/>
    <col min="6138" max="6138" width="9.875" style="128" customWidth="1"/>
    <col min="6139" max="6139" width="8.875" style="128" customWidth="1"/>
    <col min="6140" max="6140" width="7.375" style="128" bestFit="1" customWidth="1"/>
    <col min="6141" max="6141" width="10.125" style="128" bestFit="1" customWidth="1"/>
    <col min="6142" max="6142" width="9.375" style="128"/>
    <col min="6143" max="6143" width="10.125" style="128" bestFit="1" customWidth="1"/>
    <col min="6144" max="6144" width="10.75" style="128" customWidth="1"/>
    <col min="6145" max="6147" width="9.375" style="128"/>
    <col min="6148" max="6149" width="10.75" style="128" customWidth="1"/>
    <col min="6150" max="6154" width="9.375" style="128"/>
    <col min="6155" max="6155" width="1.625" style="128" bestFit="1" customWidth="1"/>
    <col min="6156" max="6156" width="9.375" style="128"/>
    <col min="6157" max="6157" width="8.875" style="128" customWidth="1"/>
    <col min="6158" max="6158" width="13.125" style="128" customWidth="1"/>
    <col min="6159" max="6159" width="9.375" style="128"/>
    <col min="6160" max="6160" width="9.875" style="128" customWidth="1"/>
    <col min="6161" max="6161" width="11.75" style="128" bestFit="1" customWidth="1"/>
    <col min="6162" max="6391" width="9.375" style="128"/>
    <col min="6392" max="6392" width="5" style="128" customWidth="1"/>
    <col min="6393" max="6393" width="17.875" style="128" bestFit="1" customWidth="1"/>
    <col min="6394" max="6394" width="9.875" style="128" customWidth="1"/>
    <col min="6395" max="6395" width="8.875" style="128" customWidth="1"/>
    <col min="6396" max="6396" width="7.375" style="128" bestFit="1" customWidth="1"/>
    <col min="6397" max="6397" width="10.125" style="128" bestFit="1" customWidth="1"/>
    <col min="6398" max="6398" width="9.375" style="128"/>
    <col min="6399" max="6399" width="10.125" style="128" bestFit="1" customWidth="1"/>
    <col min="6400" max="6400" width="10.75" style="128" customWidth="1"/>
    <col min="6401" max="6403" width="9.375" style="128"/>
    <col min="6404" max="6405" width="10.75" style="128" customWidth="1"/>
    <col min="6406" max="6410" width="9.375" style="128"/>
    <col min="6411" max="6411" width="1.625" style="128" bestFit="1" customWidth="1"/>
    <col min="6412" max="6412" width="9.375" style="128"/>
    <col min="6413" max="6413" width="8.875" style="128" customWidth="1"/>
    <col min="6414" max="6414" width="13.125" style="128" customWidth="1"/>
    <col min="6415" max="6415" width="9.375" style="128"/>
    <col min="6416" max="6416" width="9.875" style="128" customWidth="1"/>
    <col min="6417" max="6417" width="11.75" style="128" bestFit="1" customWidth="1"/>
    <col min="6418" max="6647" width="9.375" style="128"/>
    <col min="6648" max="6648" width="5" style="128" customWidth="1"/>
    <col min="6649" max="6649" width="17.875" style="128" bestFit="1" customWidth="1"/>
    <col min="6650" max="6650" width="9.875" style="128" customWidth="1"/>
    <col min="6651" max="6651" width="8.875" style="128" customWidth="1"/>
    <col min="6652" max="6652" width="7.375" style="128" bestFit="1" customWidth="1"/>
    <col min="6653" max="6653" width="10.125" style="128" bestFit="1" customWidth="1"/>
    <col min="6654" max="6654" width="9.375" style="128"/>
    <col min="6655" max="6655" width="10.125" style="128" bestFit="1" customWidth="1"/>
    <col min="6656" max="6656" width="10.75" style="128" customWidth="1"/>
    <col min="6657" max="6659" width="9.375" style="128"/>
    <col min="6660" max="6661" width="10.75" style="128" customWidth="1"/>
    <col min="6662" max="6666" width="9.375" style="128"/>
    <col min="6667" max="6667" width="1.625" style="128" bestFit="1" customWidth="1"/>
    <col min="6668" max="6668" width="9.375" style="128"/>
    <col min="6669" max="6669" width="8.875" style="128" customWidth="1"/>
    <col min="6670" max="6670" width="13.125" style="128" customWidth="1"/>
    <col min="6671" max="6671" width="9.375" style="128"/>
    <col min="6672" max="6672" width="9.875" style="128" customWidth="1"/>
    <col min="6673" max="6673" width="11.75" style="128" bestFit="1" customWidth="1"/>
    <col min="6674" max="6903" width="9.375" style="128"/>
    <col min="6904" max="6904" width="5" style="128" customWidth="1"/>
    <col min="6905" max="6905" width="17.875" style="128" bestFit="1" customWidth="1"/>
    <col min="6906" max="6906" width="9.875" style="128" customWidth="1"/>
    <col min="6907" max="6907" width="8.875" style="128" customWidth="1"/>
    <col min="6908" max="6908" width="7.375" style="128" bestFit="1" customWidth="1"/>
    <col min="6909" max="6909" width="10.125" style="128" bestFit="1" customWidth="1"/>
    <col min="6910" max="6910" width="9.375" style="128"/>
    <col min="6911" max="6911" width="10.125" style="128" bestFit="1" customWidth="1"/>
    <col min="6912" max="6912" width="10.75" style="128" customWidth="1"/>
    <col min="6913" max="6915" width="9.375" style="128"/>
    <col min="6916" max="6917" width="10.75" style="128" customWidth="1"/>
    <col min="6918" max="6922" width="9.375" style="128"/>
    <col min="6923" max="6923" width="1.625" style="128" bestFit="1" customWidth="1"/>
    <col min="6924" max="6924" width="9.375" style="128"/>
    <col min="6925" max="6925" width="8.875" style="128" customWidth="1"/>
    <col min="6926" max="6926" width="13.125" style="128" customWidth="1"/>
    <col min="6927" max="6927" width="9.375" style="128"/>
    <col min="6928" max="6928" width="9.875" style="128" customWidth="1"/>
    <col min="6929" max="6929" width="11.75" style="128" bestFit="1" customWidth="1"/>
    <col min="6930" max="7159" width="9.375" style="128"/>
    <col min="7160" max="7160" width="5" style="128" customWidth="1"/>
    <col min="7161" max="7161" width="17.875" style="128" bestFit="1" customWidth="1"/>
    <col min="7162" max="7162" width="9.875" style="128" customWidth="1"/>
    <col min="7163" max="7163" width="8.875" style="128" customWidth="1"/>
    <col min="7164" max="7164" width="7.375" style="128" bestFit="1" customWidth="1"/>
    <col min="7165" max="7165" width="10.125" style="128" bestFit="1" customWidth="1"/>
    <col min="7166" max="7166" width="9.375" style="128"/>
    <col min="7167" max="7167" width="10.125" style="128" bestFit="1" customWidth="1"/>
    <col min="7168" max="7168" width="10.75" style="128" customWidth="1"/>
    <col min="7169" max="7171" width="9.375" style="128"/>
    <col min="7172" max="7173" width="10.75" style="128" customWidth="1"/>
    <col min="7174" max="7178" width="9.375" style="128"/>
    <col min="7179" max="7179" width="1.625" style="128" bestFit="1" customWidth="1"/>
    <col min="7180" max="7180" width="9.375" style="128"/>
    <col min="7181" max="7181" width="8.875" style="128" customWidth="1"/>
    <col min="7182" max="7182" width="13.125" style="128" customWidth="1"/>
    <col min="7183" max="7183" width="9.375" style="128"/>
    <col min="7184" max="7184" width="9.875" style="128" customWidth="1"/>
    <col min="7185" max="7185" width="11.75" style="128" bestFit="1" customWidth="1"/>
    <col min="7186" max="7415" width="9.375" style="128"/>
    <col min="7416" max="7416" width="5" style="128" customWidth="1"/>
    <col min="7417" max="7417" width="17.875" style="128" bestFit="1" customWidth="1"/>
    <col min="7418" max="7418" width="9.875" style="128" customWidth="1"/>
    <col min="7419" max="7419" width="8.875" style="128" customWidth="1"/>
    <col min="7420" max="7420" width="7.375" style="128" bestFit="1" customWidth="1"/>
    <col min="7421" max="7421" width="10.125" style="128" bestFit="1" customWidth="1"/>
    <col min="7422" max="7422" width="9.375" style="128"/>
    <col min="7423" max="7423" width="10.125" style="128" bestFit="1" customWidth="1"/>
    <col min="7424" max="7424" width="10.75" style="128" customWidth="1"/>
    <col min="7425" max="7427" width="9.375" style="128"/>
    <col min="7428" max="7429" width="10.75" style="128" customWidth="1"/>
    <col min="7430" max="7434" width="9.375" style="128"/>
    <col min="7435" max="7435" width="1.625" style="128" bestFit="1" customWidth="1"/>
    <col min="7436" max="7436" width="9.375" style="128"/>
    <col min="7437" max="7437" width="8.875" style="128" customWidth="1"/>
    <col min="7438" max="7438" width="13.125" style="128" customWidth="1"/>
    <col min="7439" max="7439" width="9.375" style="128"/>
    <col min="7440" max="7440" width="9.875" style="128" customWidth="1"/>
    <col min="7441" max="7441" width="11.75" style="128" bestFit="1" customWidth="1"/>
    <col min="7442" max="7671" width="9.375" style="128"/>
    <col min="7672" max="7672" width="5" style="128" customWidth="1"/>
    <col min="7673" max="7673" width="17.875" style="128" bestFit="1" customWidth="1"/>
    <col min="7674" max="7674" width="9.875" style="128" customWidth="1"/>
    <col min="7675" max="7675" width="8.875" style="128" customWidth="1"/>
    <col min="7676" max="7676" width="7.375" style="128" bestFit="1" customWidth="1"/>
    <col min="7677" max="7677" width="10.125" style="128" bestFit="1" customWidth="1"/>
    <col min="7678" max="7678" width="9.375" style="128"/>
    <col min="7679" max="7679" width="10.125" style="128" bestFit="1" customWidth="1"/>
    <col min="7680" max="7680" width="10.75" style="128" customWidth="1"/>
    <col min="7681" max="7683" width="9.375" style="128"/>
    <col min="7684" max="7685" width="10.75" style="128" customWidth="1"/>
    <col min="7686" max="7690" width="9.375" style="128"/>
    <col min="7691" max="7691" width="1.625" style="128" bestFit="1" customWidth="1"/>
    <col min="7692" max="7692" width="9.375" style="128"/>
    <col min="7693" max="7693" width="8.875" style="128" customWidth="1"/>
    <col min="7694" max="7694" width="13.125" style="128" customWidth="1"/>
    <col min="7695" max="7695" width="9.375" style="128"/>
    <col min="7696" max="7696" width="9.875" style="128" customWidth="1"/>
    <col min="7697" max="7697" width="11.75" style="128" bestFit="1" customWidth="1"/>
    <col min="7698" max="7927" width="9.375" style="128"/>
    <col min="7928" max="7928" width="5" style="128" customWidth="1"/>
    <col min="7929" max="7929" width="17.875" style="128" bestFit="1" customWidth="1"/>
    <col min="7930" max="7930" width="9.875" style="128" customWidth="1"/>
    <col min="7931" max="7931" width="8.875" style="128" customWidth="1"/>
    <col min="7932" max="7932" width="7.375" style="128" bestFit="1" customWidth="1"/>
    <col min="7933" max="7933" width="10.125" style="128" bestFit="1" customWidth="1"/>
    <col min="7934" max="7934" width="9.375" style="128"/>
    <col min="7935" max="7935" width="10.125" style="128" bestFit="1" customWidth="1"/>
    <col min="7936" max="7936" width="10.75" style="128" customWidth="1"/>
    <col min="7937" max="7939" width="9.375" style="128"/>
    <col min="7940" max="7941" width="10.75" style="128" customWidth="1"/>
    <col min="7942" max="7946" width="9.375" style="128"/>
    <col min="7947" max="7947" width="1.625" style="128" bestFit="1" customWidth="1"/>
    <col min="7948" max="7948" width="9.375" style="128"/>
    <col min="7949" max="7949" width="8.875" style="128" customWidth="1"/>
    <col min="7950" max="7950" width="13.125" style="128" customWidth="1"/>
    <col min="7951" max="7951" width="9.375" style="128"/>
    <col min="7952" max="7952" width="9.875" style="128" customWidth="1"/>
    <col min="7953" max="7953" width="11.75" style="128" bestFit="1" customWidth="1"/>
    <col min="7954" max="8183" width="9.375" style="128"/>
    <col min="8184" max="8184" width="5" style="128" customWidth="1"/>
    <col min="8185" max="8185" width="17.875" style="128" bestFit="1" customWidth="1"/>
    <col min="8186" max="8186" width="9.875" style="128" customWidth="1"/>
    <col min="8187" max="8187" width="8.875" style="128" customWidth="1"/>
    <col min="8188" max="8188" width="7.375" style="128" bestFit="1" customWidth="1"/>
    <col min="8189" max="8189" width="10.125" style="128" bestFit="1" customWidth="1"/>
    <col min="8190" max="8190" width="9.375" style="128"/>
    <col min="8191" max="8191" width="10.125" style="128" bestFit="1" customWidth="1"/>
    <col min="8192" max="8192" width="10.75" style="128" customWidth="1"/>
    <col min="8193" max="8195" width="9.375" style="128"/>
    <col min="8196" max="8197" width="10.75" style="128" customWidth="1"/>
    <col min="8198" max="8202" width="9.375" style="128"/>
    <col min="8203" max="8203" width="1.625" style="128" bestFit="1" customWidth="1"/>
    <col min="8204" max="8204" width="9.375" style="128"/>
    <col min="8205" max="8205" width="8.875" style="128" customWidth="1"/>
    <col min="8206" max="8206" width="13.125" style="128" customWidth="1"/>
    <col min="8207" max="8207" width="9.375" style="128"/>
    <col min="8208" max="8208" width="9.875" style="128" customWidth="1"/>
    <col min="8209" max="8209" width="11.75" style="128" bestFit="1" customWidth="1"/>
    <col min="8210" max="8439" width="9.375" style="128"/>
    <col min="8440" max="8440" width="5" style="128" customWidth="1"/>
    <col min="8441" max="8441" width="17.875" style="128" bestFit="1" customWidth="1"/>
    <col min="8442" max="8442" width="9.875" style="128" customWidth="1"/>
    <col min="8443" max="8443" width="8.875" style="128" customWidth="1"/>
    <col min="8444" max="8444" width="7.375" style="128" bestFit="1" customWidth="1"/>
    <col min="8445" max="8445" width="10.125" style="128" bestFit="1" customWidth="1"/>
    <col min="8446" max="8446" width="9.375" style="128"/>
    <col min="8447" max="8447" width="10.125" style="128" bestFit="1" customWidth="1"/>
    <col min="8448" max="8448" width="10.75" style="128" customWidth="1"/>
    <col min="8449" max="8451" width="9.375" style="128"/>
    <col min="8452" max="8453" width="10.75" style="128" customWidth="1"/>
    <col min="8454" max="8458" width="9.375" style="128"/>
    <col min="8459" max="8459" width="1.625" style="128" bestFit="1" customWidth="1"/>
    <col min="8460" max="8460" width="9.375" style="128"/>
    <col min="8461" max="8461" width="8.875" style="128" customWidth="1"/>
    <col min="8462" max="8462" width="13.125" style="128" customWidth="1"/>
    <col min="8463" max="8463" width="9.375" style="128"/>
    <col min="8464" max="8464" width="9.875" style="128" customWidth="1"/>
    <col min="8465" max="8465" width="11.75" style="128" bestFit="1" customWidth="1"/>
    <col min="8466" max="8695" width="9.375" style="128"/>
    <col min="8696" max="8696" width="5" style="128" customWidth="1"/>
    <col min="8697" max="8697" width="17.875" style="128" bestFit="1" customWidth="1"/>
    <col min="8698" max="8698" width="9.875" style="128" customWidth="1"/>
    <col min="8699" max="8699" width="8.875" style="128" customWidth="1"/>
    <col min="8700" max="8700" width="7.375" style="128" bestFit="1" customWidth="1"/>
    <col min="8701" max="8701" width="10.125" style="128" bestFit="1" customWidth="1"/>
    <col min="8702" max="8702" width="9.375" style="128"/>
    <col min="8703" max="8703" width="10.125" style="128" bestFit="1" customWidth="1"/>
    <col min="8704" max="8704" width="10.75" style="128" customWidth="1"/>
    <col min="8705" max="8707" width="9.375" style="128"/>
    <col min="8708" max="8709" width="10.75" style="128" customWidth="1"/>
    <col min="8710" max="8714" width="9.375" style="128"/>
    <col min="8715" max="8715" width="1.625" style="128" bestFit="1" customWidth="1"/>
    <col min="8716" max="8716" width="9.375" style="128"/>
    <col min="8717" max="8717" width="8.875" style="128" customWidth="1"/>
    <col min="8718" max="8718" width="13.125" style="128" customWidth="1"/>
    <col min="8719" max="8719" width="9.375" style="128"/>
    <col min="8720" max="8720" width="9.875" style="128" customWidth="1"/>
    <col min="8721" max="8721" width="11.75" style="128" bestFit="1" customWidth="1"/>
    <col min="8722" max="8951" width="9.375" style="128"/>
    <col min="8952" max="8952" width="5" style="128" customWidth="1"/>
    <col min="8953" max="8953" width="17.875" style="128" bestFit="1" customWidth="1"/>
    <col min="8954" max="8954" width="9.875" style="128" customWidth="1"/>
    <col min="8955" max="8955" width="8.875" style="128" customWidth="1"/>
    <col min="8956" max="8956" width="7.375" style="128" bestFit="1" customWidth="1"/>
    <col min="8957" max="8957" width="10.125" style="128" bestFit="1" customWidth="1"/>
    <col min="8958" max="8958" width="9.375" style="128"/>
    <col min="8959" max="8959" width="10.125" style="128" bestFit="1" customWidth="1"/>
    <col min="8960" max="8960" width="10.75" style="128" customWidth="1"/>
    <col min="8961" max="8963" width="9.375" style="128"/>
    <col min="8964" max="8965" width="10.75" style="128" customWidth="1"/>
    <col min="8966" max="8970" width="9.375" style="128"/>
    <col min="8971" max="8971" width="1.625" style="128" bestFit="1" customWidth="1"/>
    <col min="8972" max="8972" width="9.375" style="128"/>
    <col min="8973" max="8973" width="8.875" style="128" customWidth="1"/>
    <col min="8974" max="8974" width="13.125" style="128" customWidth="1"/>
    <col min="8975" max="8975" width="9.375" style="128"/>
    <col min="8976" max="8976" width="9.875" style="128" customWidth="1"/>
    <col min="8977" max="8977" width="11.75" style="128" bestFit="1" customWidth="1"/>
    <col min="8978" max="9207" width="9.375" style="128"/>
    <col min="9208" max="9208" width="5" style="128" customWidth="1"/>
    <col min="9209" max="9209" width="17.875" style="128" bestFit="1" customWidth="1"/>
    <col min="9210" max="9210" width="9.875" style="128" customWidth="1"/>
    <col min="9211" max="9211" width="8.875" style="128" customWidth="1"/>
    <col min="9212" max="9212" width="7.375" style="128" bestFit="1" customWidth="1"/>
    <col min="9213" max="9213" width="10.125" style="128" bestFit="1" customWidth="1"/>
    <col min="9214" max="9214" width="9.375" style="128"/>
    <col min="9215" max="9215" width="10.125" style="128" bestFit="1" customWidth="1"/>
    <col min="9216" max="9216" width="10.75" style="128" customWidth="1"/>
    <col min="9217" max="9219" width="9.375" style="128"/>
    <col min="9220" max="9221" width="10.75" style="128" customWidth="1"/>
    <col min="9222" max="9226" width="9.375" style="128"/>
    <col min="9227" max="9227" width="1.625" style="128" bestFit="1" customWidth="1"/>
    <col min="9228" max="9228" width="9.375" style="128"/>
    <col min="9229" max="9229" width="8.875" style="128" customWidth="1"/>
    <col min="9230" max="9230" width="13.125" style="128" customWidth="1"/>
    <col min="9231" max="9231" width="9.375" style="128"/>
    <col min="9232" max="9232" width="9.875" style="128" customWidth="1"/>
    <col min="9233" max="9233" width="11.75" style="128" bestFit="1" customWidth="1"/>
    <col min="9234" max="9463" width="9.375" style="128"/>
    <col min="9464" max="9464" width="5" style="128" customWidth="1"/>
    <col min="9465" max="9465" width="17.875" style="128" bestFit="1" customWidth="1"/>
    <col min="9466" max="9466" width="9.875" style="128" customWidth="1"/>
    <col min="9467" max="9467" width="8.875" style="128" customWidth="1"/>
    <col min="9468" max="9468" width="7.375" style="128" bestFit="1" customWidth="1"/>
    <col min="9469" max="9469" width="10.125" style="128" bestFit="1" customWidth="1"/>
    <col min="9470" max="9470" width="9.375" style="128"/>
    <col min="9471" max="9471" width="10.125" style="128" bestFit="1" customWidth="1"/>
    <col min="9472" max="9472" width="10.75" style="128" customWidth="1"/>
    <col min="9473" max="9475" width="9.375" style="128"/>
    <col min="9476" max="9477" width="10.75" style="128" customWidth="1"/>
    <col min="9478" max="9482" width="9.375" style="128"/>
    <col min="9483" max="9483" width="1.625" style="128" bestFit="1" customWidth="1"/>
    <col min="9484" max="9484" width="9.375" style="128"/>
    <col min="9485" max="9485" width="8.875" style="128" customWidth="1"/>
    <col min="9486" max="9486" width="13.125" style="128" customWidth="1"/>
    <col min="9487" max="9487" width="9.375" style="128"/>
    <col min="9488" max="9488" width="9.875" style="128" customWidth="1"/>
    <col min="9489" max="9489" width="11.75" style="128" bestFit="1" customWidth="1"/>
    <col min="9490" max="9719" width="9.375" style="128"/>
    <col min="9720" max="9720" width="5" style="128" customWidth="1"/>
    <col min="9721" max="9721" width="17.875" style="128" bestFit="1" customWidth="1"/>
    <col min="9722" max="9722" width="9.875" style="128" customWidth="1"/>
    <col min="9723" max="9723" width="8.875" style="128" customWidth="1"/>
    <col min="9724" max="9724" width="7.375" style="128" bestFit="1" customWidth="1"/>
    <col min="9725" max="9725" width="10.125" style="128" bestFit="1" customWidth="1"/>
    <col min="9726" max="9726" width="9.375" style="128"/>
    <col min="9727" max="9727" width="10.125" style="128" bestFit="1" customWidth="1"/>
    <col min="9728" max="9728" width="10.75" style="128" customWidth="1"/>
    <col min="9729" max="9731" width="9.375" style="128"/>
    <col min="9732" max="9733" width="10.75" style="128" customWidth="1"/>
    <col min="9734" max="9738" width="9.375" style="128"/>
    <col min="9739" max="9739" width="1.625" style="128" bestFit="1" customWidth="1"/>
    <col min="9740" max="9740" width="9.375" style="128"/>
    <col min="9741" max="9741" width="8.875" style="128" customWidth="1"/>
    <col min="9742" max="9742" width="13.125" style="128" customWidth="1"/>
    <col min="9743" max="9743" width="9.375" style="128"/>
    <col min="9744" max="9744" width="9.875" style="128" customWidth="1"/>
    <col min="9745" max="9745" width="11.75" style="128" bestFit="1" customWidth="1"/>
    <col min="9746" max="9975" width="9.375" style="128"/>
    <col min="9976" max="9976" width="5" style="128" customWidth="1"/>
    <col min="9977" max="9977" width="17.875" style="128" bestFit="1" customWidth="1"/>
    <col min="9978" max="9978" width="9.875" style="128" customWidth="1"/>
    <col min="9979" max="9979" width="8.875" style="128" customWidth="1"/>
    <col min="9980" max="9980" width="7.375" style="128" bestFit="1" customWidth="1"/>
    <col min="9981" max="9981" width="10.125" style="128" bestFit="1" customWidth="1"/>
    <col min="9982" max="9982" width="9.375" style="128"/>
    <col min="9983" max="9983" width="10.125" style="128" bestFit="1" customWidth="1"/>
    <col min="9984" max="9984" width="10.75" style="128" customWidth="1"/>
    <col min="9985" max="9987" width="9.375" style="128"/>
    <col min="9988" max="9989" width="10.75" style="128" customWidth="1"/>
    <col min="9990" max="9994" width="9.375" style="128"/>
    <col min="9995" max="9995" width="1.625" style="128" bestFit="1" customWidth="1"/>
    <col min="9996" max="9996" width="9.375" style="128"/>
    <col min="9997" max="9997" width="8.875" style="128" customWidth="1"/>
    <col min="9998" max="9998" width="13.125" style="128" customWidth="1"/>
    <col min="9999" max="9999" width="9.375" style="128"/>
    <col min="10000" max="10000" width="9.875" style="128" customWidth="1"/>
    <col min="10001" max="10001" width="11.75" style="128" bestFit="1" customWidth="1"/>
    <col min="10002" max="10231" width="9.375" style="128"/>
    <col min="10232" max="10232" width="5" style="128" customWidth="1"/>
    <col min="10233" max="10233" width="17.875" style="128" bestFit="1" customWidth="1"/>
    <col min="10234" max="10234" width="9.875" style="128" customWidth="1"/>
    <col min="10235" max="10235" width="8.875" style="128" customWidth="1"/>
    <col min="10236" max="10236" width="7.375" style="128" bestFit="1" customWidth="1"/>
    <col min="10237" max="10237" width="10.125" style="128" bestFit="1" customWidth="1"/>
    <col min="10238" max="10238" width="9.375" style="128"/>
    <col min="10239" max="10239" width="10.125" style="128" bestFit="1" customWidth="1"/>
    <col min="10240" max="10240" width="10.75" style="128" customWidth="1"/>
    <col min="10241" max="10243" width="9.375" style="128"/>
    <col min="10244" max="10245" width="10.75" style="128" customWidth="1"/>
    <col min="10246" max="10250" width="9.375" style="128"/>
    <col min="10251" max="10251" width="1.625" style="128" bestFit="1" customWidth="1"/>
    <col min="10252" max="10252" width="9.375" style="128"/>
    <col min="10253" max="10253" width="8.875" style="128" customWidth="1"/>
    <col min="10254" max="10254" width="13.125" style="128" customWidth="1"/>
    <col min="10255" max="10255" width="9.375" style="128"/>
    <col min="10256" max="10256" width="9.875" style="128" customWidth="1"/>
    <col min="10257" max="10257" width="11.75" style="128" bestFit="1" customWidth="1"/>
    <col min="10258" max="10487" width="9.375" style="128"/>
    <col min="10488" max="10488" width="5" style="128" customWidth="1"/>
    <col min="10489" max="10489" width="17.875" style="128" bestFit="1" customWidth="1"/>
    <col min="10490" max="10490" width="9.875" style="128" customWidth="1"/>
    <col min="10491" max="10491" width="8.875" style="128" customWidth="1"/>
    <col min="10492" max="10492" width="7.375" style="128" bestFit="1" customWidth="1"/>
    <col min="10493" max="10493" width="10.125" style="128" bestFit="1" customWidth="1"/>
    <col min="10494" max="10494" width="9.375" style="128"/>
    <col min="10495" max="10495" width="10.125" style="128" bestFit="1" customWidth="1"/>
    <col min="10496" max="10496" width="10.75" style="128" customWidth="1"/>
    <col min="10497" max="10499" width="9.375" style="128"/>
    <col min="10500" max="10501" width="10.75" style="128" customWidth="1"/>
    <col min="10502" max="10506" width="9.375" style="128"/>
    <col min="10507" max="10507" width="1.625" style="128" bestFit="1" customWidth="1"/>
    <col min="10508" max="10508" width="9.375" style="128"/>
    <col min="10509" max="10509" width="8.875" style="128" customWidth="1"/>
    <col min="10510" max="10510" width="13.125" style="128" customWidth="1"/>
    <col min="10511" max="10511" width="9.375" style="128"/>
    <col min="10512" max="10512" width="9.875" style="128" customWidth="1"/>
    <col min="10513" max="10513" width="11.75" style="128" bestFit="1" customWidth="1"/>
    <col min="10514" max="10743" width="9.375" style="128"/>
    <col min="10744" max="10744" width="5" style="128" customWidth="1"/>
    <col min="10745" max="10745" width="17.875" style="128" bestFit="1" customWidth="1"/>
    <col min="10746" max="10746" width="9.875" style="128" customWidth="1"/>
    <col min="10747" max="10747" width="8.875" style="128" customWidth="1"/>
    <col min="10748" max="10748" width="7.375" style="128" bestFit="1" customWidth="1"/>
    <col min="10749" max="10749" width="10.125" style="128" bestFit="1" customWidth="1"/>
    <col min="10750" max="10750" width="9.375" style="128"/>
    <col min="10751" max="10751" width="10.125" style="128" bestFit="1" customWidth="1"/>
    <col min="10752" max="10752" width="10.75" style="128" customWidth="1"/>
    <col min="10753" max="10755" width="9.375" style="128"/>
    <col min="10756" max="10757" width="10.75" style="128" customWidth="1"/>
    <col min="10758" max="10762" width="9.375" style="128"/>
    <col min="10763" max="10763" width="1.625" style="128" bestFit="1" customWidth="1"/>
    <col min="10764" max="10764" width="9.375" style="128"/>
    <col min="10765" max="10765" width="8.875" style="128" customWidth="1"/>
    <col min="10766" max="10766" width="13.125" style="128" customWidth="1"/>
    <col min="10767" max="10767" width="9.375" style="128"/>
    <col min="10768" max="10768" width="9.875" style="128" customWidth="1"/>
    <col min="10769" max="10769" width="11.75" style="128" bestFit="1" customWidth="1"/>
    <col min="10770" max="10999" width="9.375" style="128"/>
    <col min="11000" max="11000" width="5" style="128" customWidth="1"/>
    <col min="11001" max="11001" width="17.875" style="128" bestFit="1" customWidth="1"/>
    <col min="11002" max="11002" width="9.875" style="128" customWidth="1"/>
    <col min="11003" max="11003" width="8.875" style="128" customWidth="1"/>
    <col min="11004" max="11004" width="7.375" style="128" bestFit="1" customWidth="1"/>
    <col min="11005" max="11005" width="10.125" style="128" bestFit="1" customWidth="1"/>
    <col min="11006" max="11006" width="9.375" style="128"/>
    <col min="11007" max="11007" width="10.125" style="128" bestFit="1" customWidth="1"/>
    <col min="11008" max="11008" width="10.75" style="128" customWidth="1"/>
    <col min="11009" max="11011" width="9.375" style="128"/>
    <col min="11012" max="11013" width="10.75" style="128" customWidth="1"/>
    <col min="11014" max="11018" width="9.375" style="128"/>
    <col min="11019" max="11019" width="1.625" style="128" bestFit="1" customWidth="1"/>
    <col min="11020" max="11020" width="9.375" style="128"/>
    <col min="11021" max="11021" width="8.875" style="128" customWidth="1"/>
    <col min="11022" max="11022" width="13.125" style="128" customWidth="1"/>
    <col min="11023" max="11023" width="9.375" style="128"/>
    <col min="11024" max="11024" width="9.875" style="128" customWidth="1"/>
    <col min="11025" max="11025" width="11.75" style="128" bestFit="1" customWidth="1"/>
    <col min="11026" max="11255" width="9.375" style="128"/>
    <col min="11256" max="11256" width="5" style="128" customWidth="1"/>
    <col min="11257" max="11257" width="17.875" style="128" bestFit="1" customWidth="1"/>
    <col min="11258" max="11258" width="9.875" style="128" customWidth="1"/>
    <col min="11259" max="11259" width="8.875" style="128" customWidth="1"/>
    <col min="11260" max="11260" width="7.375" style="128" bestFit="1" customWidth="1"/>
    <col min="11261" max="11261" width="10.125" style="128" bestFit="1" customWidth="1"/>
    <col min="11262" max="11262" width="9.375" style="128"/>
    <col min="11263" max="11263" width="10.125" style="128" bestFit="1" customWidth="1"/>
    <col min="11264" max="11264" width="10.75" style="128" customWidth="1"/>
    <col min="11265" max="11267" width="9.375" style="128"/>
    <col min="11268" max="11269" width="10.75" style="128" customWidth="1"/>
    <col min="11270" max="11274" width="9.375" style="128"/>
    <col min="11275" max="11275" width="1.625" style="128" bestFit="1" customWidth="1"/>
    <col min="11276" max="11276" width="9.375" style="128"/>
    <col min="11277" max="11277" width="8.875" style="128" customWidth="1"/>
    <col min="11278" max="11278" width="13.125" style="128" customWidth="1"/>
    <col min="11279" max="11279" width="9.375" style="128"/>
    <col min="11280" max="11280" width="9.875" style="128" customWidth="1"/>
    <col min="11281" max="11281" width="11.75" style="128" bestFit="1" customWidth="1"/>
    <col min="11282" max="11511" width="9.375" style="128"/>
    <col min="11512" max="11512" width="5" style="128" customWidth="1"/>
    <col min="11513" max="11513" width="17.875" style="128" bestFit="1" customWidth="1"/>
    <col min="11514" max="11514" width="9.875" style="128" customWidth="1"/>
    <col min="11515" max="11515" width="8.875" style="128" customWidth="1"/>
    <col min="11516" max="11516" width="7.375" style="128" bestFit="1" customWidth="1"/>
    <col min="11517" max="11517" width="10.125" style="128" bestFit="1" customWidth="1"/>
    <col min="11518" max="11518" width="9.375" style="128"/>
    <col min="11519" max="11519" width="10.125" style="128" bestFit="1" customWidth="1"/>
    <col min="11520" max="11520" width="10.75" style="128" customWidth="1"/>
    <col min="11521" max="11523" width="9.375" style="128"/>
    <col min="11524" max="11525" width="10.75" style="128" customWidth="1"/>
    <col min="11526" max="11530" width="9.375" style="128"/>
    <col min="11531" max="11531" width="1.625" style="128" bestFit="1" customWidth="1"/>
    <col min="11532" max="11532" width="9.375" style="128"/>
    <col min="11533" max="11533" width="8.875" style="128" customWidth="1"/>
    <col min="11534" max="11534" width="13.125" style="128" customWidth="1"/>
    <col min="11535" max="11535" width="9.375" style="128"/>
    <col min="11536" max="11536" width="9.875" style="128" customWidth="1"/>
    <col min="11537" max="11537" width="11.75" style="128" bestFit="1" customWidth="1"/>
    <col min="11538" max="11767" width="9.375" style="128"/>
    <col min="11768" max="11768" width="5" style="128" customWidth="1"/>
    <col min="11769" max="11769" width="17.875" style="128" bestFit="1" customWidth="1"/>
    <col min="11770" max="11770" width="9.875" style="128" customWidth="1"/>
    <col min="11771" max="11771" width="8.875" style="128" customWidth="1"/>
    <col min="11772" max="11772" width="7.375" style="128" bestFit="1" customWidth="1"/>
    <col min="11773" max="11773" width="10.125" style="128" bestFit="1" customWidth="1"/>
    <col min="11774" max="11774" width="9.375" style="128"/>
    <col min="11775" max="11775" width="10.125" style="128" bestFit="1" customWidth="1"/>
    <col min="11776" max="11776" width="10.75" style="128" customWidth="1"/>
    <col min="11777" max="11779" width="9.375" style="128"/>
    <col min="11780" max="11781" width="10.75" style="128" customWidth="1"/>
    <col min="11782" max="11786" width="9.375" style="128"/>
    <col min="11787" max="11787" width="1.625" style="128" bestFit="1" customWidth="1"/>
    <col min="11788" max="11788" width="9.375" style="128"/>
    <col min="11789" max="11789" width="8.875" style="128" customWidth="1"/>
    <col min="11790" max="11790" width="13.125" style="128" customWidth="1"/>
    <col min="11791" max="11791" width="9.375" style="128"/>
    <col min="11792" max="11792" width="9.875" style="128" customWidth="1"/>
    <col min="11793" max="11793" width="11.75" style="128" bestFit="1" customWidth="1"/>
    <col min="11794" max="12023" width="9.375" style="128"/>
    <col min="12024" max="12024" width="5" style="128" customWidth="1"/>
    <col min="12025" max="12025" width="17.875" style="128" bestFit="1" customWidth="1"/>
    <col min="12026" max="12026" width="9.875" style="128" customWidth="1"/>
    <col min="12027" max="12027" width="8.875" style="128" customWidth="1"/>
    <col min="12028" max="12028" width="7.375" style="128" bestFit="1" customWidth="1"/>
    <col min="12029" max="12029" width="10.125" style="128" bestFit="1" customWidth="1"/>
    <col min="12030" max="12030" width="9.375" style="128"/>
    <col min="12031" max="12031" width="10.125" style="128" bestFit="1" customWidth="1"/>
    <col min="12032" max="12032" width="10.75" style="128" customWidth="1"/>
    <col min="12033" max="12035" width="9.375" style="128"/>
    <col min="12036" max="12037" width="10.75" style="128" customWidth="1"/>
    <col min="12038" max="12042" width="9.375" style="128"/>
    <col min="12043" max="12043" width="1.625" style="128" bestFit="1" customWidth="1"/>
    <col min="12044" max="12044" width="9.375" style="128"/>
    <col min="12045" max="12045" width="8.875" style="128" customWidth="1"/>
    <col min="12046" max="12046" width="13.125" style="128" customWidth="1"/>
    <col min="12047" max="12047" width="9.375" style="128"/>
    <col min="12048" max="12048" width="9.875" style="128" customWidth="1"/>
    <col min="12049" max="12049" width="11.75" style="128" bestFit="1" customWidth="1"/>
    <col min="12050" max="12279" width="9.375" style="128"/>
    <col min="12280" max="12280" width="5" style="128" customWidth="1"/>
    <col min="12281" max="12281" width="17.875" style="128" bestFit="1" customWidth="1"/>
    <col min="12282" max="12282" width="9.875" style="128" customWidth="1"/>
    <col min="12283" max="12283" width="8.875" style="128" customWidth="1"/>
    <col min="12284" max="12284" width="7.375" style="128" bestFit="1" customWidth="1"/>
    <col min="12285" max="12285" width="10.125" style="128" bestFit="1" customWidth="1"/>
    <col min="12286" max="12286" width="9.375" style="128"/>
    <col min="12287" max="12287" width="10.125" style="128" bestFit="1" customWidth="1"/>
    <col min="12288" max="12288" width="10.75" style="128" customWidth="1"/>
    <col min="12289" max="12291" width="9.375" style="128"/>
    <col min="12292" max="12293" width="10.75" style="128" customWidth="1"/>
    <col min="12294" max="12298" width="9.375" style="128"/>
    <col min="12299" max="12299" width="1.625" style="128" bestFit="1" customWidth="1"/>
    <col min="12300" max="12300" width="9.375" style="128"/>
    <col min="12301" max="12301" width="8.875" style="128" customWidth="1"/>
    <col min="12302" max="12302" width="13.125" style="128" customWidth="1"/>
    <col min="12303" max="12303" width="9.375" style="128"/>
    <col min="12304" max="12304" width="9.875" style="128" customWidth="1"/>
    <col min="12305" max="12305" width="11.75" style="128" bestFit="1" customWidth="1"/>
    <col min="12306" max="12535" width="9.375" style="128"/>
    <col min="12536" max="12536" width="5" style="128" customWidth="1"/>
    <col min="12537" max="12537" width="17.875" style="128" bestFit="1" customWidth="1"/>
    <col min="12538" max="12538" width="9.875" style="128" customWidth="1"/>
    <col min="12539" max="12539" width="8.875" style="128" customWidth="1"/>
    <col min="12540" max="12540" width="7.375" style="128" bestFit="1" customWidth="1"/>
    <col min="12541" max="12541" width="10.125" style="128" bestFit="1" customWidth="1"/>
    <col min="12542" max="12542" width="9.375" style="128"/>
    <col min="12543" max="12543" width="10.125" style="128" bestFit="1" customWidth="1"/>
    <col min="12544" max="12544" width="10.75" style="128" customWidth="1"/>
    <col min="12545" max="12547" width="9.375" style="128"/>
    <col min="12548" max="12549" width="10.75" style="128" customWidth="1"/>
    <col min="12550" max="12554" width="9.375" style="128"/>
    <col min="12555" max="12555" width="1.625" style="128" bestFit="1" customWidth="1"/>
    <col min="12556" max="12556" width="9.375" style="128"/>
    <col min="12557" max="12557" width="8.875" style="128" customWidth="1"/>
    <col min="12558" max="12558" width="13.125" style="128" customWidth="1"/>
    <col min="12559" max="12559" width="9.375" style="128"/>
    <col min="12560" max="12560" width="9.875" style="128" customWidth="1"/>
    <col min="12561" max="12561" width="11.75" style="128" bestFit="1" customWidth="1"/>
    <col min="12562" max="12791" width="9.375" style="128"/>
    <col min="12792" max="12792" width="5" style="128" customWidth="1"/>
    <col min="12793" max="12793" width="17.875" style="128" bestFit="1" customWidth="1"/>
    <col min="12794" max="12794" width="9.875" style="128" customWidth="1"/>
    <col min="12795" max="12795" width="8.875" style="128" customWidth="1"/>
    <col min="12796" max="12796" width="7.375" style="128" bestFit="1" customWidth="1"/>
    <col min="12797" max="12797" width="10.125" style="128" bestFit="1" customWidth="1"/>
    <col min="12798" max="12798" width="9.375" style="128"/>
    <col min="12799" max="12799" width="10.125" style="128" bestFit="1" customWidth="1"/>
    <col min="12800" max="12800" width="10.75" style="128" customWidth="1"/>
    <col min="12801" max="12803" width="9.375" style="128"/>
    <col min="12804" max="12805" width="10.75" style="128" customWidth="1"/>
    <col min="12806" max="12810" width="9.375" style="128"/>
    <col min="12811" max="12811" width="1.625" style="128" bestFit="1" customWidth="1"/>
    <col min="12812" max="12812" width="9.375" style="128"/>
    <col min="12813" max="12813" width="8.875" style="128" customWidth="1"/>
    <col min="12814" max="12814" width="13.125" style="128" customWidth="1"/>
    <col min="12815" max="12815" width="9.375" style="128"/>
    <col min="12816" max="12816" width="9.875" style="128" customWidth="1"/>
    <col min="12817" max="12817" width="11.75" style="128" bestFit="1" customWidth="1"/>
    <col min="12818" max="13047" width="9.375" style="128"/>
    <col min="13048" max="13048" width="5" style="128" customWidth="1"/>
    <col min="13049" max="13049" width="17.875" style="128" bestFit="1" customWidth="1"/>
    <col min="13050" max="13050" width="9.875" style="128" customWidth="1"/>
    <col min="13051" max="13051" width="8.875" style="128" customWidth="1"/>
    <col min="13052" max="13052" width="7.375" style="128" bestFit="1" customWidth="1"/>
    <col min="13053" max="13053" width="10.125" style="128" bestFit="1" customWidth="1"/>
    <col min="13054" max="13054" width="9.375" style="128"/>
    <col min="13055" max="13055" width="10.125" style="128" bestFit="1" customWidth="1"/>
    <col min="13056" max="13056" width="10.75" style="128" customWidth="1"/>
    <col min="13057" max="13059" width="9.375" style="128"/>
    <col min="13060" max="13061" width="10.75" style="128" customWidth="1"/>
    <col min="13062" max="13066" width="9.375" style="128"/>
    <col min="13067" max="13067" width="1.625" style="128" bestFit="1" customWidth="1"/>
    <col min="13068" max="13068" width="9.375" style="128"/>
    <col min="13069" max="13069" width="8.875" style="128" customWidth="1"/>
    <col min="13070" max="13070" width="13.125" style="128" customWidth="1"/>
    <col min="13071" max="13071" width="9.375" style="128"/>
    <col min="13072" max="13072" width="9.875" style="128" customWidth="1"/>
    <col min="13073" max="13073" width="11.75" style="128" bestFit="1" customWidth="1"/>
    <col min="13074" max="13303" width="9.375" style="128"/>
    <col min="13304" max="13304" width="5" style="128" customWidth="1"/>
    <col min="13305" max="13305" width="17.875" style="128" bestFit="1" customWidth="1"/>
    <col min="13306" max="13306" width="9.875" style="128" customWidth="1"/>
    <col min="13307" max="13307" width="8.875" style="128" customWidth="1"/>
    <col min="13308" max="13308" width="7.375" style="128" bestFit="1" customWidth="1"/>
    <col min="13309" max="13309" width="10.125" style="128" bestFit="1" customWidth="1"/>
    <col min="13310" max="13310" width="9.375" style="128"/>
    <col min="13311" max="13311" width="10.125" style="128" bestFit="1" customWidth="1"/>
    <col min="13312" max="13312" width="10.75" style="128" customWidth="1"/>
    <col min="13313" max="13315" width="9.375" style="128"/>
    <col min="13316" max="13317" width="10.75" style="128" customWidth="1"/>
    <col min="13318" max="13322" width="9.375" style="128"/>
    <col min="13323" max="13323" width="1.625" style="128" bestFit="1" customWidth="1"/>
    <col min="13324" max="13324" width="9.375" style="128"/>
    <col min="13325" max="13325" width="8.875" style="128" customWidth="1"/>
    <col min="13326" max="13326" width="13.125" style="128" customWidth="1"/>
    <col min="13327" max="13327" width="9.375" style="128"/>
    <col min="13328" max="13328" width="9.875" style="128" customWidth="1"/>
    <col min="13329" max="13329" width="11.75" style="128" bestFit="1" customWidth="1"/>
    <col min="13330" max="13559" width="9.375" style="128"/>
    <col min="13560" max="13560" width="5" style="128" customWidth="1"/>
    <col min="13561" max="13561" width="17.875" style="128" bestFit="1" customWidth="1"/>
    <col min="13562" max="13562" width="9.875" style="128" customWidth="1"/>
    <col min="13563" max="13563" width="8.875" style="128" customWidth="1"/>
    <col min="13564" max="13564" width="7.375" style="128" bestFit="1" customWidth="1"/>
    <col min="13565" max="13565" width="10.125" style="128" bestFit="1" customWidth="1"/>
    <col min="13566" max="13566" width="9.375" style="128"/>
    <col min="13567" max="13567" width="10.125" style="128" bestFit="1" customWidth="1"/>
    <col min="13568" max="13568" width="10.75" style="128" customWidth="1"/>
    <col min="13569" max="13571" width="9.375" style="128"/>
    <col min="13572" max="13573" width="10.75" style="128" customWidth="1"/>
    <col min="13574" max="13578" width="9.375" style="128"/>
    <col min="13579" max="13579" width="1.625" style="128" bestFit="1" customWidth="1"/>
    <col min="13580" max="13580" width="9.375" style="128"/>
    <col min="13581" max="13581" width="8.875" style="128" customWidth="1"/>
    <col min="13582" max="13582" width="13.125" style="128" customWidth="1"/>
    <col min="13583" max="13583" width="9.375" style="128"/>
    <col min="13584" max="13584" width="9.875" style="128" customWidth="1"/>
    <col min="13585" max="13585" width="11.75" style="128" bestFit="1" customWidth="1"/>
    <col min="13586" max="13815" width="9.375" style="128"/>
    <col min="13816" max="13816" width="5" style="128" customWidth="1"/>
    <col min="13817" max="13817" width="17.875" style="128" bestFit="1" customWidth="1"/>
    <col min="13818" max="13818" width="9.875" style="128" customWidth="1"/>
    <col min="13819" max="13819" width="8.875" style="128" customWidth="1"/>
    <col min="13820" max="13820" width="7.375" style="128" bestFit="1" customWidth="1"/>
    <col min="13821" max="13821" width="10.125" style="128" bestFit="1" customWidth="1"/>
    <col min="13822" max="13822" width="9.375" style="128"/>
    <col min="13823" max="13823" width="10.125" style="128" bestFit="1" customWidth="1"/>
    <col min="13824" max="13824" width="10.75" style="128" customWidth="1"/>
    <col min="13825" max="13827" width="9.375" style="128"/>
    <col min="13828" max="13829" width="10.75" style="128" customWidth="1"/>
    <col min="13830" max="13834" width="9.375" style="128"/>
    <col min="13835" max="13835" width="1.625" style="128" bestFit="1" customWidth="1"/>
    <col min="13836" max="13836" width="9.375" style="128"/>
    <col min="13837" max="13837" width="8.875" style="128" customWidth="1"/>
    <col min="13838" max="13838" width="13.125" style="128" customWidth="1"/>
    <col min="13839" max="13839" width="9.375" style="128"/>
    <col min="13840" max="13840" width="9.875" style="128" customWidth="1"/>
    <col min="13841" max="13841" width="11.75" style="128" bestFit="1" customWidth="1"/>
    <col min="13842" max="14071" width="9.375" style="128"/>
    <col min="14072" max="14072" width="5" style="128" customWidth="1"/>
    <col min="14073" max="14073" width="17.875" style="128" bestFit="1" customWidth="1"/>
    <col min="14074" max="14074" width="9.875" style="128" customWidth="1"/>
    <col min="14075" max="14075" width="8.875" style="128" customWidth="1"/>
    <col min="14076" max="14076" width="7.375" style="128" bestFit="1" customWidth="1"/>
    <col min="14077" max="14077" width="10.125" style="128" bestFit="1" customWidth="1"/>
    <col min="14078" max="14078" width="9.375" style="128"/>
    <col min="14079" max="14079" width="10.125" style="128" bestFit="1" customWidth="1"/>
    <col min="14080" max="14080" width="10.75" style="128" customWidth="1"/>
    <col min="14081" max="14083" width="9.375" style="128"/>
    <col min="14084" max="14085" width="10.75" style="128" customWidth="1"/>
    <col min="14086" max="14090" width="9.375" style="128"/>
    <col min="14091" max="14091" width="1.625" style="128" bestFit="1" customWidth="1"/>
    <col min="14092" max="14092" width="9.375" style="128"/>
    <col min="14093" max="14093" width="8.875" style="128" customWidth="1"/>
    <col min="14094" max="14094" width="13.125" style="128" customWidth="1"/>
    <col min="14095" max="14095" width="9.375" style="128"/>
    <col min="14096" max="14096" width="9.875" style="128" customWidth="1"/>
    <col min="14097" max="14097" width="11.75" style="128" bestFit="1" customWidth="1"/>
    <col min="14098" max="14327" width="9.375" style="128"/>
    <col min="14328" max="14328" width="5" style="128" customWidth="1"/>
    <col min="14329" max="14329" width="17.875" style="128" bestFit="1" customWidth="1"/>
    <col min="14330" max="14330" width="9.875" style="128" customWidth="1"/>
    <col min="14331" max="14331" width="8.875" style="128" customWidth="1"/>
    <col min="14332" max="14332" width="7.375" style="128" bestFit="1" customWidth="1"/>
    <col min="14333" max="14333" width="10.125" style="128" bestFit="1" customWidth="1"/>
    <col min="14334" max="14334" width="9.375" style="128"/>
    <col min="14335" max="14335" width="10.125" style="128" bestFit="1" customWidth="1"/>
    <col min="14336" max="14336" width="10.75" style="128" customWidth="1"/>
    <col min="14337" max="14339" width="9.375" style="128"/>
    <col min="14340" max="14341" width="10.75" style="128" customWidth="1"/>
    <col min="14342" max="14346" width="9.375" style="128"/>
    <col min="14347" max="14347" width="1.625" style="128" bestFit="1" customWidth="1"/>
    <col min="14348" max="14348" width="9.375" style="128"/>
    <col min="14349" max="14349" width="8.875" style="128" customWidth="1"/>
    <col min="14350" max="14350" width="13.125" style="128" customWidth="1"/>
    <col min="14351" max="14351" width="9.375" style="128"/>
    <col min="14352" max="14352" width="9.875" style="128" customWidth="1"/>
    <col min="14353" max="14353" width="11.75" style="128" bestFit="1" customWidth="1"/>
    <col min="14354" max="14583" width="9.375" style="128"/>
    <col min="14584" max="14584" width="5" style="128" customWidth="1"/>
    <col min="14585" max="14585" width="17.875" style="128" bestFit="1" customWidth="1"/>
    <col min="14586" max="14586" width="9.875" style="128" customWidth="1"/>
    <col min="14587" max="14587" width="8.875" style="128" customWidth="1"/>
    <col min="14588" max="14588" width="7.375" style="128" bestFit="1" customWidth="1"/>
    <col min="14589" max="14589" width="10.125" style="128" bestFit="1" customWidth="1"/>
    <col min="14590" max="14590" width="9.375" style="128"/>
    <col min="14591" max="14591" width="10.125" style="128" bestFit="1" customWidth="1"/>
    <col min="14592" max="14592" width="10.75" style="128" customWidth="1"/>
    <col min="14593" max="14595" width="9.375" style="128"/>
    <col min="14596" max="14597" width="10.75" style="128" customWidth="1"/>
    <col min="14598" max="14602" width="9.375" style="128"/>
    <col min="14603" max="14603" width="1.625" style="128" bestFit="1" customWidth="1"/>
    <col min="14604" max="14604" width="9.375" style="128"/>
    <col min="14605" max="14605" width="8.875" style="128" customWidth="1"/>
    <col min="14606" max="14606" width="13.125" style="128" customWidth="1"/>
    <col min="14607" max="14607" width="9.375" style="128"/>
    <col min="14608" max="14608" width="9.875" style="128" customWidth="1"/>
    <col min="14609" max="14609" width="11.75" style="128" bestFit="1" customWidth="1"/>
    <col min="14610" max="14839" width="9.375" style="128"/>
    <col min="14840" max="14840" width="5" style="128" customWidth="1"/>
    <col min="14841" max="14841" width="17.875" style="128" bestFit="1" customWidth="1"/>
    <col min="14842" max="14842" width="9.875" style="128" customWidth="1"/>
    <col min="14843" max="14843" width="8.875" style="128" customWidth="1"/>
    <col min="14844" max="14844" width="7.375" style="128" bestFit="1" customWidth="1"/>
    <col min="14845" max="14845" width="10.125" style="128" bestFit="1" customWidth="1"/>
    <col min="14846" max="14846" width="9.375" style="128"/>
    <col min="14847" max="14847" width="10.125" style="128" bestFit="1" customWidth="1"/>
    <col min="14848" max="14848" width="10.75" style="128" customWidth="1"/>
    <col min="14849" max="14851" width="9.375" style="128"/>
    <col min="14852" max="14853" width="10.75" style="128" customWidth="1"/>
    <col min="14854" max="14858" width="9.375" style="128"/>
    <col min="14859" max="14859" width="1.625" style="128" bestFit="1" customWidth="1"/>
    <col min="14860" max="14860" width="9.375" style="128"/>
    <col min="14861" max="14861" width="8.875" style="128" customWidth="1"/>
    <col min="14862" max="14862" width="13.125" style="128" customWidth="1"/>
    <col min="14863" max="14863" width="9.375" style="128"/>
    <col min="14864" max="14864" width="9.875" style="128" customWidth="1"/>
    <col min="14865" max="14865" width="11.75" style="128" bestFit="1" customWidth="1"/>
    <col min="14866" max="15095" width="9.375" style="128"/>
    <col min="15096" max="15096" width="5" style="128" customWidth="1"/>
    <col min="15097" max="15097" width="17.875" style="128" bestFit="1" customWidth="1"/>
    <col min="15098" max="15098" width="9.875" style="128" customWidth="1"/>
    <col min="15099" max="15099" width="8.875" style="128" customWidth="1"/>
    <col min="15100" max="15100" width="7.375" style="128" bestFit="1" customWidth="1"/>
    <col min="15101" max="15101" width="10.125" style="128" bestFit="1" customWidth="1"/>
    <col min="15102" max="15102" width="9.375" style="128"/>
    <col min="15103" max="15103" width="10.125" style="128" bestFit="1" customWidth="1"/>
    <col min="15104" max="15104" width="10.75" style="128" customWidth="1"/>
    <col min="15105" max="15107" width="9.375" style="128"/>
    <col min="15108" max="15109" width="10.75" style="128" customWidth="1"/>
    <col min="15110" max="15114" width="9.375" style="128"/>
    <col min="15115" max="15115" width="1.625" style="128" bestFit="1" customWidth="1"/>
    <col min="15116" max="15116" width="9.375" style="128"/>
    <col min="15117" max="15117" width="8.875" style="128" customWidth="1"/>
    <col min="15118" max="15118" width="13.125" style="128" customWidth="1"/>
    <col min="15119" max="15119" width="9.375" style="128"/>
    <col min="15120" max="15120" width="9.875" style="128" customWidth="1"/>
    <col min="15121" max="15121" width="11.75" style="128" bestFit="1" customWidth="1"/>
    <col min="15122" max="15351" width="9.375" style="128"/>
    <col min="15352" max="15352" width="5" style="128" customWidth="1"/>
    <col min="15353" max="15353" width="17.875" style="128" bestFit="1" customWidth="1"/>
    <col min="15354" max="15354" width="9.875" style="128" customWidth="1"/>
    <col min="15355" max="15355" width="8.875" style="128" customWidth="1"/>
    <col min="15356" max="15356" width="7.375" style="128" bestFit="1" customWidth="1"/>
    <col min="15357" max="15357" width="10.125" style="128" bestFit="1" customWidth="1"/>
    <col min="15358" max="15358" width="9.375" style="128"/>
    <col min="15359" max="15359" width="10.125" style="128" bestFit="1" customWidth="1"/>
    <col min="15360" max="15360" width="10.75" style="128" customWidth="1"/>
    <col min="15361" max="15363" width="9.375" style="128"/>
    <col min="15364" max="15365" width="10.75" style="128" customWidth="1"/>
    <col min="15366" max="15370" width="9.375" style="128"/>
    <col min="15371" max="15371" width="1.625" style="128" bestFit="1" customWidth="1"/>
    <col min="15372" max="15372" width="9.375" style="128"/>
    <col min="15373" max="15373" width="8.875" style="128" customWidth="1"/>
    <col min="15374" max="15374" width="13.125" style="128" customWidth="1"/>
    <col min="15375" max="15375" width="9.375" style="128"/>
    <col min="15376" max="15376" width="9.875" style="128" customWidth="1"/>
    <col min="15377" max="15377" width="11.75" style="128" bestFit="1" customWidth="1"/>
    <col min="15378" max="15607" width="9.375" style="128"/>
    <col min="15608" max="15608" width="5" style="128" customWidth="1"/>
    <col min="15609" max="15609" width="17.875" style="128" bestFit="1" customWidth="1"/>
    <col min="15610" max="15610" width="9.875" style="128" customWidth="1"/>
    <col min="15611" max="15611" width="8.875" style="128" customWidth="1"/>
    <col min="15612" max="15612" width="7.375" style="128" bestFit="1" customWidth="1"/>
    <col min="15613" max="15613" width="10.125" style="128" bestFit="1" customWidth="1"/>
    <col min="15614" max="15614" width="9.375" style="128"/>
    <col min="15615" max="15615" width="10.125" style="128" bestFit="1" customWidth="1"/>
    <col min="15616" max="15616" width="10.75" style="128" customWidth="1"/>
    <col min="15617" max="15619" width="9.375" style="128"/>
    <col min="15620" max="15621" width="10.75" style="128" customWidth="1"/>
    <col min="15622" max="15626" width="9.375" style="128"/>
    <col min="15627" max="15627" width="1.625" style="128" bestFit="1" customWidth="1"/>
    <col min="15628" max="15628" width="9.375" style="128"/>
    <col min="15629" max="15629" width="8.875" style="128" customWidth="1"/>
    <col min="15630" max="15630" width="13.125" style="128" customWidth="1"/>
    <col min="15631" max="15631" width="9.375" style="128"/>
    <col min="15632" max="15632" width="9.875" style="128" customWidth="1"/>
    <col min="15633" max="15633" width="11.75" style="128" bestFit="1" customWidth="1"/>
    <col min="15634" max="15863" width="9.375" style="128"/>
    <col min="15864" max="15864" width="5" style="128" customWidth="1"/>
    <col min="15865" max="15865" width="17.875" style="128" bestFit="1" customWidth="1"/>
    <col min="15866" max="15866" width="9.875" style="128" customWidth="1"/>
    <col min="15867" max="15867" width="8.875" style="128" customWidth="1"/>
    <col min="15868" max="15868" width="7.375" style="128" bestFit="1" customWidth="1"/>
    <col min="15869" max="15869" width="10.125" style="128" bestFit="1" customWidth="1"/>
    <col min="15870" max="15870" width="9.375" style="128"/>
    <col min="15871" max="15871" width="10.125" style="128" bestFit="1" customWidth="1"/>
    <col min="15872" max="15872" width="10.75" style="128" customWidth="1"/>
    <col min="15873" max="15875" width="9.375" style="128"/>
    <col min="15876" max="15877" width="10.75" style="128" customWidth="1"/>
    <col min="15878" max="15882" width="9.375" style="128"/>
    <col min="15883" max="15883" width="1.625" style="128" bestFit="1" customWidth="1"/>
    <col min="15884" max="15884" width="9.375" style="128"/>
    <col min="15885" max="15885" width="8.875" style="128" customWidth="1"/>
    <col min="15886" max="15886" width="13.125" style="128" customWidth="1"/>
    <col min="15887" max="15887" width="9.375" style="128"/>
    <col min="15888" max="15888" width="9.875" style="128" customWidth="1"/>
    <col min="15889" max="15889" width="11.75" style="128" bestFit="1" customWidth="1"/>
    <col min="15890" max="16119" width="9.375" style="128"/>
    <col min="16120" max="16120" width="5" style="128" customWidth="1"/>
    <col min="16121" max="16121" width="17.875" style="128" bestFit="1" customWidth="1"/>
    <col min="16122" max="16122" width="9.875" style="128" customWidth="1"/>
    <col min="16123" max="16123" width="8.875" style="128" customWidth="1"/>
    <col min="16124" max="16124" width="7.375" style="128" bestFit="1" customWidth="1"/>
    <col min="16125" max="16125" width="10.125" style="128" bestFit="1" customWidth="1"/>
    <col min="16126" max="16126" width="9.375" style="128"/>
    <col min="16127" max="16127" width="10.125" style="128" bestFit="1" customWidth="1"/>
    <col min="16128" max="16128" width="10.75" style="128" customWidth="1"/>
    <col min="16129" max="16131" width="9.375" style="128"/>
    <col min="16132" max="16133" width="10.75" style="128" customWidth="1"/>
    <col min="16134" max="16138" width="9.375" style="128"/>
    <col min="16139" max="16139" width="1.625" style="128" bestFit="1" customWidth="1"/>
    <col min="16140" max="16140" width="9.375" style="128"/>
    <col min="16141" max="16141" width="8.875" style="128" customWidth="1"/>
    <col min="16142" max="16142" width="13.125" style="128" customWidth="1"/>
    <col min="16143" max="16143" width="9.375" style="128"/>
    <col min="16144" max="16144" width="9.875" style="128" customWidth="1"/>
    <col min="16145" max="16145" width="11.75" style="128" bestFit="1" customWidth="1"/>
    <col min="16146" max="16384" width="9.375" style="128"/>
  </cols>
  <sheetData>
    <row r="1" spans="1:20" s="33" customFormat="1" ht="26.25" x14ac:dyDescent="0.2">
      <c r="A1" s="282" t="s">
        <v>414</v>
      </c>
      <c r="B1" s="32"/>
      <c r="C1" s="415" t="s">
        <v>409</v>
      </c>
      <c r="D1" s="306" t="s">
        <v>401</v>
      </c>
      <c r="E1" s="646" t="s">
        <v>410</v>
      </c>
      <c r="F1" s="646"/>
      <c r="G1" s="124"/>
      <c r="H1" s="124"/>
      <c r="I1" s="124"/>
      <c r="J1" s="124"/>
      <c r="K1" s="124"/>
      <c r="M1" s="124"/>
      <c r="N1" s="125"/>
      <c r="O1" s="43"/>
      <c r="P1" s="125"/>
      <c r="Q1" s="125"/>
      <c r="R1" s="43"/>
      <c r="S1" s="43"/>
      <c r="T1" s="43"/>
    </row>
    <row r="2" spans="1:20" s="40" customFormat="1" ht="15.75" x14ac:dyDescent="0.25">
      <c r="A2" s="362" t="str">
        <f>Paramètres!B4</f>
        <v>Acomptes 2022</v>
      </c>
      <c r="N2" s="127"/>
      <c r="O2" s="126"/>
      <c r="P2" s="127"/>
      <c r="Q2" s="127"/>
      <c r="R2" s="126"/>
      <c r="S2" s="126"/>
      <c r="T2" s="126"/>
    </row>
    <row r="4" spans="1:20" s="139" customFormat="1" ht="39" customHeight="1" x14ac:dyDescent="0.2">
      <c r="A4" s="652" t="s">
        <v>44</v>
      </c>
      <c r="B4" s="652" t="s">
        <v>84</v>
      </c>
      <c r="C4" s="652" t="s">
        <v>446</v>
      </c>
      <c r="D4" s="344" t="s">
        <v>258</v>
      </c>
      <c r="E4" s="652" t="s">
        <v>369</v>
      </c>
      <c r="F4" s="655" t="s">
        <v>289</v>
      </c>
      <c r="G4" s="652" t="s">
        <v>550</v>
      </c>
      <c r="H4" s="652" t="s">
        <v>505</v>
      </c>
      <c r="I4" s="652" t="s">
        <v>551</v>
      </c>
      <c r="J4" s="652" t="s">
        <v>417</v>
      </c>
      <c r="K4" s="344" t="s">
        <v>508</v>
      </c>
      <c r="L4" s="652" t="s">
        <v>371</v>
      </c>
      <c r="M4" s="137"/>
      <c r="N4" s="136"/>
      <c r="O4" s="137"/>
      <c r="P4" s="138"/>
      <c r="Q4" s="136"/>
      <c r="R4" s="136"/>
      <c r="S4" s="136"/>
    </row>
    <row r="5" spans="1:20" s="139" customFormat="1" x14ac:dyDescent="0.2">
      <c r="A5" s="654"/>
      <c r="B5" s="654"/>
      <c r="C5" s="653"/>
      <c r="D5" s="372">
        <f>Paramètres!B6</f>
        <v>42734</v>
      </c>
      <c r="E5" s="654"/>
      <c r="F5" s="656"/>
      <c r="G5" s="654"/>
      <c r="H5" s="654"/>
      <c r="I5" s="654"/>
      <c r="J5" s="653"/>
      <c r="K5" s="345">
        <f>(Paramètres!B55-'Facture policière'!$I$306)/'Facture policière'!J306</f>
        <v>1.2933602504449901</v>
      </c>
      <c r="L5" s="653"/>
      <c r="M5" s="138"/>
      <c r="N5" s="136"/>
      <c r="O5" s="138"/>
      <c r="P5" s="138"/>
      <c r="Q5" s="136"/>
      <c r="R5" s="136"/>
      <c r="S5" s="136"/>
    </row>
    <row r="6" spans="1:20" x14ac:dyDescent="0.25">
      <c r="A6" s="177">
        <f>Données!A6</f>
        <v>5401</v>
      </c>
      <c r="B6" s="357" t="str">
        <f>Données!B6</f>
        <v>Aigle</v>
      </c>
      <c r="C6" s="177">
        <f>Données!AR6</f>
        <v>1</v>
      </c>
      <c r="D6" s="359">
        <f>Données!Z6</f>
        <v>10518</v>
      </c>
      <c r="E6" s="131">
        <f>Données!X6</f>
        <v>66</v>
      </c>
      <c r="F6" s="31">
        <f>VPI!L6</f>
        <v>16769091.74981685</v>
      </c>
      <c r="G6" s="41">
        <f>F6/E6*2</f>
        <v>508154.29544899543</v>
      </c>
      <c r="H6" s="58">
        <f t="shared" ref="H6:H69" si="0">+$G$306/$D$306*D6</f>
        <v>894141.99818065937</v>
      </c>
      <c r="I6" s="41">
        <f t="shared" ref="I6:I69" si="1">IF(C6=1,0,IF(H6&gt;G6,G6,H6))</f>
        <v>0</v>
      </c>
      <c r="J6" s="41">
        <f>VPI!R6</f>
        <v>283957.57045177044</v>
      </c>
      <c r="K6" s="50">
        <f t="shared" ref="K6" si="2">+$K$5*J6</f>
        <v>367259.43443525274</v>
      </c>
      <c r="L6" s="346">
        <f t="shared" ref="L6:L69" si="3">+K6+I6</f>
        <v>367259.43443525274</v>
      </c>
      <c r="M6" s="234"/>
      <c r="N6" s="133"/>
      <c r="O6" s="130"/>
      <c r="Q6" s="134"/>
      <c r="T6" s="128"/>
    </row>
    <row r="7" spans="1:20" x14ac:dyDescent="0.25">
      <c r="A7" s="178">
        <f>Données!A7</f>
        <v>5402</v>
      </c>
      <c r="B7" s="358" t="str">
        <f>Données!B7</f>
        <v>Bex</v>
      </c>
      <c r="C7" s="178">
        <f>Données!AR7</f>
        <v>1</v>
      </c>
      <c r="D7" s="359">
        <f>Données!Z7</f>
        <v>7828</v>
      </c>
      <c r="E7" s="131">
        <f>Données!X7</f>
        <v>71</v>
      </c>
      <c r="F7" s="31">
        <f>VPI!L7</f>
        <v>11266726.850016123</v>
      </c>
      <c r="G7" s="8">
        <f t="shared" ref="G7:G70" si="4">F7/E7*2</f>
        <v>317372.58732439781</v>
      </c>
      <c r="H7" s="26">
        <f t="shared" si="0"/>
        <v>665463.35441701859</v>
      </c>
      <c r="I7" s="8">
        <f t="shared" si="1"/>
        <v>0</v>
      </c>
      <c r="J7" s="8">
        <f>VPI!R7</f>
        <v>178942.44507064961</v>
      </c>
      <c r="K7" s="239">
        <f t="shared" ref="K7:K70" si="5">+$K$5*J7</f>
        <v>231437.04557181426</v>
      </c>
      <c r="L7" s="347">
        <f t="shared" si="3"/>
        <v>231437.04557181426</v>
      </c>
      <c r="M7" s="132"/>
      <c r="N7" s="133"/>
      <c r="O7" s="130"/>
      <c r="Q7" s="134"/>
      <c r="T7" s="128"/>
    </row>
    <row r="8" spans="1:20" x14ac:dyDescent="0.25">
      <c r="A8" s="178">
        <f>Données!A8</f>
        <v>5403</v>
      </c>
      <c r="B8" s="358" t="str">
        <f>Données!B8</f>
        <v>Chessel</v>
      </c>
      <c r="C8" s="178">
        <f>Données!AR8</f>
        <v>0</v>
      </c>
      <c r="D8" s="359">
        <f>Données!Z8</f>
        <v>444</v>
      </c>
      <c r="E8" s="131">
        <f>Données!X8</f>
        <v>74</v>
      </c>
      <c r="F8" s="31">
        <f>VPI!L8</f>
        <v>709125.46058562328</v>
      </c>
      <c r="G8" s="8">
        <f t="shared" si="4"/>
        <v>19165.552988800628</v>
      </c>
      <c r="H8" s="26">
        <f t="shared" si="0"/>
        <v>37744.727818236614</v>
      </c>
      <c r="I8" s="8">
        <f t="shared" si="1"/>
        <v>19165.552988800628</v>
      </c>
      <c r="J8" s="8">
        <f>VPI!R8</f>
        <v>10796.246764670586</v>
      </c>
      <c r="K8" s="239">
        <f t="shared" si="5"/>
        <v>13963.436419420264</v>
      </c>
      <c r="L8" s="347">
        <f t="shared" si="3"/>
        <v>33128.989408220892</v>
      </c>
      <c r="M8" s="235"/>
      <c r="N8" s="133"/>
      <c r="O8" s="130"/>
      <c r="Q8" s="134"/>
      <c r="T8" s="128"/>
    </row>
    <row r="9" spans="1:20" x14ac:dyDescent="0.25">
      <c r="A9" s="178">
        <f>Données!A9</f>
        <v>5404</v>
      </c>
      <c r="B9" s="358" t="str">
        <f>Données!B9</f>
        <v>Corbeyrier</v>
      </c>
      <c r="C9" s="178">
        <f>Données!AR9</f>
        <v>0</v>
      </c>
      <c r="D9" s="359">
        <f>Données!Z9</f>
        <v>445</v>
      </c>
      <c r="E9" s="131">
        <f>Données!X9</f>
        <v>74</v>
      </c>
      <c r="F9" s="31">
        <f>VPI!L9</f>
        <v>742227.03625245776</v>
      </c>
      <c r="G9" s="8">
        <f t="shared" si="4"/>
        <v>20060.190168985344</v>
      </c>
      <c r="H9" s="26">
        <f t="shared" si="0"/>
        <v>37829.738466475887</v>
      </c>
      <c r="I9" s="8">
        <f t="shared" si="1"/>
        <v>20060.190168985344</v>
      </c>
      <c r="J9" s="8">
        <f>VPI!R9</f>
        <v>11266.447111519699</v>
      </c>
      <c r="K9" s="239">
        <f t="shared" si="5"/>
        <v>14571.574857780353</v>
      </c>
      <c r="L9" s="347">
        <f t="shared" si="3"/>
        <v>34631.765026765701</v>
      </c>
      <c r="M9" s="132"/>
      <c r="N9" s="133"/>
      <c r="O9" s="130"/>
      <c r="Q9" s="134"/>
      <c r="T9" s="128"/>
    </row>
    <row r="10" spans="1:20" x14ac:dyDescent="0.25">
      <c r="A10" s="178">
        <f>Données!A10</f>
        <v>5405</v>
      </c>
      <c r="B10" s="358" t="str">
        <f>Données!B10</f>
        <v>Gryon</v>
      </c>
      <c r="C10" s="178">
        <f>Données!AR10</f>
        <v>0</v>
      </c>
      <c r="D10" s="359">
        <f>Données!Z10</f>
        <v>1378</v>
      </c>
      <c r="E10" s="131">
        <f>Données!X10</f>
        <v>73.5</v>
      </c>
      <c r="F10" s="31">
        <f>VPI!L10</f>
        <v>4473730.1763857901</v>
      </c>
      <c r="G10" s="8">
        <f t="shared" si="4"/>
        <v>121734.15445947729</v>
      </c>
      <c r="H10" s="26">
        <f t="shared" si="0"/>
        <v>117144.67327371635</v>
      </c>
      <c r="I10" s="8">
        <f t="shared" si="1"/>
        <v>117144.67327371635</v>
      </c>
      <c r="J10" s="8">
        <f>VPI!R10</f>
        <v>68176.099678718238</v>
      </c>
      <c r="K10" s="239">
        <f t="shared" si="5"/>
        <v>88176.257354829635</v>
      </c>
      <c r="L10" s="347">
        <f t="shared" si="3"/>
        <v>205320.93062854599</v>
      </c>
      <c r="M10" s="132"/>
      <c r="N10" s="133"/>
      <c r="O10" s="130"/>
      <c r="Q10" s="134"/>
      <c r="T10" s="128"/>
    </row>
    <row r="11" spans="1:20" x14ac:dyDescent="0.25">
      <c r="A11" s="178">
        <f>Données!A11</f>
        <v>5406</v>
      </c>
      <c r="B11" s="358" t="str">
        <f>Données!B11</f>
        <v>Lavey-Morcles</v>
      </c>
      <c r="C11" s="178">
        <f>Données!AR11</f>
        <v>0</v>
      </c>
      <c r="D11" s="359">
        <f>Données!Z11</f>
        <v>944</v>
      </c>
      <c r="E11" s="131">
        <f>Données!X11</f>
        <v>71.5</v>
      </c>
      <c r="F11" s="31">
        <f>VPI!L11</f>
        <v>1400336.8200450463</v>
      </c>
      <c r="G11" s="8">
        <f t="shared" si="4"/>
        <v>39170.260700560735</v>
      </c>
      <c r="H11" s="26">
        <f t="shared" si="0"/>
        <v>80250.051937872442</v>
      </c>
      <c r="I11" s="8">
        <f t="shared" si="1"/>
        <v>39170.260700560735</v>
      </c>
      <c r="J11" s="8">
        <f>VPI!R11</f>
        <v>21824.791081856485</v>
      </c>
      <c r="K11" s="239">
        <f t="shared" si="5"/>
        <v>28227.31725953949</v>
      </c>
      <c r="L11" s="347">
        <f t="shared" si="3"/>
        <v>67397.577960100229</v>
      </c>
      <c r="M11" s="132"/>
      <c r="N11" s="133"/>
      <c r="O11" s="130"/>
      <c r="Q11" s="134"/>
      <c r="T11" s="128"/>
    </row>
    <row r="12" spans="1:20" x14ac:dyDescent="0.25">
      <c r="A12" s="178">
        <f>Données!A12</f>
        <v>5407</v>
      </c>
      <c r="B12" s="358" t="str">
        <f>Données!B12</f>
        <v>Leysin</v>
      </c>
      <c r="C12" s="178">
        <f>Données!AR12</f>
        <v>0</v>
      </c>
      <c r="D12" s="359">
        <f>Données!Z12</f>
        <v>3645</v>
      </c>
      <c r="E12" s="131">
        <f>Données!X12</f>
        <v>78</v>
      </c>
      <c r="F12" s="31">
        <f>VPI!L12</f>
        <v>6181920.5299488297</v>
      </c>
      <c r="G12" s="8">
        <f t="shared" si="4"/>
        <v>158510.78281920077</v>
      </c>
      <c r="H12" s="26">
        <f t="shared" si="0"/>
        <v>309863.81283214519</v>
      </c>
      <c r="I12" s="8">
        <f t="shared" si="1"/>
        <v>158510.78281920077</v>
      </c>
      <c r="J12" s="8">
        <f>VPI!R12</f>
        <v>90748.112777121743</v>
      </c>
      <c r="K12" s="239">
        <f t="shared" si="5"/>
        <v>117370.00186882839</v>
      </c>
      <c r="L12" s="347">
        <f t="shared" si="3"/>
        <v>275880.78468802915</v>
      </c>
      <c r="M12" s="132"/>
      <c r="N12" s="133"/>
      <c r="O12" s="130"/>
      <c r="Q12" s="134"/>
      <c r="T12" s="128"/>
    </row>
    <row r="13" spans="1:20" x14ac:dyDescent="0.25">
      <c r="A13" s="178">
        <f>Données!A13</f>
        <v>5408</v>
      </c>
      <c r="B13" s="358" t="str">
        <f>Données!B13</f>
        <v>Noville</v>
      </c>
      <c r="C13" s="178">
        <f>Données!AR13</f>
        <v>0</v>
      </c>
      <c r="D13" s="359">
        <f>Données!Z13</f>
        <v>1170</v>
      </c>
      <c r="E13" s="131">
        <f>Données!X13</f>
        <v>78.5</v>
      </c>
      <c r="F13" s="31">
        <f>VPI!L13</f>
        <v>3058535.7415729184</v>
      </c>
      <c r="G13" s="8">
        <f t="shared" si="4"/>
        <v>77924.477492303646</v>
      </c>
      <c r="H13" s="26">
        <f t="shared" si="0"/>
        <v>99462.458439947848</v>
      </c>
      <c r="I13" s="8">
        <f t="shared" si="1"/>
        <v>77924.477492303646</v>
      </c>
      <c r="J13" s="8">
        <f>VPI!R13</f>
        <v>43666.640444665623</v>
      </c>
      <c r="K13" s="239">
        <f t="shared" si="5"/>
        <v>56476.697021604065</v>
      </c>
      <c r="L13" s="347">
        <f t="shared" si="3"/>
        <v>134401.1745139077</v>
      </c>
      <c r="M13" s="132"/>
      <c r="N13" s="133"/>
      <c r="O13" s="130"/>
      <c r="Q13" s="134"/>
      <c r="T13" s="128"/>
    </row>
    <row r="14" spans="1:20" x14ac:dyDescent="0.25">
      <c r="A14" s="178">
        <f>Données!A14</f>
        <v>5409</v>
      </c>
      <c r="B14" s="358" t="str">
        <f>Données!B14</f>
        <v>Ollon</v>
      </c>
      <c r="C14" s="178">
        <f>Données!AR14</f>
        <v>1</v>
      </c>
      <c r="D14" s="359">
        <f>Données!Z14</f>
        <v>7634</v>
      </c>
      <c r="E14" s="131">
        <f>Données!X14</f>
        <v>68</v>
      </c>
      <c r="F14" s="31">
        <f>VPI!L14</f>
        <v>23167846.305768792</v>
      </c>
      <c r="G14" s="8">
        <f t="shared" si="4"/>
        <v>681407.24428731739</v>
      </c>
      <c r="H14" s="26">
        <f t="shared" si="0"/>
        <v>648971.28865859983</v>
      </c>
      <c r="I14" s="8">
        <f t="shared" si="1"/>
        <v>0</v>
      </c>
      <c r="J14" s="8">
        <f>VPI!R14</f>
        <v>388986.52146492567</v>
      </c>
      <c r="K14" s="239">
        <f t="shared" si="5"/>
        <v>503099.7048216018</v>
      </c>
      <c r="L14" s="347">
        <f t="shared" si="3"/>
        <v>503099.7048216018</v>
      </c>
      <c r="M14" s="132"/>
      <c r="N14" s="133"/>
      <c r="O14" s="130"/>
      <c r="Q14" s="134"/>
      <c r="T14" s="128"/>
    </row>
    <row r="15" spans="1:20" x14ac:dyDescent="0.25">
      <c r="A15" s="178">
        <f>Données!A15</f>
        <v>5410</v>
      </c>
      <c r="B15" s="358" t="str">
        <f>Données!B15</f>
        <v>Ormont-Dessous</v>
      </c>
      <c r="C15" s="178">
        <f>Données!AR15</f>
        <v>0</v>
      </c>
      <c r="D15" s="359">
        <f>Données!Z15</f>
        <v>1180</v>
      </c>
      <c r="E15" s="131">
        <f>Données!X15</f>
        <v>77</v>
      </c>
      <c r="F15" s="31">
        <f>VPI!L15</f>
        <v>2648858.012356244</v>
      </c>
      <c r="G15" s="8">
        <f t="shared" si="4"/>
        <v>68801.506814447901</v>
      </c>
      <c r="H15" s="26">
        <f t="shared" si="0"/>
        <v>100312.56492234056</v>
      </c>
      <c r="I15" s="8">
        <f t="shared" si="1"/>
        <v>68801.506814447901</v>
      </c>
      <c r="J15" s="8">
        <f>VPI!R15</f>
        <v>39516.146697267235</v>
      </c>
      <c r="K15" s="239">
        <f t="shared" si="5"/>
        <v>51108.613388998521</v>
      </c>
      <c r="L15" s="347">
        <f t="shared" si="3"/>
        <v>119910.12020344642</v>
      </c>
      <c r="M15" s="132"/>
      <c r="N15" s="133"/>
      <c r="O15" s="130"/>
      <c r="Q15" s="134"/>
      <c r="T15" s="128"/>
    </row>
    <row r="16" spans="1:20" s="129" customFormat="1" x14ac:dyDescent="0.25">
      <c r="A16" s="178">
        <f>Données!A16</f>
        <v>5411</v>
      </c>
      <c r="B16" s="358" t="str">
        <f>Données!B16</f>
        <v>Ormont-Dessus</v>
      </c>
      <c r="C16" s="178">
        <f>Données!AR16</f>
        <v>0</v>
      </c>
      <c r="D16" s="359">
        <f>Données!Z16</f>
        <v>1466</v>
      </c>
      <c r="E16" s="131">
        <f>Données!X16</f>
        <v>76</v>
      </c>
      <c r="F16" s="31">
        <f>VPI!L16</f>
        <v>4335545.6004926423</v>
      </c>
      <c r="G16" s="8">
        <f t="shared" si="4"/>
        <v>114093.30527612216</v>
      </c>
      <c r="H16" s="26">
        <f t="shared" si="0"/>
        <v>124625.61031877225</v>
      </c>
      <c r="I16" s="8">
        <f t="shared" si="1"/>
        <v>114093.30527612216</v>
      </c>
      <c r="J16" s="8">
        <f>VPI!R16</f>
        <v>68020.566453850552</v>
      </c>
      <c r="K16" s="239">
        <f t="shared" si="5"/>
        <v>87975.096864162246</v>
      </c>
      <c r="L16" s="347">
        <f t="shared" si="3"/>
        <v>202068.40214028442</v>
      </c>
      <c r="M16" s="132"/>
      <c r="N16" s="133"/>
      <c r="O16" s="130"/>
      <c r="P16" s="130"/>
      <c r="Q16" s="134"/>
    </row>
    <row r="17" spans="1:17" s="129" customFormat="1" x14ac:dyDescent="0.25">
      <c r="A17" s="178">
        <f>Données!A17</f>
        <v>5412</v>
      </c>
      <c r="B17" s="358" t="str">
        <f>Données!B17</f>
        <v>Rennaz</v>
      </c>
      <c r="C17" s="178">
        <f>Données!AR17</f>
        <v>0</v>
      </c>
      <c r="D17" s="359">
        <f>Données!Z17</f>
        <v>889</v>
      </c>
      <c r="E17" s="131">
        <f>Données!X17</f>
        <v>69</v>
      </c>
      <c r="F17" s="31">
        <f>VPI!L17</f>
        <v>1414989.9437713732</v>
      </c>
      <c r="G17" s="8">
        <f t="shared" si="4"/>
        <v>41014.201268735458</v>
      </c>
      <c r="H17" s="26">
        <f t="shared" si="0"/>
        <v>75574.4662847125</v>
      </c>
      <c r="I17" s="8">
        <f t="shared" si="1"/>
        <v>41014.201268735458</v>
      </c>
      <c r="J17" s="8">
        <f>VPI!R17</f>
        <v>24252.718750309756</v>
      </c>
      <c r="K17" s="239">
        <f t="shared" si="5"/>
        <v>31367.502396872533</v>
      </c>
      <c r="L17" s="347">
        <f t="shared" si="3"/>
        <v>72381.703665607987</v>
      </c>
      <c r="M17" s="132"/>
      <c r="N17" s="133"/>
      <c r="O17" s="130"/>
      <c r="P17" s="130"/>
      <c r="Q17" s="134"/>
    </row>
    <row r="18" spans="1:17" s="129" customFormat="1" x14ac:dyDescent="0.25">
      <c r="A18" s="178">
        <f>Données!A18</f>
        <v>5413</v>
      </c>
      <c r="B18" s="358" t="str">
        <f>Données!B18</f>
        <v>Roche</v>
      </c>
      <c r="C18" s="178">
        <f>Données!AR18</f>
        <v>0</v>
      </c>
      <c r="D18" s="359">
        <f>Données!Z18</f>
        <v>1868</v>
      </c>
      <c r="E18" s="131">
        <f>Données!X18</f>
        <v>68</v>
      </c>
      <c r="F18" s="31">
        <f>VPI!L18</f>
        <v>2927400.1570576672</v>
      </c>
      <c r="G18" s="8">
        <f t="shared" si="4"/>
        <v>86100.004619343148</v>
      </c>
      <c r="H18" s="26">
        <f t="shared" si="0"/>
        <v>158799.89091095945</v>
      </c>
      <c r="I18" s="8">
        <f t="shared" si="1"/>
        <v>86100.004619343148</v>
      </c>
      <c r="J18" s="8">
        <f>VPI!R18</f>
        <v>47951.627432220594</v>
      </c>
      <c r="K18" s="239">
        <f t="shared" si="5"/>
        <v>62018.728864981684</v>
      </c>
      <c r="L18" s="347">
        <f t="shared" si="3"/>
        <v>148118.73348432482</v>
      </c>
      <c r="M18" s="132"/>
      <c r="N18" s="133"/>
      <c r="O18" s="130"/>
      <c r="P18" s="130"/>
      <c r="Q18" s="134"/>
    </row>
    <row r="19" spans="1:17" s="129" customFormat="1" x14ac:dyDescent="0.25">
      <c r="A19" s="178">
        <f>Données!A19</f>
        <v>5414</v>
      </c>
      <c r="B19" s="358" t="str">
        <f>Données!B19</f>
        <v>Villeneuve</v>
      </c>
      <c r="C19" s="178">
        <f>Données!AR19</f>
        <v>0</v>
      </c>
      <c r="D19" s="359">
        <f>Données!Z19</f>
        <v>5837</v>
      </c>
      <c r="E19" s="131">
        <f>Données!X19</f>
        <v>67.5</v>
      </c>
      <c r="F19" s="31">
        <f>VPI!L19</f>
        <v>9350043.6131901164</v>
      </c>
      <c r="G19" s="8">
        <f t="shared" si="4"/>
        <v>277038.32927970716</v>
      </c>
      <c r="H19" s="26">
        <f t="shared" si="0"/>
        <v>496207.15377262869</v>
      </c>
      <c r="I19" s="8">
        <f t="shared" si="1"/>
        <v>277038.32927970716</v>
      </c>
      <c r="J19" s="8">
        <f>VPI!R19</f>
        <v>159309.32612133506</v>
      </c>
      <c r="K19" s="239">
        <f t="shared" si="5"/>
        <v>206044.34993051252</v>
      </c>
      <c r="L19" s="347">
        <f t="shared" si="3"/>
        <v>483082.67921021965</v>
      </c>
      <c r="M19" s="132"/>
      <c r="N19" s="133"/>
      <c r="O19" s="130"/>
      <c r="P19" s="130"/>
      <c r="Q19" s="134"/>
    </row>
    <row r="20" spans="1:17" s="129" customFormat="1" x14ac:dyDescent="0.25">
      <c r="A20" s="178">
        <f>Données!A20</f>
        <v>5415</v>
      </c>
      <c r="B20" s="358" t="str">
        <f>Données!B20</f>
        <v>Yvorne</v>
      </c>
      <c r="C20" s="178">
        <f>Données!AR20</f>
        <v>0</v>
      </c>
      <c r="D20" s="359">
        <f>Données!Z20</f>
        <v>1070</v>
      </c>
      <c r="E20" s="131">
        <f>Données!X20</f>
        <v>71.5</v>
      </c>
      <c r="F20" s="31">
        <f>VPI!L20</f>
        <v>2476107.0775068472</v>
      </c>
      <c r="G20" s="8">
        <f t="shared" si="4"/>
        <v>69261.736433757964</v>
      </c>
      <c r="H20" s="26">
        <f t="shared" si="0"/>
        <v>90961.393616020679</v>
      </c>
      <c r="I20" s="8">
        <f t="shared" si="1"/>
        <v>69261.736433757964</v>
      </c>
      <c r="J20" s="8">
        <f>VPI!R20</f>
        <v>38141.091526902295</v>
      </c>
      <c r="K20" s="239">
        <f t="shared" si="5"/>
        <v>49330.171689479641</v>
      </c>
      <c r="L20" s="347">
        <f t="shared" si="3"/>
        <v>118591.9081232376</v>
      </c>
      <c r="M20" s="132"/>
      <c r="N20" s="133"/>
      <c r="O20" s="130"/>
      <c r="P20" s="130"/>
      <c r="Q20" s="134"/>
    </row>
    <row r="21" spans="1:17" s="129" customFormat="1" x14ac:dyDescent="0.25">
      <c r="A21" s="178">
        <v>5422</v>
      </c>
      <c r="B21" s="358" t="s">
        <v>67</v>
      </c>
      <c r="C21" s="178">
        <f>Données!AR21</f>
        <v>0</v>
      </c>
      <c r="D21" s="359">
        <f>Données!Z21</f>
        <v>3764</v>
      </c>
      <c r="E21" s="131">
        <f>Données!X21</f>
        <v>68.92</v>
      </c>
      <c r="F21" s="31">
        <f>VPI!L21</f>
        <v>16443959.720722411</v>
      </c>
      <c r="G21" s="8">
        <f t="shared" si="4"/>
        <v>477189.77715387143</v>
      </c>
      <c r="H21" s="216">
        <f t="shared" si="0"/>
        <v>319980.07997261855</v>
      </c>
      <c r="I21" s="8">
        <f t="shared" si="1"/>
        <v>319980.07997261855</v>
      </c>
      <c r="J21" s="8">
        <f>VPI!R21</f>
        <v>257139.62131053992</v>
      </c>
      <c r="K21" s="239">
        <f t="shared" si="5"/>
        <v>332574.16501752986</v>
      </c>
      <c r="L21" s="347">
        <f t="shared" si="3"/>
        <v>652554.24499014835</v>
      </c>
      <c r="M21" s="132"/>
      <c r="N21" s="133"/>
      <c r="O21" s="130"/>
      <c r="P21" s="130"/>
      <c r="Q21" s="134"/>
    </row>
    <row r="22" spans="1:17" s="129" customFormat="1" x14ac:dyDescent="0.25">
      <c r="A22" s="178">
        <f>Données!A22</f>
        <v>5423</v>
      </c>
      <c r="B22" s="358" t="str">
        <f>Données!B22</f>
        <v>Ballens</v>
      </c>
      <c r="C22" s="178">
        <f>Données!AR22</f>
        <v>0</v>
      </c>
      <c r="D22" s="359">
        <f>Données!Z22</f>
        <v>562</v>
      </c>
      <c r="E22" s="131">
        <f>Données!X22</f>
        <v>73</v>
      </c>
      <c r="F22" s="31">
        <f>VPI!L22</f>
        <v>1163960.1779100315</v>
      </c>
      <c r="G22" s="8">
        <f t="shared" si="4"/>
        <v>31889.319942740589</v>
      </c>
      <c r="H22" s="26">
        <f t="shared" si="0"/>
        <v>47775.984310470674</v>
      </c>
      <c r="I22" s="8">
        <f t="shared" si="1"/>
        <v>31889.319942740589</v>
      </c>
      <c r="J22" s="8">
        <f>VPI!R22</f>
        <v>17113.568875479887</v>
      </c>
      <c r="K22" s="239">
        <f t="shared" si="5"/>
        <v>22134.009726798253</v>
      </c>
      <c r="L22" s="347">
        <f t="shared" si="3"/>
        <v>54023.329669538842</v>
      </c>
      <c r="M22" s="132"/>
      <c r="N22" s="133"/>
      <c r="O22" s="130"/>
      <c r="P22" s="130"/>
      <c r="Q22" s="134"/>
    </row>
    <row r="23" spans="1:17" s="129" customFormat="1" x14ac:dyDescent="0.25">
      <c r="A23" s="178">
        <f>Données!A23</f>
        <v>5424</v>
      </c>
      <c r="B23" s="358" t="str">
        <f>Données!B23</f>
        <v>Berolle</v>
      </c>
      <c r="C23" s="178">
        <f>Données!AR23</f>
        <v>0</v>
      </c>
      <c r="D23" s="359">
        <f>Données!Z23</f>
        <v>313</v>
      </c>
      <c r="E23" s="131">
        <f>Données!X23</f>
        <v>75.5</v>
      </c>
      <c r="F23" s="31">
        <f>VPI!L23</f>
        <v>636966.88062741794</v>
      </c>
      <c r="G23" s="8">
        <f t="shared" si="4"/>
        <v>16873.294851057428</v>
      </c>
      <c r="H23" s="26">
        <f t="shared" si="0"/>
        <v>26608.332898892029</v>
      </c>
      <c r="I23" s="8">
        <f t="shared" si="1"/>
        <v>16873.294851057428</v>
      </c>
      <c r="J23" s="8">
        <f>VPI!R23</f>
        <v>9114.6527235419599</v>
      </c>
      <c r="K23" s="239">
        <f t="shared" si="5"/>
        <v>11788.52952923934</v>
      </c>
      <c r="L23" s="347">
        <f t="shared" si="3"/>
        <v>28661.82438029677</v>
      </c>
      <c r="M23" s="132"/>
      <c r="N23" s="133"/>
      <c r="O23" s="130"/>
      <c r="P23" s="130"/>
      <c r="Q23" s="134"/>
    </row>
    <row r="24" spans="1:17" s="129" customFormat="1" x14ac:dyDescent="0.25">
      <c r="A24" s="178">
        <f>Données!A24</f>
        <v>5425</v>
      </c>
      <c r="B24" s="358" t="str">
        <f>Données!B24</f>
        <v>Bière</v>
      </c>
      <c r="C24" s="178">
        <f>Données!AR24</f>
        <v>0</v>
      </c>
      <c r="D24" s="359">
        <f>Données!Z24</f>
        <v>1627</v>
      </c>
      <c r="E24" s="131">
        <f>Données!X24</f>
        <v>69</v>
      </c>
      <c r="F24" s="31">
        <f>VPI!L24</f>
        <v>2574680.5470521003</v>
      </c>
      <c r="G24" s="8">
        <f t="shared" si="4"/>
        <v>74628.421653684069</v>
      </c>
      <c r="H24" s="26">
        <f t="shared" si="0"/>
        <v>138312.324685295</v>
      </c>
      <c r="I24" s="8">
        <f t="shared" si="1"/>
        <v>74628.421653684069</v>
      </c>
      <c r="J24" s="8">
        <f>VPI!R24</f>
        <v>40150.134165172873</v>
      </c>
      <c r="K24" s="239">
        <f t="shared" si="5"/>
        <v>51928.587579267944</v>
      </c>
      <c r="L24" s="347">
        <f t="shared" si="3"/>
        <v>126557.00923295201</v>
      </c>
      <c r="M24" s="132"/>
      <c r="N24" s="133"/>
      <c r="O24" s="130"/>
      <c r="P24" s="130"/>
      <c r="Q24" s="134"/>
    </row>
    <row r="25" spans="1:17" s="129" customFormat="1" x14ac:dyDescent="0.25">
      <c r="A25" s="178">
        <f>Données!A25</f>
        <v>5426</v>
      </c>
      <c r="B25" s="358" t="str">
        <f>Données!B25</f>
        <v>Bougy-Villars</v>
      </c>
      <c r="C25" s="178">
        <f>Données!AR25</f>
        <v>0</v>
      </c>
      <c r="D25" s="359">
        <f>Données!Z25</f>
        <v>477</v>
      </c>
      <c r="E25" s="131">
        <f>Données!X25</f>
        <v>64.5</v>
      </c>
      <c r="F25" s="31">
        <f>VPI!L25</f>
        <v>3343824.6862136764</v>
      </c>
      <c r="G25" s="8">
        <f t="shared" si="4"/>
        <v>103684.48639422252</v>
      </c>
      <c r="H25" s="26">
        <f t="shared" si="0"/>
        <v>40550.079210132579</v>
      </c>
      <c r="I25" s="8">
        <f t="shared" si="1"/>
        <v>40550.079210132579</v>
      </c>
      <c r="J25" s="8">
        <f>VPI!R25</f>
        <v>55602.19681468232</v>
      </c>
      <c r="K25" s="239">
        <f t="shared" si="5"/>
        <v>71913.671197529155</v>
      </c>
      <c r="L25" s="347">
        <f t="shared" si="3"/>
        <v>112463.75040766173</v>
      </c>
      <c r="M25" s="132"/>
      <c r="N25" s="133"/>
      <c r="O25" s="130"/>
      <c r="P25" s="130"/>
      <c r="Q25" s="134"/>
    </row>
    <row r="26" spans="1:17" s="129" customFormat="1" x14ac:dyDescent="0.25">
      <c r="A26" s="178">
        <f>Données!A26</f>
        <v>5427</v>
      </c>
      <c r="B26" s="358" t="str">
        <f>Données!B26</f>
        <v>Féchy</v>
      </c>
      <c r="C26" s="178">
        <f>Données!AR26</f>
        <v>0</v>
      </c>
      <c r="D26" s="359">
        <f>Données!Z26</f>
        <v>869</v>
      </c>
      <c r="E26" s="131">
        <f>Données!X26</f>
        <v>64</v>
      </c>
      <c r="F26" s="31">
        <f>VPI!L26</f>
        <v>4567057.6663843784</v>
      </c>
      <c r="G26" s="8">
        <f t="shared" si="4"/>
        <v>142720.55207451183</v>
      </c>
      <c r="H26" s="26">
        <f t="shared" si="0"/>
        <v>73874.253319927069</v>
      </c>
      <c r="I26" s="8">
        <f t="shared" si="1"/>
        <v>73874.253319927069</v>
      </c>
      <c r="J26" s="8">
        <f>VPI!R26</f>
        <v>77005.502299275147</v>
      </c>
      <c r="K26" s="239">
        <f t="shared" si="5"/>
        <v>99595.855739432765</v>
      </c>
      <c r="L26" s="347">
        <f t="shared" si="3"/>
        <v>173470.10905935982</v>
      </c>
      <c r="M26" s="132"/>
      <c r="N26" s="133"/>
      <c r="O26" s="130"/>
      <c r="P26" s="130"/>
      <c r="Q26" s="134"/>
    </row>
    <row r="27" spans="1:17" s="129" customFormat="1" x14ac:dyDescent="0.25">
      <c r="A27" s="178">
        <f>Données!A27</f>
        <v>5428</v>
      </c>
      <c r="B27" s="358" t="str">
        <f>Données!B27</f>
        <v>Gimel</v>
      </c>
      <c r="C27" s="178">
        <f>Données!AR27</f>
        <v>0</v>
      </c>
      <c r="D27" s="359">
        <f>Données!Z27</f>
        <v>2307</v>
      </c>
      <c r="E27" s="131">
        <f>Données!X27</f>
        <v>74.5</v>
      </c>
      <c r="F27" s="31">
        <f>VPI!L27</f>
        <v>4829936.5142185446</v>
      </c>
      <c r="G27" s="8">
        <f t="shared" si="4"/>
        <v>129662.72521392065</v>
      </c>
      <c r="H27" s="26">
        <f t="shared" si="0"/>
        <v>196119.56548799973</v>
      </c>
      <c r="I27" s="8">
        <f t="shared" si="1"/>
        <v>129662.72521392065</v>
      </c>
      <c r="J27" s="8">
        <f>VPI!R27</f>
        <v>70160.017528660552</v>
      </c>
      <c r="K27" s="239">
        <f t="shared" si="5"/>
        <v>90742.177842093311</v>
      </c>
      <c r="L27" s="347">
        <f t="shared" si="3"/>
        <v>220404.90305601398</v>
      </c>
      <c r="M27" s="132"/>
      <c r="N27" s="133"/>
      <c r="O27" s="130"/>
      <c r="P27" s="130"/>
      <c r="Q27" s="134"/>
    </row>
    <row r="28" spans="1:17" s="129" customFormat="1" x14ac:dyDescent="0.25">
      <c r="A28" s="178">
        <f>Données!A28</f>
        <v>5429</v>
      </c>
      <c r="B28" s="358" t="str">
        <f>Données!B28</f>
        <v>Longirod</v>
      </c>
      <c r="C28" s="178">
        <f>Données!AR28</f>
        <v>0</v>
      </c>
      <c r="D28" s="359">
        <f>Données!Z28</f>
        <v>494</v>
      </c>
      <c r="E28" s="131">
        <f>Données!X28</f>
        <v>77.5</v>
      </c>
      <c r="F28" s="31">
        <f>VPI!L28</f>
        <v>1144872.3878297857</v>
      </c>
      <c r="G28" s="8">
        <f t="shared" si="4"/>
        <v>29545.09387947834</v>
      </c>
      <c r="H28" s="26">
        <f t="shared" si="0"/>
        <v>41995.260230200198</v>
      </c>
      <c r="I28" s="8">
        <f t="shared" si="1"/>
        <v>29545.09387947834</v>
      </c>
      <c r="J28" s="8">
        <f>VPI!R28</f>
        <v>16136.097907481106</v>
      </c>
      <c r="K28" s="239">
        <f t="shared" si="5"/>
        <v>20869.787630824645</v>
      </c>
      <c r="L28" s="347">
        <f t="shared" si="3"/>
        <v>50414.881510302985</v>
      </c>
      <c r="M28" s="132"/>
      <c r="N28" s="133"/>
      <c r="O28" s="130"/>
      <c r="P28" s="130"/>
      <c r="Q28" s="134"/>
    </row>
    <row r="29" spans="1:17" s="129" customFormat="1" x14ac:dyDescent="0.25">
      <c r="A29" s="178">
        <f>Données!A29</f>
        <v>5430</v>
      </c>
      <c r="B29" s="358" t="str">
        <f>Données!B29</f>
        <v>Marchissy</v>
      </c>
      <c r="C29" s="178">
        <f>Données!AR29</f>
        <v>0</v>
      </c>
      <c r="D29" s="359">
        <f>Données!Z29</f>
        <v>481</v>
      </c>
      <c r="E29" s="131">
        <f>Données!X29</f>
        <v>77.5</v>
      </c>
      <c r="F29" s="31">
        <f>VPI!L29</f>
        <v>1055855.2</v>
      </c>
      <c r="G29" s="8">
        <f t="shared" si="4"/>
        <v>27247.876129032258</v>
      </c>
      <c r="H29" s="26">
        <f t="shared" si="0"/>
        <v>40890.121803089671</v>
      </c>
      <c r="I29" s="8">
        <f t="shared" si="1"/>
        <v>27247.876129032258</v>
      </c>
      <c r="J29" s="8">
        <f>VPI!R29</f>
        <v>14848.61677419355</v>
      </c>
      <c r="K29" s="239">
        <f t="shared" si="5"/>
        <v>19204.61070983265</v>
      </c>
      <c r="L29" s="347">
        <f t="shared" si="3"/>
        <v>46452.486838864905</v>
      </c>
      <c r="M29" s="132"/>
      <c r="N29" s="133"/>
      <c r="O29" s="130"/>
      <c r="P29" s="130"/>
      <c r="Q29" s="134"/>
    </row>
    <row r="30" spans="1:17" s="129" customFormat="1" x14ac:dyDescent="0.25">
      <c r="A30" s="178">
        <f>Données!A30</f>
        <v>5431</v>
      </c>
      <c r="B30" s="358" t="str">
        <f>Données!B30</f>
        <v>Mollens</v>
      </c>
      <c r="C30" s="178">
        <f>Données!AR30</f>
        <v>0</v>
      </c>
      <c r="D30" s="359">
        <f>Données!Z30</f>
        <v>330</v>
      </c>
      <c r="E30" s="131">
        <f>Données!X30</f>
        <v>74</v>
      </c>
      <c r="F30" s="31">
        <f>VPI!L30</f>
        <v>638531.85673070909</v>
      </c>
      <c r="G30" s="8">
        <f t="shared" si="4"/>
        <v>17257.617749478624</v>
      </c>
      <c r="H30" s="26">
        <f t="shared" si="0"/>
        <v>28053.513918959648</v>
      </c>
      <c r="I30" s="8">
        <f t="shared" si="1"/>
        <v>17257.617749478624</v>
      </c>
      <c r="J30" s="8">
        <f>VPI!R30</f>
        <v>9333.1487396041775</v>
      </c>
      <c r="K30" s="239">
        <f t="shared" si="5"/>
        <v>12071.123591294803</v>
      </c>
      <c r="L30" s="347">
        <f t="shared" si="3"/>
        <v>29328.741340773428</v>
      </c>
      <c r="M30" s="132"/>
      <c r="N30" s="133"/>
      <c r="O30" s="130"/>
      <c r="P30" s="130"/>
      <c r="Q30" s="134"/>
    </row>
    <row r="31" spans="1:17" s="129" customFormat="1" x14ac:dyDescent="0.25">
      <c r="A31" s="178">
        <f>Données!A31</f>
        <v>5434</v>
      </c>
      <c r="B31" s="358" t="str">
        <f>Données!B31</f>
        <v>Saint-George</v>
      </c>
      <c r="C31" s="178">
        <f>Données!AR31</f>
        <v>0</v>
      </c>
      <c r="D31" s="359">
        <f>Données!Z31</f>
        <v>1074</v>
      </c>
      <c r="E31" s="131">
        <f>Données!X31</f>
        <v>69.5</v>
      </c>
      <c r="F31" s="31">
        <f>VPI!L31</f>
        <v>2597577.4476482305</v>
      </c>
      <c r="G31" s="8">
        <f t="shared" si="4"/>
        <v>74750.430148150524</v>
      </c>
      <c r="H31" s="26">
        <f t="shared" si="0"/>
        <v>91301.436208977757</v>
      </c>
      <c r="I31" s="8">
        <f t="shared" si="1"/>
        <v>74750.430148150524</v>
      </c>
      <c r="J31" s="8">
        <f>VPI!R31</f>
        <v>40791.515913403804</v>
      </c>
      <c r="K31" s="239">
        <f t="shared" si="5"/>
        <v>52758.125237790744</v>
      </c>
      <c r="L31" s="347">
        <f t="shared" si="3"/>
        <v>127508.55538594126</v>
      </c>
      <c r="M31" s="132"/>
      <c r="N31" s="133"/>
      <c r="O31" s="130"/>
      <c r="P31" s="130"/>
      <c r="Q31" s="134"/>
    </row>
    <row r="32" spans="1:17" s="129" customFormat="1" x14ac:dyDescent="0.25">
      <c r="A32" s="178">
        <f>Données!A32</f>
        <v>5435</v>
      </c>
      <c r="B32" s="358" t="str">
        <f>Données!B32</f>
        <v>Saint-Livres</v>
      </c>
      <c r="C32" s="178">
        <f>Données!AR32</f>
        <v>0</v>
      </c>
      <c r="D32" s="359">
        <f>Données!Z32</f>
        <v>683</v>
      </c>
      <c r="E32" s="131">
        <f>Données!X32</f>
        <v>69</v>
      </c>
      <c r="F32" s="31">
        <f>VPI!L32</f>
        <v>1691452.0966224433</v>
      </c>
      <c r="G32" s="8">
        <f t="shared" si="4"/>
        <v>49027.597003549083</v>
      </c>
      <c r="H32" s="26">
        <f t="shared" si="0"/>
        <v>58062.272747422547</v>
      </c>
      <c r="I32" s="8">
        <f t="shared" si="1"/>
        <v>49027.597003549083</v>
      </c>
      <c r="J32" s="8">
        <f>VPI!R32</f>
        <v>26337.98545829628</v>
      </c>
      <c r="K32" s="239">
        <f t="shared" si="5"/>
        <v>34064.503468558585</v>
      </c>
      <c r="L32" s="347">
        <f t="shared" si="3"/>
        <v>83092.100472107675</v>
      </c>
      <c r="M32" s="132"/>
      <c r="N32" s="133"/>
      <c r="O32" s="130"/>
      <c r="P32" s="130"/>
      <c r="Q32" s="134"/>
    </row>
    <row r="33" spans="1:17" s="129" customFormat="1" x14ac:dyDescent="0.25">
      <c r="A33" s="178">
        <f>Données!A33</f>
        <v>5436</v>
      </c>
      <c r="B33" s="358" t="str">
        <f>Données!B33</f>
        <v>Saint-Oyens</v>
      </c>
      <c r="C33" s="178">
        <f>Données!AR33</f>
        <v>0</v>
      </c>
      <c r="D33" s="359">
        <f>Données!Z33</f>
        <v>461</v>
      </c>
      <c r="E33" s="131">
        <f>Données!X33</f>
        <v>81</v>
      </c>
      <c r="F33" s="31">
        <f>VPI!L33</f>
        <v>1269702.4098249795</v>
      </c>
      <c r="G33" s="8">
        <f t="shared" si="4"/>
        <v>31350.676785801963</v>
      </c>
      <c r="H33" s="26">
        <f t="shared" si="0"/>
        <v>39189.908838304233</v>
      </c>
      <c r="I33" s="8">
        <f t="shared" si="1"/>
        <v>31350.676785801963</v>
      </c>
      <c r="J33" s="8">
        <f>VPI!R33</f>
        <v>16753.686386728143</v>
      </c>
      <c r="K33" s="239">
        <f t="shared" si="5"/>
        <v>21668.552021015534</v>
      </c>
      <c r="L33" s="347">
        <f t="shared" si="3"/>
        <v>53019.228806817497</v>
      </c>
      <c r="M33" s="132"/>
      <c r="N33" s="133"/>
      <c r="O33" s="130"/>
      <c r="P33" s="130"/>
      <c r="Q33" s="134"/>
    </row>
    <row r="34" spans="1:17" s="129" customFormat="1" x14ac:dyDescent="0.25">
      <c r="A34" s="178">
        <f>Données!A34</f>
        <v>5437</v>
      </c>
      <c r="B34" s="358" t="str">
        <f>Données!B34</f>
        <v>Saubraz</v>
      </c>
      <c r="C34" s="178">
        <f>Données!AR34</f>
        <v>0</v>
      </c>
      <c r="D34" s="359">
        <f>Données!Z34</f>
        <v>423</v>
      </c>
      <c r="E34" s="131">
        <f>Données!X34</f>
        <v>80</v>
      </c>
      <c r="F34" s="31">
        <f>VPI!L34</f>
        <v>1000516.7454832799</v>
      </c>
      <c r="G34" s="8">
        <f t="shared" si="4"/>
        <v>25012.918637081999</v>
      </c>
      <c r="H34" s="26">
        <f t="shared" si="0"/>
        <v>35959.50420521191</v>
      </c>
      <c r="I34" s="8">
        <f t="shared" si="1"/>
        <v>25012.918637081999</v>
      </c>
      <c r="J34" s="8">
        <f>VPI!R34</f>
        <v>13378.426818540998</v>
      </c>
      <c r="K34" s="239">
        <f t="shared" si="5"/>
        <v>17303.125460588159</v>
      </c>
      <c r="L34" s="347">
        <f t="shared" si="3"/>
        <v>42316.044097670157</v>
      </c>
      <c r="M34" s="132"/>
      <c r="N34" s="133"/>
      <c r="O34" s="130"/>
      <c r="P34" s="130"/>
      <c r="Q34" s="134"/>
    </row>
    <row r="35" spans="1:17" s="129" customFormat="1" x14ac:dyDescent="0.25">
      <c r="A35" s="178">
        <f>Données!A35</f>
        <v>5451</v>
      </c>
      <c r="B35" s="358" t="str">
        <f>Données!B35</f>
        <v>Avenches</v>
      </c>
      <c r="C35" s="178">
        <f>Données!AR35</f>
        <v>0</v>
      </c>
      <c r="D35" s="359">
        <f>Données!Z35</f>
        <v>4482</v>
      </c>
      <c r="E35" s="131">
        <f>Données!X35</f>
        <v>66.5</v>
      </c>
      <c r="F35" s="31">
        <f>VPI!L35</f>
        <v>7429428.8165645981</v>
      </c>
      <c r="G35" s="8">
        <f t="shared" si="4"/>
        <v>223441.46816735633</v>
      </c>
      <c r="H35" s="26">
        <f t="shared" si="0"/>
        <v>381017.7254084156</v>
      </c>
      <c r="I35" s="8">
        <f t="shared" si="1"/>
        <v>223441.46816735633</v>
      </c>
      <c r="J35" s="8">
        <f>VPI!R35</f>
        <v>128992.08671525712</v>
      </c>
      <c r="K35" s="239">
        <f t="shared" si="5"/>
        <v>166833.23757946683</v>
      </c>
      <c r="L35" s="347">
        <f t="shared" si="3"/>
        <v>390274.70574682317</v>
      </c>
      <c r="M35" s="132"/>
      <c r="N35" s="133"/>
      <c r="O35" s="130"/>
      <c r="P35" s="130"/>
      <c r="Q35" s="134"/>
    </row>
    <row r="36" spans="1:17" s="129" customFormat="1" x14ac:dyDescent="0.25">
      <c r="A36" s="178">
        <f>Données!A36</f>
        <v>5456</v>
      </c>
      <c r="B36" s="358" t="str">
        <f>Données!B36</f>
        <v>Cudrefin</v>
      </c>
      <c r="C36" s="178">
        <f>Données!AR36</f>
        <v>0</v>
      </c>
      <c r="D36" s="359">
        <f>Données!Z36</f>
        <v>1780</v>
      </c>
      <c r="E36" s="131">
        <f>Données!X36</f>
        <v>59</v>
      </c>
      <c r="F36" s="31">
        <f>VPI!L36</f>
        <v>3454231.0395589066</v>
      </c>
      <c r="G36" s="8">
        <f t="shared" si="4"/>
        <v>117092.57761216632</v>
      </c>
      <c r="H36" s="26">
        <f t="shared" si="0"/>
        <v>151318.95386590355</v>
      </c>
      <c r="I36" s="8">
        <f t="shared" si="1"/>
        <v>117092.57761216632</v>
      </c>
      <c r="J36" s="8">
        <f>VPI!R36</f>
        <v>64212.312252410848</v>
      </c>
      <c r="K36" s="239">
        <f t="shared" si="5"/>
        <v>83049.65225643001</v>
      </c>
      <c r="L36" s="347">
        <f t="shared" si="3"/>
        <v>200142.22986859633</v>
      </c>
      <c r="M36" s="132"/>
      <c r="N36" s="133"/>
      <c r="O36" s="130"/>
      <c r="P36" s="130"/>
      <c r="Q36" s="134"/>
    </row>
    <row r="37" spans="1:17" s="129" customFormat="1" x14ac:dyDescent="0.25">
      <c r="A37" s="178">
        <f>Données!A37</f>
        <v>5458</v>
      </c>
      <c r="B37" s="358" t="str">
        <f>Données!B37</f>
        <v>Faoug</v>
      </c>
      <c r="C37" s="178">
        <f>Données!AR37</f>
        <v>0</v>
      </c>
      <c r="D37" s="359">
        <f>Données!Z37</f>
        <v>881</v>
      </c>
      <c r="E37" s="131">
        <f>Données!X37</f>
        <v>66</v>
      </c>
      <c r="F37" s="31">
        <f>VPI!L37</f>
        <v>1898456.8550361439</v>
      </c>
      <c r="G37" s="8">
        <f t="shared" si="4"/>
        <v>57528.995607155877</v>
      </c>
      <c r="H37" s="26">
        <f t="shared" si="0"/>
        <v>74894.381098798331</v>
      </c>
      <c r="I37" s="8">
        <f t="shared" si="1"/>
        <v>57528.995607155877</v>
      </c>
      <c r="J37" s="8">
        <f>VPI!R37</f>
        <v>32193.574318729454</v>
      </c>
      <c r="K37" s="239">
        <f t="shared" si="5"/>
        <v>41637.889343591327</v>
      </c>
      <c r="L37" s="347">
        <f t="shared" si="3"/>
        <v>99166.884950747204</v>
      </c>
      <c r="M37" s="132"/>
      <c r="N37" s="133"/>
      <c r="O37" s="130"/>
      <c r="P37" s="130"/>
      <c r="Q37" s="134"/>
    </row>
    <row r="38" spans="1:17" s="129" customFormat="1" x14ac:dyDescent="0.25">
      <c r="A38" s="178">
        <f>Données!A38</f>
        <v>5464</v>
      </c>
      <c r="B38" s="358" t="str">
        <f>Données!B38</f>
        <v>Vully-les-Lacs</v>
      </c>
      <c r="C38" s="178">
        <f>Données!AR38</f>
        <v>0</v>
      </c>
      <c r="D38" s="359">
        <f>Données!Z38</f>
        <v>3360</v>
      </c>
      <c r="E38" s="131">
        <f>Données!X38</f>
        <v>67</v>
      </c>
      <c r="F38" s="31">
        <f>VPI!L38</f>
        <v>6778526.7025631946</v>
      </c>
      <c r="G38" s="8">
        <f t="shared" si="4"/>
        <v>202344.08067352819</v>
      </c>
      <c r="H38" s="26">
        <f t="shared" si="0"/>
        <v>285635.77808395278</v>
      </c>
      <c r="I38" s="8">
        <f t="shared" si="1"/>
        <v>202344.08067352819</v>
      </c>
      <c r="J38" s="8">
        <f>VPI!R38</f>
        <v>111582.51347109246</v>
      </c>
      <c r="K38" s="239">
        <f t="shared" si="5"/>
        <v>144316.38756825365</v>
      </c>
      <c r="L38" s="347">
        <f t="shared" si="3"/>
        <v>346660.46824178181</v>
      </c>
      <c r="M38" s="132"/>
      <c r="N38" s="133"/>
      <c r="O38" s="130"/>
      <c r="P38" s="130"/>
      <c r="Q38" s="134"/>
    </row>
    <row r="39" spans="1:17" s="129" customFormat="1" x14ac:dyDescent="0.25">
      <c r="A39" s="178">
        <f>Données!A39</f>
        <v>5471</v>
      </c>
      <c r="B39" s="358" t="str">
        <f>Données!B39</f>
        <v>Bettens</v>
      </c>
      <c r="C39" s="178">
        <f>Données!AR39</f>
        <v>0</v>
      </c>
      <c r="D39" s="359">
        <f>Données!Z39</f>
        <v>636</v>
      </c>
      <c r="E39" s="131">
        <f>Données!X39</f>
        <v>70</v>
      </c>
      <c r="F39" s="31">
        <f>VPI!L39</f>
        <v>1290843.7568049747</v>
      </c>
      <c r="G39" s="8">
        <f t="shared" si="4"/>
        <v>36881.250194427848</v>
      </c>
      <c r="H39" s="26">
        <f t="shared" si="0"/>
        <v>54066.772280176774</v>
      </c>
      <c r="I39" s="8">
        <f t="shared" si="1"/>
        <v>36881.250194427848</v>
      </c>
      <c r="J39" s="8">
        <f>VPI!R39</f>
        <v>20380.173113086941</v>
      </c>
      <c r="K39" s="239">
        <f t="shared" si="5"/>
        <v>26358.905801654382</v>
      </c>
      <c r="L39" s="347">
        <f t="shared" si="3"/>
        <v>63240.155996082234</v>
      </c>
      <c r="M39" s="132"/>
      <c r="N39" s="133"/>
      <c r="O39" s="130"/>
      <c r="P39" s="130"/>
      <c r="Q39" s="134"/>
    </row>
    <row r="40" spans="1:17" s="129" customFormat="1" x14ac:dyDescent="0.25">
      <c r="A40" s="178">
        <f>Données!A40</f>
        <v>5472</v>
      </c>
      <c r="B40" s="358" t="str">
        <f>Données!B40</f>
        <v>Bournens</v>
      </c>
      <c r="C40" s="178">
        <f>Données!AR40</f>
        <v>0</v>
      </c>
      <c r="D40" s="359">
        <f>Données!Z40</f>
        <v>490</v>
      </c>
      <c r="E40" s="131">
        <f>Données!X40</f>
        <v>72</v>
      </c>
      <c r="F40" s="31">
        <f>VPI!L40</f>
        <v>1357314.5845669934</v>
      </c>
      <c r="G40" s="8">
        <f t="shared" si="4"/>
        <v>37703.182904638707</v>
      </c>
      <c r="H40" s="26">
        <f t="shared" si="0"/>
        <v>41655.217637243113</v>
      </c>
      <c r="I40" s="8">
        <f t="shared" si="1"/>
        <v>37703.182904638707</v>
      </c>
      <c r="J40" s="8">
        <f>VPI!R40</f>
        <v>20138.784507874909</v>
      </c>
      <c r="K40" s="239">
        <f t="shared" si="5"/>
        <v>26046.703374762779</v>
      </c>
      <c r="L40" s="347">
        <f t="shared" si="3"/>
        <v>63749.886279401486</v>
      </c>
      <c r="M40" s="132"/>
      <c r="N40" s="133"/>
      <c r="O40" s="130"/>
      <c r="P40" s="130"/>
      <c r="Q40" s="134"/>
    </row>
    <row r="41" spans="1:17" s="129" customFormat="1" x14ac:dyDescent="0.25">
      <c r="A41" s="178">
        <f>Données!A41</f>
        <v>5473</v>
      </c>
      <c r="B41" s="358" t="str">
        <f>Données!B41</f>
        <v>Boussens</v>
      </c>
      <c r="C41" s="178">
        <f>Données!AR41</f>
        <v>0</v>
      </c>
      <c r="D41" s="359">
        <f>Données!Z41</f>
        <v>999</v>
      </c>
      <c r="E41" s="131">
        <f>Données!X41</f>
        <v>67.5</v>
      </c>
      <c r="F41" s="31">
        <f>VPI!L41</f>
        <v>2356729.2636400182</v>
      </c>
      <c r="G41" s="8">
        <f t="shared" si="4"/>
        <v>69829.015218963497</v>
      </c>
      <c r="H41" s="26">
        <f t="shared" si="0"/>
        <v>84925.637591032384</v>
      </c>
      <c r="I41" s="8">
        <f t="shared" si="1"/>
        <v>69829.015218963497</v>
      </c>
      <c r="J41" s="8">
        <f>VPI!R41</f>
        <v>37766.597979852122</v>
      </c>
      <c r="K41" s="239">
        <f t="shared" si="5"/>
        <v>48845.8166216768</v>
      </c>
      <c r="L41" s="347">
        <f t="shared" si="3"/>
        <v>118674.8318406403</v>
      </c>
      <c r="M41" s="132"/>
      <c r="N41" s="133"/>
      <c r="O41" s="130"/>
      <c r="P41" s="130"/>
      <c r="Q41" s="134"/>
    </row>
    <row r="42" spans="1:17" s="129" customFormat="1" x14ac:dyDescent="0.25">
      <c r="A42" s="178">
        <f>Données!A42</f>
        <v>5474</v>
      </c>
      <c r="B42" s="358" t="str">
        <f>Données!B42</f>
        <v>La Chaux (Cossonay)</v>
      </c>
      <c r="C42" s="178">
        <f>Données!AR42</f>
        <v>0</v>
      </c>
      <c r="D42" s="359">
        <f>Données!Z42</f>
        <v>391</v>
      </c>
      <c r="E42" s="131">
        <f>Données!X42</f>
        <v>77</v>
      </c>
      <c r="F42" s="31">
        <f>VPI!L42</f>
        <v>942933.03893700859</v>
      </c>
      <c r="G42" s="8">
        <f t="shared" si="4"/>
        <v>24491.767245117106</v>
      </c>
      <c r="H42" s="26">
        <f t="shared" si="0"/>
        <v>33239.163461555218</v>
      </c>
      <c r="I42" s="8">
        <f t="shared" si="1"/>
        <v>24491.767245117106</v>
      </c>
      <c r="J42" s="8">
        <f>VPI!R42</f>
        <v>13181.653644203574</v>
      </c>
      <c r="K42" s="239">
        <f t="shared" si="5"/>
        <v>17048.626858546253</v>
      </c>
      <c r="L42" s="347">
        <f t="shared" si="3"/>
        <v>41540.394103663362</v>
      </c>
      <c r="M42" s="132"/>
      <c r="N42" s="133"/>
      <c r="O42" s="130"/>
      <c r="P42" s="130"/>
      <c r="Q42" s="134"/>
    </row>
    <row r="43" spans="1:17" s="129" customFormat="1" x14ac:dyDescent="0.25">
      <c r="A43" s="178">
        <f>Données!A43</f>
        <v>5475</v>
      </c>
      <c r="B43" s="358" t="str">
        <f>Données!B43</f>
        <v>Chavannes-le-Veyron</v>
      </c>
      <c r="C43" s="178">
        <f>Données!AR43</f>
        <v>0</v>
      </c>
      <c r="D43" s="359">
        <f>Données!Z43</f>
        <v>152</v>
      </c>
      <c r="E43" s="131">
        <f>Données!X43</f>
        <v>77</v>
      </c>
      <c r="F43" s="31">
        <f>VPI!L43</f>
        <v>275551.50376188214</v>
      </c>
      <c r="G43" s="8">
        <f t="shared" si="4"/>
        <v>7157.181915893043</v>
      </c>
      <c r="H43" s="26">
        <f t="shared" si="0"/>
        <v>12921.618532369292</v>
      </c>
      <c r="I43" s="8">
        <f t="shared" si="1"/>
        <v>7157.181915893043</v>
      </c>
      <c r="J43" s="8">
        <f>VPI!R43</f>
        <v>3874.542905998469</v>
      </c>
      <c r="K43" s="239">
        <f t="shared" si="5"/>
        <v>5011.1797832620396</v>
      </c>
      <c r="L43" s="347">
        <f t="shared" si="3"/>
        <v>12168.361699155083</v>
      </c>
      <c r="M43" s="132"/>
      <c r="N43" s="133"/>
      <c r="O43" s="130"/>
      <c r="P43" s="130"/>
      <c r="Q43" s="134"/>
    </row>
    <row r="44" spans="1:17" s="129" customFormat="1" x14ac:dyDescent="0.25">
      <c r="A44" s="178">
        <f>Données!A44</f>
        <v>5476</v>
      </c>
      <c r="B44" s="358" t="str">
        <f>Données!B44</f>
        <v>Chevilly</v>
      </c>
      <c r="C44" s="178">
        <f>Données!AR44</f>
        <v>0</v>
      </c>
      <c r="D44" s="359">
        <f>Données!Z44</f>
        <v>317</v>
      </c>
      <c r="E44" s="131">
        <f>Données!X44</f>
        <v>74</v>
      </c>
      <c r="F44" s="31">
        <f>VPI!L44</f>
        <v>815215.86</v>
      </c>
      <c r="G44" s="8">
        <f t="shared" si="4"/>
        <v>22032.861081081082</v>
      </c>
      <c r="H44" s="26">
        <f t="shared" si="0"/>
        <v>26948.375491849118</v>
      </c>
      <c r="I44" s="8">
        <f t="shared" si="1"/>
        <v>22032.861081081082</v>
      </c>
      <c r="J44" s="8">
        <f>VPI!R44</f>
        <v>11841.851486486486</v>
      </c>
      <c r="K44" s="239">
        <f t="shared" si="5"/>
        <v>15315.780004294542</v>
      </c>
      <c r="L44" s="347">
        <f t="shared" si="3"/>
        <v>37348.641085375624</v>
      </c>
      <c r="M44" s="132"/>
      <c r="N44" s="133"/>
      <c r="O44" s="130"/>
      <c r="P44" s="130"/>
      <c r="Q44" s="134"/>
    </row>
    <row r="45" spans="1:17" s="129" customFormat="1" x14ac:dyDescent="0.25">
      <c r="A45" s="178">
        <f>Données!A45</f>
        <v>5477</v>
      </c>
      <c r="B45" s="358" t="str">
        <f>Données!B45</f>
        <v>Cossonay</v>
      </c>
      <c r="C45" s="178">
        <f>Données!AR45</f>
        <v>0</v>
      </c>
      <c r="D45" s="359">
        <f>Données!Z45</f>
        <v>4222</v>
      </c>
      <c r="E45" s="131">
        <f>Données!X45</f>
        <v>69.5</v>
      </c>
      <c r="F45" s="31">
        <f>VPI!L45</f>
        <v>7506526.9303919403</v>
      </c>
      <c r="G45" s="8">
        <f t="shared" si="4"/>
        <v>216015.16346451626</v>
      </c>
      <c r="H45" s="26">
        <f t="shared" si="0"/>
        <v>358914.95686620497</v>
      </c>
      <c r="I45" s="8">
        <f t="shared" si="1"/>
        <v>216015.16346451626</v>
      </c>
      <c r="J45" s="8">
        <f>VPI!R45</f>
        <v>119044.37813513582</v>
      </c>
      <c r="K45" s="239">
        <f t="shared" si="5"/>
        <v>153967.26671892736</v>
      </c>
      <c r="L45" s="347">
        <f t="shared" si="3"/>
        <v>369982.43018344359</v>
      </c>
      <c r="M45" s="132"/>
      <c r="N45" s="133"/>
      <c r="O45" s="130"/>
      <c r="P45" s="130"/>
      <c r="Q45" s="134"/>
    </row>
    <row r="46" spans="1:17" s="129" customFormat="1" x14ac:dyDescent="0.25">
      <c r="A46" s="178">
        <f>Données!A46</f>
        <v>5479</v>
      </c>
      <c r="B46" s="358" t="str">
        <f>Données!B46</f>
        <v>Cuarnens</v>
      </c>
      <c r="C46" s="178">
        <f>Données!AR46</f>
        <v>0</v>
      </c>
      <c r="D46" s="359">
        <f>Données!Z46</f>
        <v>527</v>
      </c>
      <c r="E46" s="131">
        <f>Données!X46</f>
        <v>77</v>
      </c>
      <c r="F46" s="31">
        <f>VPI!L46</f>
        <v>1303234.7327374129</v>
      </c>
      <c r="G46" s="8">
        <f t="shared" si="4"/>
        <v>33850.252798374364</v>
      </c>
      <c r="H46" s="26">
        <f t="shared" si="0"/>
        <v>44800.611622096163</v>
      </c>
      <c r="I46" s="8">
        <f t="shared" si="1"/>
        <v>33850.252798374364</v>
      </c>
      <c r="J46" s="8">
        <f>VPI!R46</f>
        <v>18064.580944641726</v>
      </c>
      <c r="K46" s="239">
        <f t="shared" si="5"/>
        <v>23364.01093474562</v>
      </c>
      <c r="L46" s="347">
        <f t="shared" si="3"/>
        <v>57214.26373311998</v>
      </c>
      <c r="M46" s="132"/>
      <c r="N46" s="133"/>
      <c r="O46" s="130"/>
      <c r="P46" s="130"/>
      <c r="Q46" s="134"/>
    </row>
    <row r="47" spans="1:17" s="129" customFormat="1" x14ac:dyDescent="0.25">
      <c r="A47" s="178">
        <f>Données!A47</f>
        <v>5480</v>
      </c>
      <c r="B47" s="358" t="str">
        <f>Données!B47</f>
        <v>Daillens</v>
      </c>
      <c r="C47" s="178">
        <f>Données!AR47</f>
        <v>0</v>
      </c>
      <c r="D47" s="359">
        <f>Données!Z47</f>
        <v>1048</v>
      </c>
      <c r="E47" s="131">
        <f>Données!X47</f>
        <v>66</v>
      </c>
      <c r="F47" s="31">
        <f>VPI!L47</f>
        <v>2385641.1702794498</v>
      </c>
      <c r="G47" s="8">
        <f t="shared" si="4"/>
        <v>72292.156675134844</v>
      </c>
      <c r="H47" s="26">
        <f t="shared" si="0"/>
        <v>89091.159354756703</v>
      </c>
      <c r="I47" s="8">
        <f t="shared" si="1"/>
        <v>72292.156675134844</v>
      </c>
      <c r="J47" s="8">
        <f>VPI!R47</f>
        <v>40967.735913324992</v>
      </c>
      <c r="K47" s="239">
        <f t="shared" si="5"/>
        <v>52986.041181022229</v>
      </c>
      <c r="L47" s="347">
        <f t="shared" si="3"/>
        <v>125278.19785615707</v>
      </c>
      <c r="M47" s="132"/>
      <c r="N47" s="133"/>
      <c r="O47" s="130"/>
      <c r="P47" s="130"/>
      <c r="Q47" s="134"/>
    </row>
    <row r="48" spans="1:17" s="129" customFormat="1" x14ac:dyDescent="0.25">
      <c r="A48" s="178">
        <f>Données!A48</f>
        <v>5481</v>
      </c>
      <c r="B48" s="358" t="str">
        <f>Données!B48</f>
        <v>Dizy</v>
      </c>
      <c r="C48" s="178">
        <f>Données!AR48</f>
        <v>0</v>
      </c>
      <c r="D48" s="359">
        <f>Données!Z48</f>
        <v>224</v>
      </c>
      <c r="E48" s="131">
        <f>Données!X48</f>
        <v>75</v>
      </c>
      <c r="F48" s="31">
        <f>VPI!L48</f>
        <v>568823.79673684458</v>
      </c>
      <c r="G48" s="8">
        <f t="shared" si="4"/>
        <v>15168.63457964919</v>
      </c>
      <c r="H48" s="26">
        <f t="shared" si="0"/>
        <v>19042.385205596853</v>
      </c>
      <c r="I48" s="8">
        <f t="shared" si="1"/>
        <v>15168.63457964919</v>
      </c>
      <c r="J48" s="8">
        <f>VPI!R48</f>
        <v>8106.5312898245948</v>
      </c>
      <c r="K48" s="239">
        <f t="shared" si="5"/>
        <v>10484.665339247687</v>
      </c>
      <c r="L48" s="347">
        <f t="shared" si="3"/>
        <v>25653.299918896875</v>
      </c>
      <c r="M48" s="132"/>
      <c r="N48" s="133"/>
      <c r="O48" s="130"/>
      <c r="P48" s="130"/>
      <c r="Q48" s="134"/>
    </row>
    <row r="49" spans="1:17" s="129" customFormat="1" x14ac:dyDescent="0.25">
      <c r="A49" s="178">
        <f>Données!A49</f>
        <v>5482</v>
      </c>
      <c r="B49" s="358" t="str">
        <f>Données!B49</f>
        <v>Eclépens</v>
      </c>
      <c r="C49" s="178">
        <f>Données!AR49</f>
        <v>0</v>
      </c>
      <c r="D49" s="359">
        <f>Données!Z49</f>
        <v>1220</v>
      </c>
      <c r="E49" s="131">
        <f>Données!X49</f>
        <v>46</v>
      </c>
      <c r="F49" s="31">
        <f>VPI!L49</f>
        <v>2771831.0884192162</v>
      </c>
      <c r="G49" s="8">
        <f t="shared" si="4"/>
        <v>120514.39514866157</v>
      </c>
      <c r="H49" s="26">
        <f t="shared" si="0"/>
        <v>103712.99085191143</v>
      </c>
      <c r="I49" s="8">
        <f t="shared" si="1"/>
        <v>103712.99085191143</v>
      </c>
      <c r="J49" s="8">
        <f>VPI!R49</f>
        <v>70435.439965635131</v>
      </c>
      <c r="K49" s="239">
        <f t="shared" si="5"/>
        <v>91098.39827415692</v>
      </c>
      <c r="L49" s="347">
        <f t="shared" si="3"/>
        <v>194811.38912606833</v>
      </c>
      <c r="M49" s="132"/>
      <c r="N49" s="133"/>
      <c r="O49" s="130"/>
      <c r="P49" s="130"/>
      <c r="Q49" s="134"/>
    </row>
    <row r="50" spans="1:17" s="129" customFormat="1" x14ac:dyDescent="0.25">
      <c r="A50" s="178">
        <f>Données!A50</f>
        <v>5483</v>
      </c>
      <c r="B50" s="358" t="str">
        <f>Données!B50</f>
        <v>Ferreyres</v>
      </c>
      <c r="C50" s="178">
        <f>Données!AR50</f>
        <v>0</v>
      </c>
      <c r="D50" s="359">
        <f>Données!Z50</f>
        <v>319</v>
      </c>
      <c r="E50" s="131">
        <f>Données!X50</f>
        <v>76</v>
      </c>
      <c r="F50" s="31">
        <f>VPI!L50</f>
        <v>764567.88871236425</v>
      </c>
      <c r="G50" s="8">
        <f t="shared" si="4"/>
        <v>20120.207597693796</v>
      </c>
      <c r="H50" s="26">
        <f t="shared" si="0"/>
        <v>27118.39678832766</v>
      </c>
      <c r="I50" s="8">
        <f t="shared" si="1"/>
        <v>20120.207597693796</v>
      </c>
      <c r="J50" s="8">
        <f>VPI!R50</f>
        <v>10817.678140952161</v>
      </c>
      <c r="K50" s="239">
        <f t="shared" si="5"/>
        <v>13991.154909615183</v>
      </c>
      <c r="L50" s="347">
        <f t="shared" si="3"/>
        <v>34111.362507308979</v>
      </c>
      <c r="M50" s="132"/>
      <c r="N50" s="133"/>
      <c r="O50" s="130"/>
      <c r="P50" s="130"/>
      <c r="Q50" s="134"/>
    </row>
    <row r="51" spans="1:17" s="129" customFormat="1" x14ac:dyDescent="0.25">
      <c r="A51" s="178">
        <f>Données!A51</f>
        <v>5484</v>
      </c>
      <c r="B51" s="358" t="str">
        <f>Données!B51</f>
        <v>Gollion</v>
      </c>
      <c r="C51" s="178">
        <f>Données!AR51</f>
        <v>0</v>
      </c>
      <c r="D51" s="359">
        <f>Données!Z51</f>
        <v>996</v>
      </c>
      <c r="E51" s="131">
        <f>Données!X51</f>
        <v>74</v>
      </c>
      <c r="F51" s="31">
        <f>VPI!L51</f>
        <v>2396427.5723754484</v>
      </c>
      <c r="G51" s="8">
        <f t="shared" si="4"/>
        <v>64768.312766904011</v>
      </c>
      <c r="H51" s="26">
        <f t="shared" si="0"/>
        <v>84670.60564631458</v>
      </c>
      <c r="I51" s="8">
        <f t="shared" si="1"/>
        <v>64768.312766904011</v>
      </c>
      <c r="J51" s="8">
        <f>VPI!R51</f>
        <v>34968.588815884439</v>
      </c>
      <c r="K51" s="239">
        <f t="shared" si="5"/>
        <v>45226.982788620182</v>
      </c>
      <c r="L51" s="347">
        <f t="shared" si="3"/>
        <v>109995.29555552419</v>
      </c>
      <c r="M51" s="132"/>
      <c r="N51" s="133"/>
      <c r="O51" s="130"/>
      <c r="P51" s="130"/>
      <c r="Q51" s="134"/>
    </row>
    <row r="52" spans="1:17" s="129" customFormat="1" x14ac:dyDescent="0.25">
      <c r="A52" s="178">
        <f>Données!A52</f>
        <v>5485</v>
      </c>
      <c r="B52" s="358" t="str">
        <f>Données!B52</f>
        <v>Grancy</v>
      </c>
      <c r="C52" s="178">
        <f>Données!AR52</f>
        <v>0</v>
      </c>
      <c r="D52" s="359">
        <f>Données!Z52</f>
        <v>406</v>
      </c>
      <c r="E52" s="131">
        <f>Données!X52</f>
        <v>70</v>
      </c>
      <c r="F52" s="31">
        <f>VPI!L52</f>
        <v>941168.43637602974</v>
      </c>
      <c r="G52" s="8">
        <f t="shared" si="4"/>
        <v>26890.52675360085</v>
      </c>
      <c r="H52" s="26">
        <f t="shared" si="0"/>
        <v>34514.323185144291</v>
      </c>
      <c r="I52" s="8">
        <f t="shared" si="1"/>
        <v>26890.52675360085</v>
      </c>
      <c r="J52" s="8">
        <f>VPI!R52</f>
        <v>14538.346948228997</v>
      </c>
      <c r="K52" s="239">
        <f t="shared" si="5"/>
        <v>18803.320050017614</v>
      </c>
      <c r="L52" s="347">
        <f t="shared" si="3"/>
        <v>45693.846803618464</v>
      </c>
      <c r="M52" s="132"/>
      <c r="N52" s="133"/>
      <c r="O52" s="130"/>
      <c r="P52" s="130"/>
      <c r="Q52" s="134"/>
    </row>
    <row r="53" spans="1:17" s="129" customFormat="1" x14ac:dyDescent="0.25">
      <c r="A53" s="178">
        <f>Données!A53</f>
        <v>5486</v>
      </c>
      <c r="B53" s="358" t="str">
        <f>Données!B53</f>
        <v>L'Isle</v>
      </c>
      <c r="C53" s="178">
        <f>Données!AR53</f>
        <v>0</v>
      </c>
      <c r="D53" s="359">
        <f>Données!Z53</f>
        <v>1065</v>
      </c>
      <c r="E53" s="131">
        <f>Données!X53</f>
        <v>75</v>
      </c>
      <c r="F53" s="31">
        <f>VPI!L53</f>
        <v>2606383.4546627807</v>
      </c>
      <c r="G53" s="8">
        <f t="shared" si="4"/>
        <v>69503.558791007483</v>
      </c>
      <c r="H53" s="26">
        <f t="shared" si="0"/>
        <v>90536.340374824314</v>
      </c>
      <c r="I53" s="8">
        <f t="shared" si="1"/>
        <v>69503.558791007483</v>
      </c>
      <c r="J53" s="8">
        <f>VPI!R53</f>
        <v>37453.794062170404</v>
      </c>
      <c r="K53" s="239">
        <f t="shared" si="5"/>
        <v>48441.248468363796</v>
      </c>
      <c r="L53" s="347">
        <f t="shared" si="3"/>
        <v>117944.80725937127</v>
      </c>
      <c r="M53" s="132"/>
      <c r="N53" s="133"/>
      <c r="O53" s="130"/>
      <c r="P53" s="130"/>
      <c r="Q53" s="134"/>
    </row>
    <row r="54" spans="1:17" s="129" customFormat="1" x14ac:dyDescent="0.25">
      <c r="A54" s="178">
        <f>Données!A54</f>
        <v>5487</v>
      </c>
      <c r="B54" s="358" t="str">
        <f>Données!B54</f>
        <v>Lussery-Villars</v>
      </c>
      <c r="C54" s="178">
        <f>Données!AR54</f>
        <v>0</v>
      </c>
      <c r="D54" s="359">
        <f>Données!Z54</f>
        <v>459</v>
      </c>
      <c r="E54" s="131">
        <f>Données!X54</f>
        <v>75</v>
      </c>
      <c r="F54" s="31">
        <f>VPI!L54</f>
        <v>886782.88</v>
      </c>
      <c r="G54" s="8">
        <f t="shared" si="4"/>
        <v>23647.543466666666</v>
      </c>
      <c r="H54" s="26">
        <f t="shared" si="0"/>
        <v>39019.887541825694</v>
      </c>
      <c r="I54" s="8">
        <f t="shared" si="1"/>
        <v>23647.543466666666</v>
      </c>
      <c r="J54" s="8">
        <f>VPI!R54</f>
        <v>12890.529066666668</v>
      </c>
      <c r="K54" s="239">
        <f t="shared" si="5"/>
        <v>16672.097902032427</v>
      </c>
      <c r="L54" s="347">
        <f t="shared" si="3"/>
        <v>40319.641368699093</v>
      </c>
      <c r="M54" s="132"/>
      <c r="N54" s="133"/>
      <c r="O54" s="130"/>
      <c r="P54" s="130"/>
      <c r="Q54" s="134"/>
    </row>
    <row r="55" spans="1:17" s="129" customFormat="1" x14ac:dyDescent="0.25">
      <c r="A55" s="178">
        <f>Données!A55</f>
        <v>5488</v>
      </c>
      <c r="B55" s="358" t="str">
        <f>Données!B55</f>
        <v>Mauraz</v>
      </c>
      <c r="C55" s="178">
        <f>Données!AR55</f>
        <v>0</v>
      </c>
      <c r="D55" s="359">
        <f>Données!Z55</f>
        <v>58</v>
      </c>
      <c r="E55" s="131">
        <f>Données!X55</f>
        <v>77</v>
      </c>
      <c r="F55" s="31">
        <f>VPI!L55</f>
        <v>117230.54144058183</v>
      </c>
      <c r="G55" s="8">
        <f t="shared" si="4"/>
        <v>3044.9491283268007</v>
      </c>
      <c r="H55" s="26">
        <f t="shared" si="0"/>
        <v>4930.6175978777565</v>
      </c>
      <c r="I55" s="8">
        <f t="shared" si="1"/>
        <v>3044.9491283268007</v>
      </c>
      <c r="J55" s="8">
        <f>VPI!R55</f>
        <v>1631.9031355919719</v>
      </c>
      <c r="K55" s="239">
        <f t="shared" si="5"/>
        <v>2110.6386481511977</v>
      </c>
      <c r="L55" s="347">
        <f t="shared" si="3"/>
        <v>5155.587776477998</v>
      </c>
      <c r="M55" s="132"/>
      <c r="N55" s="133"/>
      <c r="O55" s="130"/>
      <c r="P55" s="130"/>
      <c r="Q55" s="134"/>
    </row>
    <row r="56" spans="1:17" s="129" customFormat="1" x14ac:dyDescent="0.25">
      <c r="A56" s="178">
        <f>Données!A56</f>
        <v>5489</v>
      </c>
      <c r="B56" s="358" t="str">
        <f>Données!B56</f>
        <v>Mex</v>
      </c>
      <c r="C56" s="178">
        <f>Données!AR56</f>
        <v>0</v>
      </c>
      <c r="D56" s="359">
        <f>Données!Z56</f>
        <v>791</v>
      </c>
      <c r="E56" s="131">
        <f>Données!X56</f>
        <v>59.5</v>
      </c>
      <c r="F56" s="31">
        <f>VPI!L56</f>
        <v>3119573.2626664219</v>
      </c>
      <c r="G56" s="8">
        <f t="shared" si="4"/>
        <v>104859.60546777889</v>
      </c>
      <c r="H56" s="26">
        <f t="shared" si="0"/>
        <v>67243.422757263877</v>
      </c>
      <c r="I56" s="8">
        <f t="shared" si="1"/>
        <v>67243.422757263877</v>
      </c>
      <c r="J56" s="8">
        <f>VPI!R56</f>
        <v>57470.761557418853</v>
      </c>
      <c r="K56" s="239">
        <f t="shared" si="5"/>
        <v>74330.39856116756</v>
      </c>
      <c r="L56" s="347">
        <f t="shared" si="3"/>
        <v>141573.82131843144</v>
      </c>
      <c r="M56" s="132"/>
      <c r="N56" s="133"/>
      <c r="O56" s="130"/>
      <c r="P56" s="130"/>
      <c r="Q56" s="134"/>
    </row>
    <row r="57" spans="1:17" s="129" customFormat="1" x14ac:dyDescent="0.25">
      <c r="A57" s="178">
        <f>Données!A57</f>
        <v>5490</v>
      </c>
      <c r="B57" s="358" t="str">
        <f>Données!B57</f>
        <v>Moiry</v>
      </c>
      <c r="C57" s="178">
        <f>Données!AR57</f>
        <v>0</v>
      </c>
      <c r="D57" s="359">
        <f>Données!Z57</f>
        <v>311</v>
      </c>
      <c r="E57" s="131">
        <f>Données!X57</f>
        <v>77.5</v>
      </c>
      <c r="F57" s="31">
        <f>VPI!L57</f>
        <v>624716.22151754331</v>
      </c>
      <c r="G57" s="8">
        <f t="shared" si="4"/>
        <v>16121.708942388215</v>
      </c>
      <c r="H57" s="26">
        <f t="shared" si="0"/>
        <v>26438.311602413487</v>
      </c>
      <c r="I57" s="8">
        <f t="shared" si="1"/>
        <v>16121.708942388215</v>
      </c>
      <c r="J57" s="8">
        <f>VPI!R57</f>
        <v>8655.6964066779783</v>
      </c>
      <c r="K57" s="239">
        <f t="shared" si="5"/>
        <v>11194.933672316831</v>
      </c>
      <c r="L57" s="347">
        <f t="shared" si="3"/>
        <v>27316.642614705044</v>
      </c>
      <c r="M57" s="132"/>
      <c r="N57" s="133"/>
      <c r="O57" s="130"/>
      <c r="P57" s="130"/>
      <c r="Q57" s="134"/>
    </row>
    <row r="58" spans="1:17" s="129" customFormat="1" x14ac:dyDescent="0.25">
      <c r="A58" s="178">
        <f>Données!A58</f>
        <v>5491</v>
      </c>
      <c r="B58" s="358" t="str">
        <f>Données!B58</f>
        <v>Mont-la-Ville</v>
      </c>
      <c r="C58" s="178">
        <f>Données!AR58</f>
        <v>0</v>
      </c>
      <c r="D58" s="359">
        <f>Données!Z58</f>
        <v>490</v>
      </c>
      <c r="E58" s="131">
        <f>Données!X58</f>
        <v>76</v>
      </c>
      <c r="F58" s="31">
        <f>VPI!L58</f>
        <v>995335.7474788262</v>
      </c>
      <c r="G58" s="8">
        <f t="shared" si="4"/>
        <v>26193.045986284898</v>
      </c>
      <c r="H58" s="26">
        <f t="shared" si="0"/>
        <v>41655.217637243113</v>
      </c>
      <c r="I58" s="8">
        <f t="shared" si="1"/>
        <v>26193.045986284898</v>
      </c>
      <c r="J58" s="8">
        <f>VPI!R58</f>
        <v>14318.599966826661</v>
      </c>
      <c r="K58" s="239">
        <f t="shared" si="5"/>
        <v>18519.10803911656</v>
      </c>
      <c r="L58" s="347">
        <f t="shared" si="3"/>
        <v>44712.154025401454</v>
      </c>
      <c r="M58" s="132"/>
      <c r="N58" s="133"/>
      <c r="O58" s="130"/>
      <c r="P58" s="130"/>
      <c r="Q58" s="134"/>
    </row>
    <row r="59" spans="1:17" s="129" customFormat="1" x14ac:dyDescent="0.25">
      <c r="A59" s="178">
        <f>Données!A59</f>
        <v>5492</v>
      </c>
      <c r="B59" s="358" t="str">
        <f>Données!B59</f>
        <v>Montricher</v>
      </c>
      <c r="C59" s="178">
        <f>Données!AR59</f>
        <v>0</v>
      </c>
      <c r="D59" s="359">
        <f>Données!Z59</f>
        <v>964</v>
      </c>
      <c r="E59" s="131">
        <f>Données!X59</f>
        <v>64</v>
      </c>
      <c r="F59" s="31">
        <f>VPI!L59</f>
        <v>9807897.6460290626</v>
      </c>
      <c r="G59" s="8">
        <f t="shared" si="4"/>
        <v>306496.80143840821</v>
      </c>
      <c r="H59" s="26">
        <f t="shared" si="0"/>
        <v>81950.264902657887</v>
      </c>
      <c r="I59" s="8">
        <f t="shared" si="1"/>
        <v>81950.264902657887</v>
      </c>
      <c r="J59" s="8">
        <f>VPI!R59</f>
        <v>157142.15514628743</v>
      </c>
      <c r="K59" s="239">
        <f t="shared" si="5"/>
        <v>203241.41713546781</v>
      </c>
      <c r="L59" s="347">
        <f t="shared" si="3"/>
        <v>285191.6820381257</v>
      </c>
      <c r="M59" s="132"/>
      <c r="N59" s="133"/>
      <c r="O59" s="130"/>
      <c r="P59" s="130"/>
      <c r="Q59" s="134"/>
    </row>
    <row r="60" spans="1:17" s="129" customFormat="1" x14ac:dyDescent="0.25">
      <c r="A60" s="178">
        <f>Données!A60</f>
        <v>5493</v>
      </c>
      <c r="B60" s="358" t="str">
        <f>Données!B60</f>
        <v>Orny</v>
      </c>
      <c r="C60" s="178">
        <f>Données!AR60</f>
        <v>0</v>
      </c>
      <c r="D60" s="359">
        <f>Données!Z60</f>
        <v>462</v>
      </c>
      <c r="E60" s="131">
        <f>Données!X60</f>
        <v>73</v>
      </c>
      <c r="F60" s="31">
        <f>VPI!L60</f>
        <v>879064.3348291713</v>
      </c>
      <c r="G60" s="8">
        <f t="shared" si="4"/>
        <v>24083.954378881404</v>
      </c>
      <c r="H60" s="26">
        <f t="shared" si="0"/>
        <v>39274.919486543506</v>
      </c>
      <c r="I60" s="8">
        <f t="shared" si="1"/>
        <v>24083.954378881404</v>
      </c>
      <c r="J60" s="8">
        <f>VPI!R60</f>
        <v>12876.853954456508</v>
      </c>
      <c r="K60" s="239">
        <f t="shared" si="5"/>
        <v>16654.411055479432</v>
      </c>
      <c r="L60" s="347">
        <f t="shared" si="3"/>
        <v>40738.365434360836</v>
      </c>
      <c r="M60" s="132"/>
      <c r="N60" s="133"/>
      <c r="O60" s="130"/>
      <c r="P60" s="130"/>
      <c r="Q60" s="134"/>
    </row>
    <row r="61" spans="1:17" s="129" customFormat="1" x14ac:dyDescent="0.25">
      <c r="A61" s="178">
        <f>Données!A61</f>
        <v>5495</v>
      </c>
      <c r="B61" s="358" t="str">
        <f>Données!B61</f>
        <v>Penthalaz</v>
      </c>
      <c r="C61" s="178">
        <f>Données!AR61</f>
        <v>0</v>
      </c>
      <c r="D61" s="359">
        <f>Données!Z61</f>
        <v>3207</v>
      </c>
      <c r="E61" s="131">
        <f>Données!X61</f>
        <v>74</v>
      </c>
      <c r="F61" s="31">
        <f>VPI!L61</f>
        <v>6355708.7062769597</v>
      </c>
      <c r="G61" s="8">
        <f t="shared" si="4"/>
        <v>171775.91098045837</v>
      </c>
      <c r="H61" s="26">
        <f t="shared" si="0"/>
        <v>272629.14890334423</v>
      </c>
      <c r="I61" s="8">
        <f t="shared" si="1"/>
        <v>171775.91098045837</v>
      </c>
      <c r="J61" s="8">
        <f>VPI!R61</f>
        <v>93343.047382121076</v>
      </c>
      <c r="K61" s="239">
        <f t="shared" si="5"/>
        <v>120726.1871394387</v>
      </c>
      <c r="L61" s="347">
        <f t="shared" si="3"/>
        <v>292502.09811989707</v>
      </c>
      <c r="M61" s="132"/>
      <c r="N61" s="133"/>
      <c r="O61" s="130"/>
      <c r="P61" s="130"/>
      <c r="Q61" s="134"/>
    </row>
    <row r="62" spans="1:17" s="129" customFormat="1" x14ac:dyDescent="0.25">
      <c r="A62" s="178">
        <f>Données!A62</f>
        <v>5496</v>
      </c>
      <c r="B62" s="358" t="str">
        <f>Données!B62</f>
        <v>Penthaz</v>
      </c>
      <c r="C62" s="178">
        <f>Données!AR62</f>
        <v>0</v>
      </c>
      <c r="D62" s="359">
        <f>Données!Z62</f>
        <v>1855</v>
      </c>
      <c r="E62" s="131">
        <f>Données!X62</f>
        <v>69.5</v>
      </c>
      <c r="F62" s="31">
        <f>VPI!L62</f>
        <v>3819643.8452732698</v>
      </c>
      <c r="G62" s="8">
        <f t="shared" si="4"/>
        <v>109917.80849707252</v>
      </c>
      <c r="H62" s="26">
        <f t="shared" si="0"/>
        <v>157694.75248384892</v>
      </c>
      <c r="I62" s="8">
        <f t="shared" si="1"/>
        <v>109917.80849707252</v>
      </c>
      <c r="J62" s="8">
        <f>VPI!R62</f>
        <v>60111.570435586618</v>
      </c>
      <c r="K62" s="239">
        <f t="shared" si="5"/>
        <v>77745.915793211971</v>
      </c>
      <c r="L62" s="347">
        <f t="shared" si="3"/>
        <v>187663.7242902845</v>
      </c>
      <c r="M62" s="132"/>
      <c r="N62" s="133"/>
      <c r="O62" s="130"/>
      <c r="P62" s="130"/>
      <c r="Q62" s="134"/>
    </row>
    <row r="63" spans="1:17" s="129" customFormat="1" x14ac:dyDescent="0.25">
      <c r="A63" s="178">
        <f>Données!A63</f>
        <v>5497</v>
      </c>
      <c r="B63" s="358" t="str">
        <f>Données!B63</f>
        <v>Pompaples</v>
      </c>
      <c r="C63" s="178">
        <f>Données!AR63</f>
        <v>0</v>
      </c>
      <c r="D63" s="359">
        <f>Données!Z63</f>
        <v>847</v>
      </c>
      <c r="E63" s="131">
        <f>Données!X63</f>
        <v>66</v>
      </c>
      <c r="F63" s="31">
        <f>VPI!L63</f>
        <v>1195707.32</v>
      </c>
      <c r="G63" s="8">
        <f t="shared" si="4"/>
        <v>36233.555151515153</v>
      </c>
      <c r="H63" s="26">
        <f t="shared" si="0"/>
        <v>72004.019058663092</v>
      </c>
      <c r="I63" s="8">
        <f t="shared" si="1"/>
        <v>36233.555151515153</v>
      </c>
      <c r="J63" s="8">
        <f>VPI!R63</f>
        <v>20415.356363636369</v>
      </c>
      <c r="K63" s="239">
        <f t="shared" si="5"/>
        <v>26404.410419396456</v>
      </c>
      <c r="L63" s="347">
        <f t="shared" si="3"/>
        <v>62637.965570911605</v>
      </c>
      <c r="M63" s="132"/>
      <c r="N63" s="133"/>
      <c r="O63" s="130"/>
      <c r="P63" s="130"/>
      <c r="Q63" s="134"/>
    </row>
    <row r="64" spans="1:17" s="129" customFormat="1" x14ac:dyDescent="0.25">
      <c r="A64" s="178">
        <f>Données!A64</f>
        <v>5498</v>
      </c>
      <c r="B64" s="358" t="str">
        <f>Données!B64</f>
        <v>La Sarraz</v>
      </c>
      <c r="C64" s="178">
        <f>Données!AR64</f>
        <v>0</v>
      </c>
      <c r="D64" s="359">
        <f>Données!Z64</f>
        <v>2598</v>
      </c>
      <c r="E64" s="131">
        <f>Données!X64</f>
        <v>66</v>
      </c>
      <c r="F64" s="31">
        <f>VPI!L64</f>
        <v>4693840.0979599757</v>
      </c>
      <c r="G64" s="8">
        <f t="shared" si="4"/>
        <v>142237.57872605987</v>
      </c>
      <c r="H64" s="26">
        <f t="shared" si="0"/>
        <v>220857.66412562778</v>
      </c>
      <c r="I64" s="8">
        <f t="shared" si="1"/>
        <v>142237.57872605987</v>
      </c>
      <c r="J64" s="8">
        <f>VPI!R64</f>
        <v>77489.743908484481</v>
      </c>
      <c r="K64" s="239">
        <f t="shared" si="5"/>
        <v>100222.15458839564</v>
      </c>
      <c r="L64" s="347">
        <f t="shared" si="3"/>
        <v>242459.73331445552</v>
      </c>
      <c r="M64" s="132"/>
      <c r="N64" s="133"/>
      <c r="O64" s="130"/>
      <c r="P64" s="130"/>
      <c r="Q64" s="134"/>
    </row>
    <row r="65" spans="1:17" s="129" customFormat="1" x14ac:dyDescent="0.25">
      <c r="A65" s="178">
        <f>Données!A65</f>
        <v>5499</v>
      </c>
      <c r="B65" s="358" t="str">
        <f>Données!B65</f>
        <v>Senarclens</v>
      </c>
      <c r="C65" s="178">
        <f>Données!AR65</f>
        <v>0</v>
      </c>
      <c r="D65" s="359">
        <f>Données!Z65</f>
        <v>496</v>
      </c>
      <c r="E65" s="131">
        <f>Données!X65</f>
        <v>68.5</v>
      </c>
      <c r="F65" s="31">
        <f>VPI!L65</f>
        <v>1246375.9249133738</v>
      </c>
      <c r="G65" s="8">
        <f t="shared" si="4"/>
        <v>36390.53795367515</v>
      </c>
      <c r="H65" s="26">
        <f t="shared" si="0"/>
        <v>42165.281526678744</v>
      </c>
      <c r="I65" s="8">
        <f t="shared" si="1"/>
        <v>36390.53795367515</v>
      </c>
      <c r="J65" s="8">
        <f>VPI!R65</f>
        <v>19645.120071728084</v>
      </c>
      <c r="K65" s="239">
        <f t="shared" si="5"/>
        <v>25408.217415992138</v>
      </c>
      <c r="L65" s="347">
        <f t="shared" si="3"/>
        <v>61798.755369667284</v>
      </c>
      <c r="M65" s="132"/>
      <c r="N65" s="133"/>
      <c r="O65" s="130"/>
      <c r="P65" s="130"/>
      <c r="Q65" s="134"/>
    </row>
    <row r="66" spans="1:17" s="129" customFormat="1" x14ac:dyDescent="0.25">
      <c r="A66" s="178">
        <f>Données!A66</f>
        <v>5501</v>
      </c>
      <c r="B66" s="358" t="str">
        <f>Données!B66</f>
        <v>Sullens</v>
      </c>
      <c r="C66" s="178">
        <f>Données!AR66</f>
        <v>0</v>
      </c>
      <c r="D66" s="359">
        <f>Données!Z66</f>
        <v>1041</v>
      </c>
      <c r="E66" s="131">
        <f>Données!X66</f>
        <v>68.5</v>
      </c>
      <c r="F66" s="31">
        <f>VPI!L66</f>
        <v>2644009.0810258011</v>
      </c>
      <c r="G66" s="8">
        <f t="shared" si="4"/>
        <v>77197.345431410256</v>
      </c>
      <c r="H66" s="26">
        <f t="shared" si="0"/>
        <v>88496.084817081792</v>
      </c>
      <c r="I66" s="8">
        <f t="shared" si="1"/>
        <v>77197.345431410256</v>
      </c>
      <c r="J66" s="8">
        <f>VPI!R66</f>
        <v>41909.752277748921</v>
      </c>
      <c r="K66" s="239">
        <f t="shared" si="5"/>
        <v>54204.407702036842</v>
      </c>
      <c r="L66" s="347">
        <f t="shared" si="3"/>
        <v>131401.75313344708</v>
      </c>
      <c r="M66" s="132"/>
      <c r="N66" s="133"/>
      <c r="O66" s="130"/>
      <c r="P66" s="130"/>
      <c r="Q66" s="134"/>
    </row>
    <row r="67" spans="1:17" s="129" customFormat="1" x14ac:dyDescent="0.25">
      <c r="A67" s="178">
        <f>Données!A67</f>
        <v>5503</v>
      </c>
      <c r="B67" s="358" t="str">
        <f>Données!B67</f>
        <v>Vufflens-la-Ville</v>
      </c>
      <c r="C67" s="178">
        <f>Données!AR67</f>
        <v>0</v>
      </c>
      <c r="D67" s="359">
        <f>Données!Z67</f>
        <v>1349</v>
      </c>
      <c r="E67" s="131">
        <f>Données!X67</f>
        <v>67</v>
      </c>
      <c r="F67" s="31">
        <f>VPI!L67</f>
        <v>4118129.380231366</v>
      </c>
      <c r="G67" s="8">
        <f t="shared" si="4"/>
        <v>122929.23523078705</v>
      </c>
      <c r="H67" s="26">
        <f t="shared" si="0"/>
        <v>114679.36447477747</v>
      </c>
      <c r="I67" s="8">
        <f t="shared" si="1"/>
        <v>114679.36447477747</v>
      </c>
      <c r="J67" s="8">
        <f>VPI!R67</f>
        <v>67522.299953701979</v>
      </c>
      <c r="K67" s="239">
        <f t="shared" si="5"/>
        <v>87330.658778741737</v>
      </c>
      <c r="L67" s="347">
        <f t="shared" si="3"/>
        <v>202010.0232535192</v>
      </c>
      <c r="M67" s="132"/>
      <c r="N67" s="133"/>
      <c r="O67" s="130"/>
      <c r="P67" s="130"/>
      <c r="Q67" s="134"/>
    </row>
    <row r="68" spans="1:17" s="129" customFormat="1" x14ac:dyDescent="0.25">
      <c r="A68" s="178">
        <v>5511</v>
      </c>
      <c r="B68" s="358" t="s">
        <v>157</v>
      </c>
      <c r="C68" s="178">
        <f>Données!AR68</f>
        <v>0</v>
      </c>
      <c r="D68" s="359">
        <f>Données!Z68</f>
        <v>1666</v>
      </c>
      <c r="E68" s="131">
        <f>Données!X68</f>
        <v>69.34</v>
      </c>
      <c r="F68" s="31">
        <f>VPI!L68</f>
        <v>4254170.9990431108</v>
      </c>
      <c r="G68" s="8">
        <f t="shared" si="4"/>
        <v>122704.67260003203</v>
      </c>
      <c r="H68" s="216">
        <f t="shared" si="0"/>
        <v>141627.7399666266</v>
      </c>
      <c r="I68" s="8">
        <f t="shared" si="1"/>
        <v>122704.67260003203</v>
      </c>
      <c r="J68" s="8">
        <f>VPI!R68</f>
        <v>66087.783372412887</v>
      </c>
      <c r="K68" s="239">
        <f t="shared" si="5"/>
        <v>85475.312053898189</v>
      </c>
      <c r="L68" s="347">
        <f t="shared" si="3"/>
        <v>208179.98465393024</v>
      </c>
      <c r="M68" s="132"/>
      <c r="N68" s="133"/>
      <c r="O68" s="130"/>
      <c r="P68" s="130"/>
      <c r="Q68" s="134"/>
    </row>
    <row r="69" spans="1:17" s="129" customFormat="1" x14ac:dyDescent="0.25">
      <c r="A69" s="178">
        <f>Données!A69</f>
        <v>5512</v>
      </c>
      <c r="B69" s="358" t="str">
        <f>Données!B69</f>
        <v>Bercher</v>
      </c>
      <c r="C69" s="178">
        <f>Données!AR69</f>
        <v>0</v>
      </c>
      <c r="D69" s="359">
        <f>Données!Z69</f>
        <v>1323</v>
      </c>
      <c r="E69" s="131">
        <f>Données!X69</f>
        <v>79</v>
      </c>
      <c r="F69" s="31">
        <f>VPI!L69</f>
        <v>2913441.651801785</v>
      </c>
      <c r="G69" s="8">
        <f t="shared" si="4"/>
        <v>73758.016501311009</v>
      </c>
      <c r="H69" s="26">
        <f t="shared" si="0"/>
        <v>112469.08762055641</v>
      </c>
      <c r="I69" s="8">
        <f t="shared" si="1"/>
        <v>73758.016501311009</v>
      </c>
      <c r="J69" s="8">
        <f>VPI!R69</f>
        <v>40303.726605085889</v>
      </c>
      <c r="K69" s="239">
        <f t="shared" si="5"/>
        <v>52127.237935820296</v>
      </c>
      <c r="L69" s="347">
        <f t="shared" si="3"/>
        <v>125885.25443713131</v>
      </c>
      <c r="M69" s="132"/>
      <c r="N69" s="133"/>
      <c r="O69" s="130"/>
      <c r="P69" s="130"/>
      <c r="Q69" s="134"/>
    </row>
    <row r="70" spans="1:17" s="129" customFormat="1" x14ac:dyDescent="0.25">
      <c r="A70" s="178">
        <f>Données!A70</f>
        <v>5514</v>
      </c>
      <c r="B70" s="358" t="str">
        <f>Données!B70</f>
        <v>Bottens</v>
      </c>
      <c r="C70" s="178">
        <f>Données!AR70</f>
        <v>0</v>
      </c>
      <c r="D70" s="359">
        <f>Données!Z70</f>
        <v>1330</v>
      </c>
      <c r="E70" s="131">
        <f>Données!X70</f>
        <v>72.5</v>
      </c>
      <c r="F70" s="31">
        <f>VPI!L70</f>
        <v>2957750.2414876162</v>
      </c>
      <c r="G70" s="8">
        <f t="shared" si="4"/>
        <v>81593.11011000321</v>
      </c>
      <c r="H70" s="26">
        <f t="shared" ref="H70:H133" si="6">+$G$306/$D$306*D70</f>
        <v>113064.16215823131</v>
      </c>
      <c r="I70" s="8">
        <f t="shared" ref="I70:I133" si="7">IF(C70=1,0,IF(H70&gt;G70,G70,H70))</f>
        <v>81593.11011000321</v>
      </c>
      <c r="J70" s="8">
        <f>VPI!R70</f>
        <v>44188.527468794709</v>
      </c>
      <c r="K70" s="239">
        <f t="shared" si="5"/>
        <v>57151.684953835655</v>
      </c>
      <c r="L70" s="347">
        <f t="shared" ref="L70:L133" si="8">+K70+I70</f>
        <v>138744.79506383886</v>
      </c>
      <c r="M70" s="132"/>
      <c r="N70" s="133"/>
      <c r="O70" s="130"/>
      <c r="P70" s="130"/>
      <c r="Q70" s="134"/>
    </row>
    <row r="71" spans="1:17" s="129" customFormat="1" x14ac:dyDescent="0.25">
      <c r="A71" s="178">
        <f>Données!A71</f>
        <v>5515</v>
      </c>
      <c r="B71" s="358" t="str">
        <f>Données!B71</f>
        <v>Bretigny-sur-Morrens</v>
      </c>
      <c r="C71" s="178">
        <f>Données!AR71</f>
        <v>0</v>
      </c>
      <c r="D71" s="359">
        <f>Données!Z71</f>
        <v>859</v>
      </c>
      <c r="E71" s="131">
        <f>Données!X71</f>
        <v>81</v>
      </c>
      <c r="F71" s="31">
        <f>VPI!L71</f>
        <v>2217823.0223858892</v>
      </c>
      <c r="G71" s="8">
        <f t="shared" ref="G71:G134" si="9">F71/E71*2</f>
        <v>54761.062281133069</v>
      </c>
      <c r="H71" s="26">
        <f t="shared" si="6"/>
        <v>73024.146837534354</v>
      </c>
      <c r="I71" s="8">
        <f t="shared" si="7"/>
        <v>54761.062281133069</v>
      </c>
      <c r="J71" s="8">
        <f>VPI!R71</f>
        <v>29581.308918344312</v>
      </c>
      <c r="K71" s="239">
        <f t="shared" ref="K71:K134" si="10">+$K$5*J71</f>
        <v>38259.289111120423</v>
      </c>
      <c r="L71" s="347">
        <f t="shared" si="8"/>
        <v>93020.351392253491</v>
      </c>
      <c r="M71" s="132"/>
      <c r="N71" s="133"/>
      <c r="O71" s="130"/>
      <c r="P71" s="130"/>
      <c r="Q71" s="134"/>
    </row>
    <row r="72" spans="1:17" s="129" customFormat="1" x14ac:dyDescent="0.25">
      <c r="A72" s="178">
        <f>Données!A72</f>
        <v>5516</v>
      </c>
      <c r="B72" s="358" t="str">
        <f>Données!B72</f>
        <v>Cugy</v>
      </c>
      <c r="C72" s="178">
        <f>Données!AR72</f>
        <v>0</v>
      </c>
      <c r="D72" s="359">
        <f>Données!Z72</f>
        <v>2760</v>
      </c>
      <c r="E72" s="131">
        <f>Données!X72</f>
        <v>78</v>
      </c>
      <c r="F72" s="31">
        <f>VPI!L72</f>
        <v>7721791.6908621686</v>
      </c>
      <c r="G72" s="8">
        <f t="shared" si="9"/>
        <v>197994.6587400556</v>
      </c>
      <c r="H72" s="26">
        <f t="shared" si="6"/>
        <v>234629.38914038977</v>
      </c>
      <c r="I72" s="8">
        <f t="shared" si="7"/>
        <v>197994.6587400556</v>
      </c>
      <c r="J72" s="8">
        <f>VPI!R72</f>
        <v>107018.16986148078</v>
      </c>
      <c r="K72" s="239">
        <f t="shared" si="10"/>
        <v>138413.04697420928</v>
      </c>
      <c r="L72" s="347">
        <f t="shared" si="8"/>
        <v>336407.70571426488</v>
      </c>
      <c r="M72" s="132"/>
      <c r="N72" s="133"/>
      <c r="O72" s="130"/>
      <c r="P72" s="130"/>
      <c r="Q72" s="134"/>
    </row>
    <row r="73" spans="1:17" s="129" customFormat="1" x14ac:dyDescent="0.25">
      <c r="A73" s="178">
        <f>Données!A73</f>
        <v>5518</v>
      </c>
      <c r="B73" s="358" t="str">
        <f>Données!B73</f>
        <v>Echallens</v>
      </c>
      <c r="C73" s="178">
        <f>Données!AR73</f>
        <v>0</v>
      </c>
      <c r="D73" s="359">
        <f>Données!Z73</f>
        <v>5731</v>
      </c>
      <c r="E73" s="131">
        <f>Données!X73</f>
        <v>72.5</v>
      </c>
      <c r="F73" s="31">
        <f>VPI!L73</f>
        <v>11818571.408041555</v>
      </c>
      <c r="G73" s="8">
        <f t="shared" si="9"/>
        <v>326029.55608390499</v>
      </c>
      <c r="H73" s="26">
        <f t="shared" si="6"/>
        <v>487196.0250592659</v>
      </c>
      <c r="I73" s="8">
        <f t="shared" si="7"/>
        <v>326029.55608390499</v>
      </c>
      <c r="J73" s="8">
        <f>VPI!R73</f>
        <v>178600.86493850421</v>
      </c>
      <c r="K73" s="239">
        <f t="shared" si="10"/>
        <v>230995.25940655565</v>
      </c>
      <c r="L73" s="347">
        <f t="shared" si="8"/>
        <v>557024.81549046061</v>
      </c>
      <c r="M73" s="132"/>
      <c r="N73" s="133"/>
      <c r="O73" s="130"/>
      <c r="P73" s="130"/>
      <c r="Q73" s="134"/>
    </row>
    <row r="74" spans="1:17" s="129" customFormat="1" x14ac:dyDescent="0.25">
      <c r="A74" s="178">
        <f>Données!A74</f>
        <v>5520</v>
      </c>
      <c r="B74" s="358" t="str">
        <f>Données!B74</f>
        <v>Essertines-sur-Yverdon</v>
      </c>
      <c r="C74" s="178">
        <f>Données!AR74</f>
        <v>0</v>
      </c>
      <c r="D74" s="359">
        <f>Données!Z74</f>
        <v>1036</v>
      </c>
      <c r="E74" s="131">
        <f>Données!X74</f>
        <v>73</v>
      </c>
      <c r="F74" s="31">
        <f>VPI!L74</f>
        <v>1975262.7578455396</v>
      </c>
      <c r="G74" s="8">
        <f t="shared" si="9"/>
        <v>54116.787886179169</v>
      </c>
      <c r="H74" s="26">
        <f t="shared" si="6"/>
        <v>88071.031575885441</v>
      </c>
      <c r="I74" s="8">
        <f t="shared" si="7"/>
        <v>54116.787886179169</v>
      </c>
      <c r="J74" s="8">
        <f>VPI!R74</f>
        <v>29717.541203363555</v>
      </c>
      <c r="K74" s="239">
        <f t="shared" si="10"/>
        <v>38435.486533391602</v>
      </c>
      <c r="L74" s="347">
        <f t="shared" si="8"/>
        <v>92552.274419570778</v>
      </c>
      <c r="M74" s="132"/>
      <c r="N74" s="133"/>
      <c r="O74" s="130"/>
      <c r="P74" s="130"/>
      <c r="Q74" s="134"/>
    </row>
    <row r="75" spans="1:17" s="129" customFormat="1" x14ac:dyDescent="0.25">
      <c r="A75" s="178">
        <f>Données!A75</f>
        <v>5521</v>
      </c>
      <c r="B75" s="358" t="str">
        <f>Données!B75</f>
        <v>Etagnières</v>
      </c>
      <c r="C75" s="178">
        <f>Données!AR75</f>
        <v>0</v>
      </c>
      <c r="D75" s="359">
        <f>Données!Z75</f>
        <v>1148</v>
      </c>
      <c r="E75" s="131">
        <f>Données!X75</f>
        <v>73</v>
      </c>
      <c r="F75" s="31">
        <f>VPI!L75</f>
        <v>3131075.7672418733</v>
      </c>
      <c r="G75" s="8">
        <f t="shared" si="9"/>
        <v>85782.897732654063</v>
      </c>
      <c r="H75" s="26">
        <f t="shared" si="6"/>
        <v>97592.224178683871</v>
      </c>
      <c r="I75" s="8">
        <f t="shared" si="7"/>
        <v>85782.897732654063</v>
      </c>
      <c r="J75" s="8">
        <f>VPI!R75</f>
        <v>46728.684482765391</v>
      </c>
      <c r="K75" s="239">
        <f t="shared" si="10"/>
        <v>60437.023065594374</v>
      </c>
      <c r="L75" s="347">
        <f t="shared" si="8"/>
        <v>146219.92079824844</v>
      </c>
      <c r="M75" s="132"/>
      <c r="N75" s="133"/>
      <c r="O75" s="130"/>
      <c r="P75" s="130"/>
      <c r="Q75" s="134"/>
    </row>
    <row r="76" spans="1:17" s="129" customFormat="1" x14ac:dyDescent="0.25">
      <c r="A76" s="178">
        <f>Données!A76</f>
        <v>5522</v>
      </c>
      <c r="B76" s="358" t="str">
        <f>Données!B76</f>
        <v>Fey</v>
      </c>
      <c r="C76" s="178">
        <f>Données!AR76</f>
        <v>0</v>
      </c>
      <c r="D76" s="359">
        <f>Données!Z76</f>
        <v>749</v>
      </c>
      <c r="E76" s="131">
        <f>Données!X76</f>
        <v>75</v>
      </c>
      <c r="F76" s="31">
        <f>VPI!L76</f>
        <v>1637918.6214842838</v>
      </c>
      <c r="G76" s="8">
        <f t="shared" si="9"/>
        <v>43677.829906247571</v>
      </c>
      <c r="H76" s="26">
        <f t="shared" si="6"/>
        <v>63672.97553121447</v>
      </c>
      <c r="I76" s="8">
        <f t="shared" si="7"/>
        <v>43677.829906247571</v>
      </c>
      <c r="J76" s="8">
        <f>VPI!R76</f>
        <v>23725.546686457117</v>
      </c>
      <c r="K76" s="239">
        <f t="shared" si="10"/>
        <v>30685.679004340484</v>
      </c>
      <c r="L76" s="347">
        <f t="shared" si="8"/>
        <v>74363.508910588047</v>
      </c>
      <c r="M76" s="132"/>
      <c r="N76" s="133"/>
      <c r="O76" s="130"/>
      <c r="P76" s="130"/>
      <c r="Q76" s="134"/>
    </row>
    <row r="77" spans="1:17" s="129" customFormat="1" x14ac:dyDescent="0.25">
      <c r="A77" s="178">
        <f>Données!A77</f>
        <v>5523</v>
      </c>
      <c r="B77" s="358" t="str">
        <f>Données!B77</f>
        <v>Froideville</v>
      </c>
      <c r="C77" s="178">
        <f>Données!AR77</f>
        <v>0</v>
      </c>
      <c r="D77" s="359">
        <f>Données!Z77</f>
        <v>2694</v>
      </c>
      <c r="E77" s="131">
        <f>Données!X77</f>
        <v>72</v>
      </c>
      <c r="F77" s="31">
        <f>VPI!L77</f>
        <v>5641231.0412429459</v>
      </c>
      <c r="G77" s="8">
        <f t="shared" si="9"/>
        <v>156700.86225674849</v>
      </c>
      <c r="H77" s="26">
        <f t="shared" si="6"/>
        <v>229018.68635659784</v>
      </c>
      <c r="I77" s="8">
        <f t="shared" si="7"/>
        <v>156700.86225674849</v>
      </c>
      <c r="J77" s="8">
        <f>VPI!R77</f>
        <v>85857.812378374249</v>
      </c>
      <c r="K77" s="239">
        <f t="shared" si="10"/>
        <v>111045.08172035309</v>
      </c>
      <c r="L77" s="347">
        <f t="shared" si="8"/>
        <v>267745.94397710159</v>
      </c>
      <c r="M77" s="132"/>
      <c r="N77" s="133"/>
      <c r="O77" s="130"/>
      <c r="P77" s="130"/>
      <c r="Q77" s="134"/>
    </row>
    <row r="78" spans="1:17" s="129" customFormat="1" x14ac:dyDescent="0.25">
      <c r="A78" s="178">
        <f>Données!A78</f>
        <v>5527</v>
      </c>
      <c r="B78" s="358" t="str">
        <f>Données!B78</f>
        <v>Morrens</v>
      </c>
      <c r="C78" s="178">
        <f>Données!AR78</f>
        <v>0</v>
      </c>
      <c r="D78" s="359">
        <f>Données!Z78</f>
        <v>1153</v>
      </c>
      <c r="E78" s="131">
        <f>Données!X78</f>
        <v>74</v>
      </c>
      <c r="F78" s="31">
        <f>VPI!L78</f>
        <v>2761075.2532047974</v>
      </c>
      <c r="G78" s="8">
        <f t="shared" si="9"/>
        <v>74623.655492021557</v>
      </c>
      <c r="H78" s="26">
        <f t="shared" si="6"/>
        <v>98017.277419880222</v>
      </c>
      <c r="I78" s="8">
        <f t="shared" si="7"/>
        <v>74623.655492021557</v>
      </c>
      <c r="J78" s="8">
        <f>VPI!R78</f>
        <v>40562.178421686454</v>
      </c>
      <c r="K78" s="239">
        <f t="shared" si="10"/>
        <v>52461.509242066764</v>
      </c>
      <c r="L78" s="347">
        <f t="shared" si="8"/>
        <v>127085.16473408832</v>
      </c>
      <c r="M78" s="132"/>
      <c r="N78" s="133"/>
      <c r="O78" s="130"/>
      <c r="P78" s="130"/>
      <c r="Q78" s="134"/>
    </row>
    <row r="79" spans="1:17" s="129" customFormat="1" x14ac:dyDescent="0.25">
      <c r="A79" s="178">
        <f>Données!A79</f>
        <v>5529</v>
      </c>
      <c r="B79" s="358" t="str">
        <f>Données!B79</f>
        <v>Oulens-sous-Echallens</v>
      </c>
      <c r="C79" s="178">
        <f>Données!AR79</f>
        <v>0</v>
      </c>
      <c r="D79" s="359">
        <f>Données!Z79</f>
        <v>618</v>
      </c>
      <c r="E79" s="131">
        <f>Données!X79</f>
        <v>70</v>
      </c>
      <c r="F79" s="31">
        <f>VPI!L79</f>
        <v>1290502.308514327</v>
      </c>
      <c r="G79" s="8">
        <f t="shared" si="9"/>
        <v>36871.494528980773</v>
      </c>
      <c r="H79" s="26">
        <f t="shared" si="6"/>
        <v>52536.580611869889</v>
      </c>
      <c r="I79" s="8">
        <f t="shared" si="7"/>
        <v>36871.494528980773</v>
      </c>
      <c r="J79" s="8">
        <f>VPI!R79</f>
        <v>20197.480835918959</v>
      </c>
      <c r="K79" s="239">
        <f t="shared" si="10"/>
        <v>26122.618872302035</v>
      </c>
      <c r="L79" s="347">
        <f t="shared" si="8"/>
        <v>62994.113401282812</v>
      </c>
      <c r="M79" s="132"/>
      <c r="N79" s="133"/>
      <c r="O79" s="130"/>
      <c r="P79" s="130"/>
      <c r="Q79" s="134"/>
    </row>
    <row r="80" spans="1:17" s="129" customFormat="1" x14ac:dyDescent="0.25">
      <c r="A80" s="178">
        <f>Données!A80</f>
        <v>5530</v>
      </c>
      <c r="B80" s="358" t="str">
        <f>Données!B80</f>
        <v>Pailly</v>
      </c>
      <c r="C80" s="178">
        <f>Données!AR80</f>
        <v>0</v>
      </c>
      <c r="D80" s="359">
        <f>Données!Z80</f>
        <v>567</v>
      </c>
      <c r="E80" s="131">
        <f>Données!X80</f>
        <v>76</v>
      </c>
      <c r="F80" s="31">
        <f>VPI!L80</f>
        <v>1284309.0761138052</v>
      </c>
      <c r="G80" s="8">
        <f t="shared" si="9"/>
        <v>33797.607266152765</v>
      </c>
      <c r="H80" s="26">
        <f t="shared" si="6"/>
        <v>48201.037551667032</v>
      </c>
      <c r="I80" s="8">
        <f t="shared" si="7"/>
        <v>33797.607266152765</v>
      </c>
      <c r="J80" s="8">
        <f>VPI!R80</f>
        <v>18293.784444479894</v>
      </c>
      <c r="K80" s="239">
        <f t="shared" si="10"/>
        <v>23660.453630699179</v>
      </c>
      <c r="L80" s="347">
        <f t="shared" si="8"/>
        <v>57458.060896851945</v>
      </c>
      <c r="M80" s="132"/>
      <c r="N80" s="133"/>
      <c r="O80" s="130"/>
      <c r="P80" s="130"/>
      <c r="Q80" s="134"/>
    </row>
    <row r="81" spans="1:17" s="129" customFormat="1" x14ac:dyDescent="0.25">
      <c r="A81" s="178">
        <f>Données!A81</f>
        <v>5531</v>
      </c>
      <c r="B81" s="358" t="str">
        <f>Données!B81</f>
        <v>Penthéréaz</v>
      </c>
      <c r="C81" s="178">
        <f>Données!AR81</f>
        <v>0</v>
      </c>
      <c r="D81" s="359">
        <f>Données!Z81</f>
        <v>419</v>
      </c>
      <c r="E81" s="131">
        <f>Données!X81</f>
        <v>74</v>
      </c>
      <c r="F81" s="31">
        <f>VPI!L81</f>
        <v>946434.31232495036</v>
      </c>
      <c r="G81" s="8">
        <f t="shared" si="9"/>
        <v>25579.305738512172</v>
      </c>
      <c r="H81" s="26">
        <f t="shared" si="6"/>
        <v>35619.461612254825</v>
      </c>
      <c r="I81" s="8">
        <f t="shared" si="7"/>
        <v>25579.305738512172</v>
      </c>
      <c r="J81" s="8">
        <f>VPI!R81</f>
        <v>13840.342734120952</v>
      </c>
      <c r="K81" s="239">
        <f t="shared" si="10"/>
        <v>17900.549144847173</v>
      </c>
      <c r="L81" s="347">
        <f t="shared" si="8"/>
        <v>43479.854883359345</v>
      </c>
      <c r="M81" s="132"/>
      <c r="N81" s="133"/>
      <c r="O81" s="130"/>
      <c r="P81" s="130"/>
      <c r="Q81" s="134"/>
    </row>
    <row r="82" spans="1:17" s="129" customFormat="1" x14ac:dyDescent="0.25">
      <c r="A82" s="178">
        <f>Données!A82</f>
        <v>5533</v>
      </c>
      <c r="B82" s="358" t="str">
        <f>Données!B82</f>
        <v>Poliez-Pittet</v>
      </c>
      <c r="C82" s="178">
        <f>Données!AR82</f>
        <v>0</v>
      </c>
      <c r="D82" s="359">
        <f>Données!Z82</f>
        <v>829</v>
      </c>
      <c r="E82" s="131">
        <f>Données!X82</f>
        <v>73</v>
      </c>
      <c r="F82" s="31">
        <f>VPI!L82</f>
        <v>1829993.5344446241</v>
      </c>
      <c r="G82" s="8">
        <f t="shared" si="9"/>
        <v>50136.809162866411</v>
      </c>
      <c r="H82" s="26">
        <f t="shared" si="6"/>
        <v>70473.827390356208</v>
      </c>
      <c r="I82" s="8">
        <f t="shared" si="7"/>
        <v>50136.809162866411</v>
      </c>
      <c r="J82" s="8">
        <f>VPI!R82</f>
        <v>27171.721019789369</v>
      </c>
      <c r="K82" s="239">
        <f t="shared" si="10"/>
        <v>35142.823903176184</v>
      </c>
      <c r="L82" s="347">
        <f t="shared" si="8"/>
        <v>85279.633066042588</v>
      </c>
      <c r="M82" s="132"/>
      <c r="N82" s="133"/>
      <c r="O82" s="130"/>
      <c r="P82" s="130"/>
      <c r="Q82" s="134"/>
    </row>
    <row r="83" spans="1:17" s="129" customFormat="1" x14ac:dyDescent="0.25">
      <c r="A83" s="178">
        <f>Données!A83</f>
        <v>5534</v>
      </c>
      <c r="B83" s="358" t="str">
        <f>Données!B83</f>
        <v>Rueyres</v>
      </c>
      <c r="C83" s="178">
        <f>Données!AR83</f>
        <v>0</v>
      </c>
      <c r="D83" s="359">
        <f>Données!Z83</f>
        <v>266</v>
      </c>
      <c r="E83" s="131">
        <f>Données!X83</f>
        <v>73</v>
      </c>
      <c r="F83" s="31">
        <f>VPI!L83</f>
        <v>631270.74066866084</v>
      </c>
      <c r="G83" s="8">
        <f t="shared" si="9"/>
        <v>17295.088785442764</v>
      </c>
      <c r="H83" s="26">
        <f t="shared" si="6"/>
        <v>22612.83243164626</v>
      </c>
      <c r="I83" s="8">
        <f t="shared" si="7"/>
        <v>17295.088785442764</v>
      </c>
      <c r="J83" s="8">
        <f>VPI!R83</f>
        <v>9741.2664246848526</v>
      </c>
      <c r="K83" s="239">
        <f t="shared" si="10"/>
        <v>12598.966782681775</v>
      </c>
      <c r="L83" s="347">
        <f t="shared" si="8"/>
        <v>29894.055568124539</v>
      </c>
      <c r="M83" s="132"/>
      <c r="N83" s="133"/>
      <c r="O83" s="130"/>
      <c r="P83" s="130"/>
      <c r="Q83" s="134"/>
    </row>
    <row r="84" spans="1:17" s="129" customFormat="1" x14ac:dyDescent="0.25">
      <c r="A84" s="178">
        <f>Données!A84</f>
        <v>5535</v>
      </c>
      <c r="B84" s="358" t="str">
        <f>Données!B84</f>
        <v>Saint-Barthélemy</v>
      </c>
      <c r="C84" s="178">
        <f>Données!AR84</f>
        <v>0</v>
      </c>
      <c r="D84" s="359">
        <f>Données!Z84</f>
        <v>784</v>
      </c>
      <c r="E84" s="131">
        <f>Données!X84</f>
        <v>75</v>
      </c>
      <c r="F84" s="31">
        <f>VPI!L84</f>
        <v>1541653.3300000003</v>
      </c>
      <c r="G84" s="8">
        <f t="shared" si="9"/>
        <v>41110.755466666677</v>
      </c>
      <c r="H84" s="26">
        <f t="shared" si="6"/>
        <v>66648.348219588981</v>
      </c>
      <c r="I84" s="8">
        <f t="shared" si="7"/>
        <v>41110.755466666677</v>
      </c>
      <c r="J84" s="8">
        <f>VPI!R84</f>
        <v>22506.660400000004</v>
      </c>
      <c r="K84" s="239">
        <f t="shared" si="10"/>
        <v>29109.219931624346</v>
      </c>
      <c r="L84" s="347">
        <f t="shared" si="8"/>
        <v>70219.975398291019</v>
      </c>
      <c r="M84" s="132"/>
      <c r="N84" s="133"/>
      <c r="O84" s="130"/>
      <c r="P84" s="130"/>
      <c r="Q84" s="134"/>
    </row>
    <row r="85" spans="1:17" s="129" customFormat="1" x14ac:dyDescent="0.25">
      <c r="A85" s="178">
        <f>Données!A85</f>
        <v>5537</v>
      </c>
      <c r="B85" s="358" t="str">
        <f>Données!B85</f>
        <v>Villars-le-Terroir</v>
      </c>
      <c r="C85" s="178">
        <f>Données!AR85</f>
        <v>0</v>
      </c>
      <c r="D85" s="359">
        <f>Données!Z85</f>
        <v>1281</v>
      </c>
      <c r="E85" s="131">
        <f>Données!X85</f>
        <v>73</v>
      </c>
      <c r="F85" s="31">
        <f>VPI!L85</f>
        <v>2534952.557216119</v>
      </c>
      <c r="G85" s="8">
        <f t="shared" si="9"/>
        <v>69450.754992222443</v>
      </c>
      <c r="H85" s="26">
        <f t="shared" si="6"/>
        <v>108898.64039450699</v>
      </c>
      <c r="I85" s="8">
        <f t="shared" si="7"/>
        <v>69450.754992222443</v>
      </c>
      <c r="J85" s="8">
        <f>VPI!R85</f>
        <v>37957.948044056422</v>
      </c>
      <c r="K85" s="239">
        <f t="shared" si="10"/>
        <v>49093.301188638739</v>
      </c>
      <c r="L85" s="347">
        <f t="shared" si="8"/>
        <v>118544.05618086118</v>
      </c>
      <c r="M85" s="132"/>
      <c r="N85" s="133"/>
      <c r="O85" s="130"/>
      <c r="P85" s="130"/>
      <c r="Q85" s="134"/>
    </row>
    <row r="86" spans="1:17" s="129" customFormat="1" x14ac:dyDescent="0.25">
      <c r="A86" s="178">
        <f>Données!A86</f>
        <v>5539</v>
      </c>
      <c r="B86" s="358" t="str">
        <f>Données!B86</f>
        <v>Vuarrens</v>
      </c>
      <c r="C86" s="178">
        <f>Données!AR86</f>
        <v>0</v>
      </c>
      <c r="D86" s="359">
        <f>Données!Z86</f>
        <v>1060</v>
      </c>
      <c r="E86" s="131">
        <f>Données!X86</f>
        <v>73.5</v>
      </c>
      <c r="F86" s="31">
        <f>VPI!L86</f>
        <v>2450480.6078908532</v>
      </c>
      <c r="G86" s="8">
        <f t="shared" si="9"/>
        <v>66679.744432404172</v>
      </c>
      <c r="H86" s="26">
        <f t="shared" si="6"/>
        <v>90111.287133627964</v>
      </c>
      <c r="I86" s="8">
        <f t="shared" si="7"/>
        <v>66679.744432404172</v>
      </c>
      <c r="J86" s="8">
        <f>VPI!R86</f>
        <v>35955.043474705482</v>
      </c>
      <c r="K86" s="239">
        <f t="shared" si="10"/>
        <v>46502.824033205594</v>
      </c>
      <c r="L86" s="347">
        <f t="shared" si="8"/>
        <v>113182.56846560977</v>
      </c>
      <c r="M86" s="132"/>
      <c r="N86" s="133"/>
      <c r="O86" s="130"/>
      <c r="P86" s="130"/>
      <c r="Q86" s="134"/>
    </row>
    <row r="87" spans="1:17" s="129" customFormat="1" x14ac:dyDescent="0.25">
      <c r="A87" s="178">
        <f>Données!A87</f>
        <v>5540</v>
      </c>
      <c r="B87" s="358" t="str">
        <f>Données!B87</f>
        <v>Montilliez</v>
      </c>
      <c r="C87" s="178">
        <f>Données!AR87</f>
        <v>0</v>
      </c>
      <c r="D87" s="359">
        <f>Données!Z87</f>
        <v>1857</v>
      </c>
      <c r="E87" s="131">
        <f>Données!X87</f>
        <v>72.5</v>
      </c>
      <c r="F87" s="31">
        <f>VPI!L87</f>
        <v>4436565.3881707294</v>
      </c>
      <c r="G87" s="8">
        <f t="shared" si="9"/>
        <v>122388.01070815805</v>
      </c>
      <c r="H87" s="26">
        <f t="shared" si="6"/>
        <v>157864.77378032746</v>
      </c>
      <c r="I87" s="8">
        <f t="shared" si="7"/>
        <v>122388.01070815805</v>
      </c>
      <c r="J87" s="8">
        <f>VPI!R87</f>
        <v>66216.365354079026</v>
      </c>
      <c r="K87" s="239">
        <f t="shared" si="10"/>
        <v>85641.614877908622</v>
      </c>
      <c r="L87" s="347">
        <f t="shared" si="8"/>
        <v>208029.62558606669</v>
      </c>
      <c r="M87" s="132"/>
      <c r="N87" s="133"/>
      <c r="O87" s="130"/>
      <c r="P87" s="130"/>
      <c r="Q87" s="134"/>
    </row>
    <row r="88" spans="1:17" s="129" customFormat="1" x14ac:dyDescent="0.25">
      <c r="A88" s="178">
        <f>Données!A88</f>
        <v>5541</v>
      </c>
      <c r="B88" s="358" t="str">
        <f>Données!B88</f>
        <v>Goumoëns</v>
      </c>
      <c r="C88" s="178">
        <f>Données!AR88</f>
        <v>0</v>
      </c>
      <c r="D88" s="359">
        <f>Données!Z88</f>
        <v>1153</v>
      </c>
      <c r="E88" s="131">
        <f>Données!X88</f>
        <v>75.5</v>
      </c>
      <c r="F88" s="31">
        <f>VPI!L88</f>
        <v>2580471.3870968465</v>
      </c>
      <c r="G88" s="8">
        <f t="shared" si="9"/>
        <v>68356.857936340297</v>
      </c>
      <c r="H88" s="26">
        <f t="shared" si="6"/>
        <v>98017.277419880222</v>
      </c>
      <c r="I88" s="8">
        <f t="shared" si="7"/>
        <v>68356.857936340297</v>
      </c>
      <c r="J88" s="8">
        <f>VPI!R88</f>
        <v>36974.846186713199</v>
      </c>
      <c r="K88" s="239">
        <f t="shared" si="10"/>
        <v>47821.796324212373</v>
      </c>
      <c r="L88" s="347">
        <f t="shared" si="8"/>
        <v>116178.65426055266</v>
      </c>
      <c r="M88" s="132"/>
      <c r="N88" s="133"/>
      <c r="O88" s="130"/>
      <c r="P88" s="130"/>
      <c r="Q88" s="134"/>
    </row>
    <row r="89" spans="1:17" s="129" customFormat="1" x14ac:dyDescent="0.25">
      <c r="A89" s="178">
        <f>Données!A89</f>
        <v>5551</v>
      </c>
      <c r="B89" s="358" t="str">
        <f>Données!B89</f>
        <v>Bonvillars</v>
      </c>
      <c r="C89" s="178">
        <f>Données!AR89</f>
        <v>0</v>
      </c>
      <c r="D89" s="359">
        <f>Données!Z89</f>
        <v>489</v>
      </c>
      <c r="E89" s="131">
        <f>Données!X89</f>
        <v>55</v>
      </c>
      <c r="F89" s="31">
        <f>VPI!L89</f>
        <v>923271.87373775907</v>
      </c>
      <c r="G89" s="8">
        <f t="shared" si="9"/>
        <v>33573.522681373055</v>
      </c>
      <c r="H89" s="26">
        <f t="shared" si="6"/>
        <v>41570.20698900384</v>
      </c>
      <c r="I89" s="8">
        <f t="shared" si="7"/>
        <v>33573.522681373055</v>
      </c>
      <c r="J89" s="8">
        <f>VPI!R89</f>
        <v>19152.288613413803</v>
      </c>
      <c r="K89" s="239">
        <f t="shared" si="10"/>
        <v>24770.808797639609</v>
      </c>
      <c r="L89" s="347">
        <f t="shared" si="8"/>
        <v>58344.331479012661</v>
      </c>
      <c r="M89" s="132"/>
      <c r="N89" s="133"/>
      <c r="O89" s="130"/>
      <c r="P89" s="130"/>
      <c r="Q89" s="134"/>
    </row>
    <row r="90" spans="1:17" s="129" customFormat="1" x14ac:dyDescent="0.25">
      <c r="A90" s="178">
        <f>Données!A90</f>
        <v>5552</v>
      </c>
      <c r="B90" s="358" t="str">
        <f>Données!B90</f>
        <v>Bullet</v>
      </c>
      <c r="C90" s="178">
        <f>Données!AR90</f>
        <v>0</v>
      </c>
      <c r="D90" s="359">
        <f>Données!Z90</f>
        <v>657</v>
      </c>
      <c r="E90" s="131">
        <f>Données!X90</f>
        <v>71.5</v>
      </c>
      <c r="F90" s="31">
        <f>VPI!L90</f>
        <v>1133689.83</v>
      </c>
      <c r="G90" s="8">
        <f t="shared" si="9"/>
        <v>31711.603636363638</v>
      </c>
      <c r="H90" s="26">
        <f t="shared" si="6"/>
        <v>55851.995893201478</v>
      </c>
      <c r="I90" s="8">
        <f t="shared" si="7"/>
        <v>31711.603636363638</v>
      </c>
      <c r="J90" s="8">
        <f>VPI!R90</f>
        <v>17562.45286713287</v>
      </c>
      <c r="K90" s="239">
        <f t="shared" si="10"/>
        <v>22714.578438663302</v>
      </c>
      <c r="L90" s="347">
        <f t="shared" si="8"/>
        <v>54426.18207502694</v>
      </c>
      <c r="M90" s="132"/>
      <c r="N90" s="133"/>
      <c r="O90" s="130"/>
      <c r="P90" s="130"/>
      <c r="Q90" s="134"/>
    </row>
    <row r="91" spans="1:17" s="129" customFormat="1" x14ac:dyDescent="0.25">
      <c r="A91" s="178">
        <f>Données!A91</f>
        <v>5553</v>
      </c>
      <c r="B91" s="358" t="str">
        <f>Données!B91</f>
        <v>Champagne</v>
      </c>
      <c r="C91" s="178">
        <f>Données!AR91</f>
        <v>0</v>
      </c>
      <c r="D91" s="359">
        <f>Données!Z91</f>
        <v>1061</v>
      </c>
      <c r="E91" s="131">
        <f>Données!X91</f>
        <v>65</v>
      </c>
      <c r="F91" s="31">
        <f>VPI!L91</f>
        <v>2251057.848547732</v>
      </c>
      <c r="G91" s="8">
        <f t="shared" si="9"/>
        <v>69263.31841685329</v>
      </c>
      <c r="H91" s="26">
        <f t="shared" si="6"/>
        <v>90196.297781867237</v>
      </c>
      <c r="I91" s="8">
        <f t="shared" si="7"/>
        <v>69263.31841685329</v>
      </c>
      <c r="J91" s="8">
        <f>VPI!R91</f>
        <v>38621.939977657414</v>
      </c>
      <c r="K91" s="239">
        <f t="shared" si="10"/>
        <v>49952.081962174372</v>
      </c>
      <c r="L91" s="347">
        <f t="shared" si="8"/>
        <v>119215.40037902766</v>
      </c>
      <c r="M91" s="132"/>
      <c r="N91" s="133"/>
      <c r="O91" s="130"/>
      <c r="P91" s="130"/>
      <c r="Q91" s="134"/>
    </row>
    <row r="92" spans="1:17" s="129" customFormat="1" x14ac:dyDescent="0.25">
      <c r="A92" s="178">
        <f>Données!A92</f>
        <v>5554</v>
      </c>
      <c r="B92" s="358" t="str">
        <f>Données!B92</f>
        <v>Concise</v>
      </c>
      <c r="C92" s="178">
        <f>Données!AR92</f>
        <v>0</v>
      </c>
      <c r="D92" s="359">
        <f>Données!Z92</f>
        <v>1001</v>
      </c>
      <c r="E92" s="131">
        <f>Données!X92</f>
        <v>75</v>
      </c>
      <c r="F92" s="31">
        <f>VPI!L92</f>
        <v>2253103.4686204041</v>
      </c>
      <c r="G92" s="8">
        <f t="shared" si="9"/>
        <v>60082.75916321078</v>
      </c>
      <c r="H92" s="26">
        <f t="shared" si="6"/>
        <v>85095.65888751093</v>
      </c>
      <c r="I92" s="8">
        <f t="shared" si="7"/>
        <v>60082.75916321078</v>
      </c>
      <c r="J92" s="8">
        <f>VPI!R92</f>
        <v>32321.208248272062</v>
      </c>
      <c r="K92" s="239">
        <f t="shared" si="10"/>
        <v>41802.965994669838</v>
      </c>
      <c r="L92" s="347">
        <f t="shared" si="8"/>
        <v>101885.72515788062</v>
      </c>
      <c r="M92" s="132"/>
      <c r="N92" s="133"/>
      <c r="O92" s="130"/>
      <c r="P92" s="130"/>
      <c r="Q92" s="134"/>
    </row>
    <row r="93" spans="1:17" s="129" customFormat="1" x14ac:dyDescent="0.25">
      <c r="A93" s="178">
        <f>Données!A93</f>
        <v>5555</v>
      </c>
      <c r="B93" s="358" t="str">
        <f>Données!B93</f>
        <v>Corcelles-près-Concise</v>
      </c>
      <c r="C93" s="178">
        <f>Données!AR93</f>
        <v>0</v>
      </c>
      <c r="D93" s="359">
        <f>Données!Z93</f>
        <v>419</v>
      </c>
      <c r="E93" s="131">
        <f>Données!X93</f>
        <v>69</v>
      </c>
      <c r="F93" s="31">
        <f>VPI!L93</f>
        <v>843611.49803900789</v>
      </c>
      <c r="G93" s="8">
        <f t="shared" si="9"/>
        <v>24452.50718953646</v>
      </c>
      <c r="H93" s="26">
        <f t="shared" si="6"/>
        <v>35619.461612254825</v>
      </c>
      <c r="I93" s="8">
        <f t="shared" si="7"/>
        <v>24452.50718953646</v>
      </c>
      <c r="J93" s="8">
        <f>VPI!R93</f>
        <v>13590.982580275477</v>
      </c>
      <c r="K93" s="239">
        <f t="shared" si="10"/>
        <v>17578.036633818589</v>
      </c>
      <c r="L93" s="347">
        <f t="shared" si="8"/>
        <v>42030.543823355052</v>
      </c>
      <c r="M93" s="132"/>
      <c r="N93" s="133"/>
      <c r="O93" s="130"/>
      <c r="P93" s="130"/>
      <c r="Q93" s="134"/>
    </row>
    <row r="94" spans="1:17" s="129" customFormat="1" x14ac:dyDescent="0.25">
      <c r="A94" s="178">
        <f>Données!A94</f>
        <v>5556</v>
      </c>
      <c r="B94" s="358" t="str">
        <f>Données!B94</f>
        <v>Fiez</v>
      </c>
      <c r="C94" s="178">
        <f>Données!AR94</f>
        <v>0</v>
      </c>
      <c r="D94" s="359">
        <f>Données!Z94</f>
        <v>451</v>
      </c>
      <c r="E94" s="131">
        <f>Données!X94</f>
        <v>69</v>
      </c>
      <c r="F94" s="31">
        <f>VPI!L94</f>
        <v>876545.56896685401</v>
      </c>
      <c r="G94" s="8">
        <f t="shared" si="9"/>
        <v>25407.117941068231</v>
      </c>
      <c r="H94" s="26">
        <f t="shared" si="6"/>
        <v>38339.802355911517</v>
      </c>
      <c r="I94" s="8">
        <f t="shared" si="7"/>
        <v>25407.117941068231</v>
      </c>
      <c r="J94" s="8">
        <f>VPI!R94</f>
        <v>13811.370927055856</v>
      </c>
      <c r="K94" s="239">
        <f t="shared" si="10"/>
        <v>17863.078161205616</v>
      </c>
      <c r="L94" s="347">
        <f t="shared" si="8"/>
        <v>43270.196102273847</v>
      </c>
      <c r="M94" s="132"/>
      <c r="N94" s="133"/>
      <c r="O94" s="130"/>
      <c r="P94" s="130"/>
      <c r="Q94" s="134"/>
    </row>
    <row r="95" spans="1:17" s="129" customFormat="1" x14ac:dyDescent="0.25">
      <c r="A95" s="178">
        <f>Données!A95</f>
        <v>5557</v>
      </c>
      <c r="B95" s="358" t="str">
        <f>Données!B95</f>
        <v>Fontaines-sur-Grandson</v>
      </c>
      <c r="C95" s="178">
        <f>Données!AR95</f>
        <v>0</v>
      </c>
      <c r="D95" s="359">
        <f>Données!Z95</f>
        <v>219</v>
      </c>
      <c r="E95" s="131">
        <f>Données!X95</f>
        <v>69</v>
      </c>
      <c r="F95" s="31">
        <f>VPI!L95</f>
        <v>368125.60999999987</v>
      </c>
      <c r="G95" s="8">
        <f t="shared" si="9"/>
        <v>10670.30753623188</v>
      </c>
      <c r="H95" s="26">
        <f t="shared" si="6"/>
        <v>18617.331964400495</v>
      </c>
      <c r="I95" s="8">
        <f t="shared" si="7"/>
        <v>10670.30753623188</v>
      </c>
      <c r="J95" s="8">
        <f>VPI!R95</f>
        <v>5898.4472463768097</v>
      </c>
      <c r="K95" s="239">
        <f t="shared" si="10"/>
        <v>7628.8172078104735</v>
      </c>
      <c r="L95" s="347">
        <f t="shared" si="8"/>
        <v>18299.124744042354</v>
      </c>
      <c r="M95" s="132"/>
      <c r="N95" s="133"/>
      <c r="O95" s="130"/>
      <c r="P95" s="130"/>
      <c r="Q95" s="134"/>
    </row>
    <row r="96" spans="1:17" s="129" customFormat="1" x14ac:dyDescent="0.25">
      <c r="A96" s="178">
        <f>Données!A96</f>
        <v>5559</v>
      </c>
      <c r="B96" s="358" t="str">
        <f>Données!B96</f>
        <v>Giez</v>
      </c>
      <c r="C96" s="178">
        <f>Données!AR96</f>
        <v>0</v>
      </c>
      <c r="D96" s="359">
        <f>Données!Z96</f>
        <v>414</v>
      </c>
      <c r="E96" s="131">
        <f>Données!X96</f>
        <v>66</v>
      </c>
      <c r="F96" s="31">
        <f>VPI!L96</f>
        <v>1036052.4600000001</v>
      </c>
      <c r="G96" s="8">
        <f t="shared" si="9"/>
        <v>31395.529090909095</v>
      </c>
      <c r="H96" s="26">
        <f t="shared" si="6"/>
        <v>35194.408371058467</v>
      </c>
      <c r="I96" s="8">
        <f t="shared" si="7"/>
        <v>31395.529090909095</v>
      </c>
      <c r="J96" s="8">
        <f>VPI!R96</f>
        <v>17108.440303030304</v>
      </c>
      <c r="K96" s="239">
        <f t="shared" si="10"/>
        <v>22127.376635050437</v>
      </c>
      <c r="L96" s="347">
        <f t="shared" si="8"/>
        <v>53522.905725959528</v>
      </c>
      <c r="M96" s="132"/>
      <c r="N96" s="133"/>
      <c r="O96" s="130"/>
      <c r="P96" s="130"/>
      <c r="Q96" s="134"/>
    </row>
    <row r="97" spans="1:17" s="129" customFormat="1" x14ac:dyDescent="0.25">
      <c r="A97" s="178">
        <f>Données!A97</f>
        <v>5560</v>
      </c>
      <c r="B97" s="358" t="str">
        <f>Données!B97</f>
        <v>Grandevent</v>
      </c>
      <c r="C97" s="178">
        <f>Données!AR97</f>
        <v>0</v>
      </c>
      <c r="D97" s="359">
        <f>Données!Z97</f>
        <v>226</v>
      </c>
      <c r="E97" s="131">
        <f>Données!X97</f>
        <v>68</v>
      </c>
      <c r="F97" s="31">
        <f>VPI!L97</f>
        <v>376040.46402025706</v>
      </c>
      <c r="G97" s="8">
        <f t="shared" si="9"/>
        <v>11060.013647654619</v>
      </c>
      <c r="H97" s="26">
        <f t="shared" si="6"/>
        <v>19212.406502075395</v>
      </c>
      <c r="I97" s="8">
        <f t="shared" si="7"/>
        <v>11060.013647654619</v>
      </c>
      <c r="J97" s="8">
        <f>VPI!R97</f>
        <v>6167.5355002978977</v>
      </c>
      <c r="K97" s="239">
        <f t="shared" si="10"/>
        <v>7976.8452592936565</v>
      </c>
      <c r="L97" s="347">
        <f t="shared" si="8"/>
        <v>19036.858906948277</v>
      </c>
      <c r="M97" s="132"/>
      <c r="N97" s="133"/>
      <c r="O97" s="130"/>
      <c r="P97" s="130"/>
      <c r="Q97" s="134"/>
    </row>
    <row r="98" spans="1:17" s="129" customFormat="1" x14ac:dyDescent="0.25">
      <c r="A98" s="178">
        <f>Données!A98</f>
        <v>5561</v>
      </c>
      <c r="B98" s="358" t="str">
        <f>Données!B98</f>
        <v>Grandson</v>
      </c>
      <c r="C98" s="178">
        <f>Données!AR98</f>
        <v>0</v>
      </c>
      <c r="D98" s="359">
        <f>Données!Z98</f>
        <v>3356</v>
      </c>
      <c r="E98" s="131">
        <f>Données!X98</f>
        <v>69</v>
      </c>
      <c r="F98" s="31">
        <f>VPI!L98</f>
        <v>7249048.7225684011</v>
      </c>
      <c r="G98" s="8">
        <f t="shared" si="9"/>
        <v>210117.35427734497</v>
      </c>
      <c r="H98" s="26">
        <f t="shared" si="6"/>
        <v>285295.73549099569</v>
      </c>
      <c r="I98" s="8">
        <f t="shared" si="7"/>
        <v>210117.35427734497</v>
      </c>
      <c r="J98" s="8">
        <f>VPI!R98</f>
        <v>114698.81047200582</v>
      </c>
      <c r="K98" s="239">
        <f t="shared" si="10"/>
        <v>148346.88223781591</v>
      </c>
      <c r="L98" s="347">
        <f t="shared" si="8"/>
        <v>358464.23651516088</v>
      </c>
      <c r="M98" s="132"/>
      <c r="N98" s="133"/>
      <c r="O98" s="130"/>
      <c r="P98" s="130"/>
      <c r="Q98" s="134"/>
    </row>
    <row r="99" spans="1:17" s="129" customFormat="1" x14ac:dyDescent="0.25">
      <c r="A99" s="178">
        <f>Données!A99</f>
        <v>5562</v>
      </c>
      <c r="B99" s="358" t="str">
        <f>Données!B99</f>
        <v>Mauborget</v>
      </c>
      <c r="C99" s="178">
        <f>Données!AR99</f>
        <v>0</v>
      </c>
      <c r="D99" s="359">
        <f>Données!Z99</f>
        <v>128</v>
      </c>
      <c r="E99" s="131">
        <f>Données!X99</f>
        <v>70</v>
      </c>
      <c r="F99" s="31">
        <f>VPI!L99</f>
        <v>389237.67977288307</v>
      </c>
      <c r="G99" s="8">
        <f t="shared" si="9"/>
        <v>11121.076564939516</v>
      </c>
      <c r="H99" s="26">
        <f t="shared" si="6"/>
        <v>10881.362974626772</v>
      </c>
      <c r="I99" s="8">
        <f t="shared" si="7"/>
        <v>10881.362974626772</v>
      </c>
      <c r="J99" s="8">
        <f>VPI!R99</f>
        <v>6036.4454253269014</v>
      </c>
      <c r="K99" s="239">
        <f t="shared" si="10"/>
        <v>7807.2985670983162</v>
      </c>
      <c r="L99" s="347">
        <f t="shared" si="8"/>
        <v>18688.661541725087</v>
      </c>
      <c r="M99" s="132"/>
      <c r="N99" s="133"/>
      <c r="O99" s="130"/>
      <c r="P99" s="130"/>
      <c r="Q99" s="134"/>
    </row>
    <row r="100" spans="1:17" s="129" customFormat="1" x14ac:dyDescent="0.25">
      <c r="A100" s="178">
        <f>Données!A100</f>
        <v>5563</v>
      </c>
      <c r="B100" s="358" t="str">
        <f>Données!B100</f>
        <v>Mutrux</v>
      </c>
      <c r="C100" s="178">
        <f>Données!AR100</f>
        <v>0</v>
      </c>
      <c r="D100" s="359">
        <f>Données!Z100</f>
        <v>149</v>
      </c>
      <c r="E100" s="131">
        <f>Données!X100</f>
        <v>80</v>
      </c>
      <c r="F100" s="31">
        <f>VPI!L100</f>
        <v>303518.11988528183</v>
      </c>
      <c r="G100" s="8">
        <f t="shared" si="9"/>
        <v>7587.9529971320462</v>
      </c>
      <c r="H100" s="26">
        <f t="shared" si="6"/>
        <v>12666.586587651478</v>
      </c>
      <c r="I100" s="8">
        <f t="shared" si="7"/>
        <v>7587.9529971320462</v>
      </c>
      <c r="J100" s="8">
        <f>VPI!R100</f>
        <v>4073.4583735660226</v>
      </c>
      <c r="K100" s="239">
        <f t="shared" si="10"/>
        <v>5268.449142212593</v>
      </c>
      <c r="L100" s="347">
        <f t="shared" si="8"/>
        <v>12856.402139344638</v>
      </c>
      <c r="M100" s="132"/>
      <c r="N100" s="133"/>
      <c r="O100" s="130"/>
      <c r="P100" s="130"/>
      <c r="Q100" s="134"/>
    </row>
    <row r="101" spans="1:17" s="129" customFormat="1" x14ac:dyDescent="0.25">
      <c r="A101" s="178">
        <f>Données!A101</f>
        <v>5564</v>
      </c>
      <c r="B101" s="358" t="str">
        <f>Données!B101</f>
        <v>Novalles</v>
      </c>
      <c r="C101" s="178">
        <f>Données!AR101</f>
        <v>0</v>
      </c>
      <c r="D101" s="359">
        <f>Données!Z101</f>
        <v>99</v>
      </c>
      <c r="E101" s="131">
        <f>Données!X101</f>
        <v>76</v>
      </c>
      <c r="F101" s="31">
        <f>VPI!L101</f>
        <v>145273.68</v>
      </c>
      <c r="G101" s="8">
        <f t="shared" si="9"/>
        <v>3822.9915789473685</v>
      </c>
      <c r="H101" s="26">
        <f t="shared" si="6"/>
        <v>8416.0541756878938</v>
      </c>
      <c r="I101" s="8">
        <f t="shared" si="7"/>
        <v>3822.9915789473685</v>
      </c>
      <c r="J101" s="8">
        <f>VPI!R101</f>
        <v>2091.5278618421053</v>
      </c>
      <c r="K101" s="239">
        <f t="shared" si="10"/>
        <v>2705.0989992047798</v>
      </c>
      <c r="L101" s="347">
        <f t="shared" si="8"/>
        <v>6528.0905781521487</v>
      </c>
      <c r="M101" s="132"/>
      <c r="N101" s="133"/>
      <c r="O101" s="130"/>
      <c r="P101" s="130"/>
      <c r="Q101" s="134"/>
    </row>
    <row r="102" spans="1:17" s="129" customFormat="1" x14ac:dyDescent="0.25">
      <c r="A102" s="178">
        <f>Données!A102</f>
        <v>5565</v>
      </c>
      <c r="B102" s="358" t="str">
        <f>Données!B102</f>
        <v>Onnens</v>
      </c>
      <c r="C102" s="178">
        <f>Données!AR102</f>
        <v>0</v>
      </c>
      <c r="D102" s="359">
        <f>Données!Z102</f>
        <v>505</v>
      </c>
      <c r="E102" s="131">
        <f>Données!X102</f>
        <v>63.5</v>
      </c>
      <c r="F102" s="31">
        <f>VPI!L102</f>
        <v>1089104.924029835</v>
      </c>
      <c r="G102" s="8">
        <f t="shared" si="9"/>
        <v>34302.517292278266</v>
      </c>
      <c r="H102" s="26">
        <f t="shared" si="6"/>
        <v>42930.377360832186</v>
      </c>
      <c r="I102" s="8">
        <f t="shared" si="7"/>
        <v>34302.517292278266</v>
      </c>
      <c r="J102" s="8">
        <f>VPI!R102</f>
        <v>19614.777543776931</v>
      </c>
      <c r="K102" s="239">
        <f t="shared" si="10"/>
        <v>25368.973596442098</v>
      </c>
      <c r="L102" s="347">
        <f t="shared" si="8"/>
        <v>59671.490888720364</v>
      </c>
      <c r="M102" s="132"/>
      <c r="N102" s="133"/>
      <c r="O102" s="130"/>
      <c r="P102" s="130"/>
      <c r="Q102" s="134"/>
    </row>
    <row r="103" spans="1:17" s="129" customFormat="1" x14ac:dyDescent="0.25">
      <c r="A103" s="178">
        <f>Données!A103</f>
        <v>5566</v>
      </c>
      <c r="B103" s="358" t="str">
        <f>Données!B103</f>
        <v>Provence</v>
      </c>
      <c r="C103" s="178">
        <f>Données!AR103</f>
        <v>0</v>
      </c>
      <c r="D103" s="359">
        <f>Données!Z103</f>
        <v>392</v>
      </c>
      <c r="E103" s="131">
        <f>Données!X103</f>
        <v>81</v>
      </c>
      <c r="F103" s="31">
        <f>VPI!L103</f>
        <v>557922.78767892404</v>
      </c>
      <c r="G103" s="8">
        <f t="shared" si="9"/>
        <v>13775.871300714174</v>
      </c>
      <c r="H103" s="26">
        <f t="shared" si="6"/>
        <v>33324.174109794491</v>
      </c>
      <c r="I103" s="8">
        <f t="shared" si="7"/>
        <v>13775.871300714174</v>
      </c>
      <c r="J103" s="8">
        <f>VPI!R103</f>
        <v>7592.3490248426833</v>
      </c>
      <c r="K103" s="239">
        <f t="shared" si="10"/>
        <v>9819.6424362363105</v>
      </c>
      <c r="L103" s="347">
        <f t="shared" si="8"/>
        <v>23595.513736950485</v>
      </c>
      <c r="M103" s="132"/>
      <c r="N103" s="133"/>
      <c r="O103" s="130"/>
      <c r="P103" s="130"/>
      <c r="Q103" s="134"/>
    </row>
    <row r="104" spans="1:17" s="129" customFormat="1" x14ac:dyDescent="0.25">
      <c r="A104" s="178">
        <f>Données!A104</f>
        <v>5568</v>
      </c>
      <c r="B104" s="358" t="str">
        <f>Données!B104</f>
        <v>Sainte-Croix</v>
      </c>
      <c r="C104" s="178">
        <f>Données!AR104</f>
        <v>0</v>
      </c>
      <c r="D104" s="359">
        <f>Données!Z104</f>
        <v>4917</v>
      </c>
      <c r="E104" s="131">
        <f>Données!X104</f>
        <v>70</v>
      </c>
      <c r="F104" s="31">
        <f>VPI!L104</f>
        <v>6768076.1821093913</v>
      </c>
      <c r="G104" s="8">
        <f t="shared" si="9"/>
        <v>193373.60520312548</v>
      </c>
      <c r="H104" s="26">
        <f t="shared" si="6"/>
        <v>417997.35739249876</v>
      </c>
      <c r="I104" s="8">
        <f t="shared" si="7"/>
        <v>193373.60520312548</v>
      </c>
      <c r="J104" s="8">
        <f>VPI!R104</f>
        <v>106408.06903013417</v>
      </c>
      <c r="K104" s="239">
        <f t="shared" si="10"/>
        <v>137623.96681018212</v>
      </c>
      <c r="L104" s="347">
        <f t="shared" si="8"/>
        <v>330997.5720133076</v>
      </c>
      <c r="M104" s="132"/>
      <c r="N104" s="133"/>
      <c r="O104" s="130"/>
      <c r="P104" s="130"/>
      <c r="Q104" s="134"/>
    </row>
    <row r="105" spans="1:17" s="129" customFormat="1" x14ac:dyDescent="0.25">
      <c r="A105" s="178">
        <f>Données!A105</f>
        <v>5571</v>
      </c>
      <c r="B105" s="358" t="str">
        <f>Données!B105</f>
        <v>Tévenon</v>
      </c>
      <c r="C105" s="178">
        <f>Données!AR105</f>
        <v>0</v>
      </c>
      <c r="D105" s="359">
        <f>Données!Z105</f>
        <v>894</v>
      </c>
      <c r="E105" s="131">
        <f>Données!X105</f>
        <v>71.5</v>
      </c>
      <c r="F105" s="31">
        <f>VPI!L105</f>
        <v>1353115.9593617865</v>
      </c>
      <c r="G105" s="8">
        <f t="shared" si="9"/>
        <v>37849.397464665359</v>
      </c>
      <c r="H105" s="26">
        <f t="shared" si="6"/>
        <v>75999.519525908865</v>
      </c>
      <c r="I105" s="8">
        <f t="shared" si="7"/>
        <v>37849.397464665359</v>
      </c>
      <c r="J105" s="8">
        <f>VPI!R105</f>
        <v>21375.598965432913</v>
      </c>
      <c r="K105" s="239">
        <f t="shared" si="10"/>
        <v>27646.350031343984</v>
      </c>
      <c r="L105" s="347">
        <f t="shared" si="8"/>
        <v>65495.747496009339</v>
      </c>
      <c r="M105" s="132"/>
      <c r="N105" s="133"/>
      <c r="O105" s="130"/>
      <c r="P105" s="130"/>
      <c r="Q105" s="134"/>
    </row>
    <row r="106" spans="1:17" s="129" customFormat="1" x14ac:dyDescent="0.25">
      <c r="A106" s="178">
        <f>Données!A106</f>
        <v>5581</v>
      </c>
      <c r="B106" s="358" t="str">
        <f>Données!B106</f>
        <v>Belmont-sur-Lausanne</v>
      </c>
      <c r="C106" s="178">
        <f>Données!AR106</f>
        <v>1</v>
      </c>
      <c r="D106" s="359">
        <f>Données!Z106</f>
        <v>3756</v>
      </c>
      <c r="E106" s="131">
        <f>Données!X106</f>
        <v>72</v>
      </c>
      <c r="F106" s="31">
        <f>VPI!L106</f>
        <v>14309752.956551123</v>
      </c>
      <c r="G106" s="8">
        <f t="shared" si="9"/>
        <v>397493.13768197567</v>
      </c>
      <c r="H106" s="26">
        <f t="shared" si="6"/>
        <v>319299.99478670437</v>
      </c>
      <c r="I106" s="8">
        <f t="shared" si="7"/>
        <v>0</v>
      </c>
      <c r="J106" s="8">
        <f>VPI!R106</f>
        <v>212399.01953543225</v>
      </c>
      <c r="K106" s="239">
        <f t="shared" si="10"/>
        <v>274708.44910061703</v>
      </c>
      <c r="L106" s="347">
        <f t="shared" si="8"/>
        <v>274708.44910061703</v>
      </c>
      <c r="M106" s="132"/>
      <c r="N106" s="133"/>
      <c r="O106" s="130"/>
      <c r="P106" s="130"/>
      <c r="Q106" s="134"/>
    </row>
    <row r="107" spans="1:17" s="129" customFormat="1" x14ac:dyDescent="0.25">
      <c r="A107" s="178">
        <f>Données!A107</f>
        <v>5582</v>
      </c>
      <c r="B107" s="358" t="str">
        <f>Données!B107</f>
        <v>Cheseaux-sur-Lausanne</v>
      </c>
      <c r="C107" s="178">
        <f>Données!AR107</f>
        <v>0</v>
      </c>
      <c r="D107" s="359">
        <f>Données!Z107</f>
        <v>4367</v>
      </c>
      <c r="E107" s="131">
        <f>Données!X107</f>
        <v>73</v>
      </c>
      <c r="F107" s="31">
        <f>VPI!L107</f>
        <v>10944169.351092281</v>
      </c>
      <c r="G107" s="8">
        <f t="shared" si="9"/>
        <v>299840.25619430904</v>
      </c>
      <c r="H107" s="26">
        <f t="shared" si="6"/>
        <v>371241.50086089934</v>
      </c>
      <c r="I107" s="8">
        <f t="shared" si="7"/>
        <v>299840.25619430904</v>
      </c>
      <c r="J107" s="8">
        <f>VPI!R107</f>
        <v>163661.81439852438</v>
      </c>
      <c r="K107" s="239">
        <f t="shared" si="10"/>
        <v>211673.68525875697</v>
      </c>
      <c r="L107" s="347">
        <f t="shared" si="8"/>
        <v>511513.94145306601</v>
      </c>
      <c r="M107" s="132"/>
      <c r="N107" s="133"/>
      <c r="O107" s="130"/>
      <c r="P107" s="130"/>
      <c r="Q107" s="134"/>
    </row>
    <row r="108" spans="1:17" s="129" customFormat="1" x14ac:dyDescent="0.25">
      <c r="A108" s="178">
        <f>Données!A108</f>
        <v>5583</v>
      </c>
      <c r="B108" s="358" t="str">
        <f>Données!B108</f>
        <v>Crissier</v>
      </c>
      <c r="C108" s="178">
        <f>Données!AR108</f>
        <v>1</v>
      </c>
      <c r="D108" s="359">
        <f>Données!Z108</f>
        <v>8700</v>
      </c>
      <c r="E108" s="131">
        <f>Données!X108</f>
        <v>63.5</v>
      </c>
      <c r="F108" s="31">
        <f>VPI!L108</f>
        <v>20437718.632083226</v>
      </c>
      <c r="G108" s="8">
        <f t="shared" si="9"/>
        <v>643707.67345144018</v>
      </c>
      <c r="H108" s="26">
        <f t="shared" si="6"/>
        <v>739592.63968166348</v>
      </c>
      <c r="I108" s="8">
        <f t="shared" si="7"/>
        <v>0</v>
      </c>
      <c r="J108" s="8">
        <f>VPI!R108</f>
        <v>366439.37058398779</v>
      </c>
      <c r="K108" s="239">
        <f t="shared" si="10"/>
        <v>473938.11611141101</v>
      </c>
      <c r="L108" s="347">
        <f t="shared" si="8"/>
        <v>473938.11611141101</v>
      </c>
      <c r="M108" s="132"/>
      <c r="N108" s="133"/>
      <c r="O108" s="130"/>
      <c r="P108" s="130"/>
      <c r="Q108" s="134"/>
    </row>
    <row r="109" spans="1:17" s="129" customFormat="1" x14ac:dyDescent="0.25">
      <c r="A109" s="178">
        <f>Données!A109</f>
        <v>5584</v>
      </c>
      <c r="B109" s="358" t="str">
        <f>Données!B109</f>
        <v>Epalinges</v>
      </c>
      <c r="C109" s="178">
        <f>Données!AR109</f>
        <v>0</v>
      </c>
      <c r="D109" s="359">
        <f>Données!Z109</f>
        <v>9755</v>
      </c>
      <c r="E109" s="131">
        <f>Données!X109</f>
        <v>64.5</v>
      </c>
      <c r="F109" s="31">
        <f>VPI!L109</f>
        <v>28505509.113028165</v>
      </c>
      <c r="G109" s="8">
        <f t="shared" si="9"/>
        <v>883891.75544273376</v>
      </c>
      <c r="H109" s="26">
        <f t="shared" si="6"/>
        <v>829278.87357409508</v>
      </c>
      <c r="I109" s="8">
        <f t="shared" si="7"/>
        <v>829278.87357409508</v>
      </c>
      <c r="J109" s="8">
        <f>VPI!R109</f>
        <v>481828.05446555291</v>
      </c>
      <c r="K109" s="239">
        <f t="shared" si="10"/>
        <v>623177.25319498987</v>
      </c>
      <c r="L109" s="347">
        <f t="shared" si="8"/>
        <v>1452456.1267690849</v>
      </c>
      <c r="M109" s="132"/>
      <c r="N109" s="133"/>
      <c r="O109" s="130"/>
      <c r="P109" s="130"/>
      <c r="Q109" s="134"/>
    </row>
    <row r="110" spans="1:17" s="129" customFormat="1" x14ac:dyDescent="0.25">
      <c r="A110" s="178">
        <f>Données!A110</f>
        <v>5585</v>
      </c>
      <c r="B110" s="358" t="str">
        <f>Données!B110</f>
        <v>Jouxtens-Mézery</v>
      </c>
      <c r="C110" s="178">
        <f>Données!AR110</f>
        <v>0</v>
      </c>
      <c r="D110" s="359">
        <f>Données!Z110</f>
        <v>1411</v>
      </c>
      <c r="E110" s="131">
        <f>Données!X110</f>
        <v>59</v>
      </c>
      <c r="F110" s="31">
        <f>VPI!L110</f>
        <v>11367552.949417289</v>
      </c>
      <c r="G110" s="8">
        <f t="shared" si="9"/>
        <v>385340.77794634877</v>
      </c>
      <c r="H110" s="26">
        <f t="shared" si="6"/>
        <v>119950.02466561231</v>
      </c>
      <c r="I110" s="8">
        <f t="shared" si="7"/>
        <v>119950.02466561231</v>
      </c>
      <c r="J110" s="8">
        <f>VPI!R110</f>
        <v>202456.81185453033</v>
      </c>
      <c r="K110" s="239">
        <f t="shared" si="10"/>
        <v>261849.5928844696</v>
      </c>
      <c r="L110" s="347">
        <f t="shared" si="8"/>
        <v>381799.61755008192</v>
      </c>
      <c r="M110" s="132"/>
      <c r="N110" s="133"/>
      <c r="O110" s="130"/>
      <c r="P110" s="130"/>
      <c r="Q110" s="134"/>
    </row>
    <row r="111" spans="1:17" s="129" customFormat="1" x14ac:dyDescent="0.25">
      <c r="A111" s="178">
        <f>Données!A111</f>
        <v>5586</v>
      </c>
      <c r="B111" s="358" t="str">
        <f>Données!B111</f>
        <v>Lausanne</v>
      </c>
      <c r="C111" s="178">
        <f>Données!AR111</f>
        <v>1</v>
      </c>
      <c r="D111" s="359">
        <f>Données!Z111</f>
        <v>140430</v>
      </c>
      <c r="E111" s="131">
        <f>Données!X111</f>
        <v>78.5</v>
      </c>
      <c r="F111" s="31">
        <f>VPI!L111</f>
        <v>447289227.87347788</v>
      </c>
      <c r="G111" s="8">
        <f t="shared" si="9"/>
        <v>11395903.894865679</v>
      </c>
      <c r="H111" s="26">
        <f t="shared" si="6"/>
        <v>11938045.332240919</v>
      </c>
      <c r="I111" s="8">
        <f t="shared" si="7"/>
        <v>0</v>
      </c>
      <c r="J111" s="8">
        <f>VPI!R111</f>
        <v>6147866.1896833694</v>
      </c>
      <c r="K111" s="239">
        <f t="shared" si="10"/>
        <v>7951405.7547911694</v>
      </c>
      <c r="L111" s="347">
        <f t="shared" si="8"/>
        <v>7951405.7547911694</v>
      </c>
      <c r="M111" s="132"/>
      <c r="N111" s="133"/>
      <c r="O111" s="130"/>
      <c r="P111" s="130"/>
      <c r="Q111" s="134"/>
    </row>
    <row r="112" spans="1:17" s="129" customFormat="1" x14ac:dyDescent="0.25">
      <c r="A112" s="178">
        <f>Données!A112</f>
        <v>5587</v>
      </c>
      <c r="B112" s="358" t="str">
        <f>Données!B112</f>
        <v>Le Mont-sur-Lausanne</v>
      </c>
      <c r="C112" s="178">
        <f>Données!AR112</f>
        <v>0</v>
      </c>
      <c r="D112" s="359">
        <f>Données!Z112</f>
        <v>9136</v>
      </c>
      <c r="E112" s="131">
        <f>Données!X112</f>
        <v>73.5</v>
      </c>
      <c r="F112" s="31">
        <f>VPI!L112</f>
        <v>29629978.579001393</v>
      </c>
      <c r="G112" s="8">
        <f t="shared" si="9"/>
        <v>806257.92051704472</v>
      </c>
      <c r="H112" s="26">
        <f t="shared" si="6"/>
        <v>776657.28231398587</v>
      </c>
      <c r="I112" s="8">
        <f t="shared" si="7"/>
        <v>776657.28231398587</v>
      </c>
      <c r="J112" s="8">
        <f>VPI!R112</f>
        <v>442283.52488437272</v>
      </c>
      <c r="K112" s="239">
        <f t="shared" si="10"/>
        <v>572031.93051214528</v>
      </c>
      <c r="L112" s="347">
        <f t="shared" si="8"/>
        <v>1348689.2128261311</v>
      </c>
      <c r="M112" s="132"/>
      <c r="N112" s="133"/>
      <c r="O112" s="130"/>
      <c r="P112" s="130"/>
      <c r="Q112" s="134"/>
    </row>
    <row r="113" spans="1:17" s="129" customFormat="1" x14ac:dyDescent="0.25">
      <c r="A113" s="178">
        <f>Données!A113</f>
        <v>5588</v>
      </c>
      <c r="B113" s="358" t="str">
        <f>Données!B113</f>
        <v>Paudex</v>
      </c>
      <c r="C113" s="178">
        <f>Données!AR113</f>
        <v>1</v>
      </c>
      <c r="D113" s="359">
        <f>Données!Z113</f>
        <v>1538</v>
      </c>
      <c r="E113" s="131">
        <f>Données!X113</f>
        <v>66.5</v>
      </c>
      <c r="F113" s="31">
        <f>VPI!L113</f>
        <v>8376555.9213074716</v>
      </c>
      <c r="G113" s="8">
        <f t="shared" si="9"/>
        <v>251926.49387390891</v>
      </c>
      <c r="H113" s="26">
        <f t="shared" si="6"/>
        <v>130746.37699199982</v>
      </c>
      <c r="I113" s="8">
        <f t="shared" si="7"/>
        <v>0</v>
      </c>
      <c r="J113" s="8">
        <f>VPI!R113</f>
        <v>135325.41739882343</v>
      </c>
      <c r="K113" s="239">
        <f t="shared" si="10"/>
        <v>175024.5157385151</v>
      </c>
      <c r="L113" s="347">
        <f t="shared" si="8"/>
        <v>175024.5157385151</v>
      </c>
      <c r="M113" s="132"/>
      <c r="N113" s="133"/>
      <c r="O113" s="130"/>
      <c r="P113" s="130"/>
      <c r="Q113" s="134"/>
    </row>
    <row r="114" spans="1:17" s="129" customFormat="1" x14ac:dyDescent="0.25">
      <c r="A114" s="178">
        <f>Données!A114</f>
        <v>5589</v>
      </c>
      <c r="B114" s="358" t="str">
        <f>Données!B114</f>
        <v>Prilly</v>
      </c>
      <c r="C114" s="178">
        <f>Données!AR114</f>
        <v>1</v>
      </c>
      <c r="D114" s="359">
        <f>Données!Z114</f>
        <v>12383</v>
      </c>
      <c r="E114" s="131">
        <f>Données!X114</f>
        <v>72.5</v>
      </c>
      <c r="F114" s="31">
        <f>VPI!L114</f>
        <v>30062611.086780973</v>
      </c>
      <c r="G114" s="8">
        <f t="shared" si="9"/>
        <v>829313.40929050965</v>
      </c>
      <c r="H114" s="26">
        <f t="shared" si="6"/>
        <v>1052686.8571469011</v>
      </c>
      <c r="I114" s="8">
        <f t="shared" si="7"/>
        <v>0</v>
      </c>
      <c r="J114" s="8">
        <f>VPI!R114</f>
        <v>453159.46835878264</v>
      </c>
      <c r="K114" s="239">
        <f t="shared" si="10"/>
        <v>586098.44348803372</v>
      </c>
      <c r="L114" s="347">
        <f t="shared" si="8"/>
        <v>586098.44348803372</v>
      </c>
      <c r="M114" s="132"/>
      <c r="N114" s="133"/>
      <c r="O114" s="130"/>
      <c r="P114" s="130"/>
      <c r="Q114" s="134"/>
    </row>
    <row r="115" spans="1:17" s="129" customFormat="1" x14ac:dyDescent="0.25">
      <c r="A115" s="178">
        <f>Données!A115</f>
        <v>5590</v>
      </c>
      <c r="B115" s="358" t="str">
        <f>Données!B115</f>
        <v>Pully</v>
      </c>
      <c r="C115" s="178">
        <f>Données!AR115</f>
        <v>1</v>
      </c>
      <c r="D115" s="359">
        <f>Données!Z115</f>
        <v>18688</v>
      </c>
      <c r="E115" s="131">
        <f>Données!X115</f>
        <v>61</v>
      </c>
      <c r="F115" s="31">
        <f>VPI!L115</f>
        <v>84396341.601465344</v>
      </c>
      <c r="G115" s="8">
        <f t="shared" si="9"/>
        <v>2767093.167261159</v>
      </c>
      <c r="H115" s="26">
        <f t="shared" si="6"/>
        <v>1588678.9942955088</v>
      </c>
      <c r="I115" s="8">
        <f t="shared" si="7"/>
        <v>0</v>
      </c>
      <c r="J115" s="8">
        <f>VPI!R115</f>
        <v>1476232.2063472071</v>
      </c>
      <c r="K115" s="239">
        <f t="shared" si="10"/>
        <v>1909300.0561161842</v>
      </c>
      <c r="L115" s="347">
        <f t="shared" si="8"/>
        <v>1909300.0561161842</v>
      </c>
      <c r="M115" s="132"/>
      <c r="N115" s="133"/>
      <c r="O115" s="130"/>
      <c r="P115" s="130"/>
      <c r="Q115" s="134"/>
    </row>
    <row r="116" spans="1:17" s="129" customFormat="1" x14ac:dyDescent="0.25">
      <c r="A116" s="178">
        <f>Données!A116</f>
        <v>5591</v>
      </c>
      <c r="B116" s="358" t="str">
        <f>Données!B116</f>
        <v>Renens</v>
      </c>
      <c r="C116" s="178">
        <f>Données!AR116</f>
        <v>1</v>
      </c>
      <c r="D116" s="359">
        <f>Données!Z116</f>
        <v>20863</v>
      </c>
      <c r="E116" s="131">
        <f>Données!X116</f>
        <v>77</v>
      </c>
      <c r="F116" s="31">
        <f>VPI!L116</f>
        <v>41494995.96666541</v>
      </c>
      <c r="G116" s="8">
        <f t="shared" si="9"/>
        <v>1077792.1030302704</v>
      </c>
      <c r="H116" s="26">
        <f t="shared" si="6"/>
        <v>1773577.1542159247</v>
      </c>
      <c r="I116" s="8">
        <f t="shared" si="7"/>
        <v>0</v>
      </c>
      <c r="J116" s="8">
        <f>VPI!R116</f>
        <v>594878.13045762118</v>
      </c>
      <c r="K116" s="239">
        <f t="shared" si="10"/>
        <v>769391.72779291647</v>
      </c>
      <c r="L116" s="347">
        <f t="shared" si="8"/>
        <v>769391.72779291647</v>
      </c>
      <c r="M116" s="132"/>
      <c r="N116" s="133"/>
      <c r="O116" s="130"/>
      <c r="P116" s="130"/>
      <c r="Q116" s="134"/>
    </row>
    <row r="117" spans="1:17" s="129" customFormat="1" x14ac:dyDescent="0.25">
      <c r="A117" s="178">
        <f>Données!A117</f>
        <v>5592</v>
      </c>
      <c r="B117" s="358" t="str">
        <f>Données!B117</f>
        <v>Romanel-sur-Lausanne</v>
      </c>
      <c r="C117" s="178">
        <f>Données!AR117</f>
        <v>0</v>
      </c>
      <c r="D117" s="359">
        <f>Données!Z117</f>
        <v>3247</v>
      </c>
      <c r="E117" s="131">
        <f>Données!X117</f>
        <v>70.5</v>
      </c>
      <c r="F117" s="31">
        <f>VPI!L117</f>
        <v>7719806.5892017568</v>
      </c>
      <c r="G117" s="8">
        <f t="shared" si="9"/>
        <v>219001.60536742571</v>
      </c>
      <c r="H117" s="26">
        <f t="shared" si="6"/>
        <v>276029.5748329151</v>
      </c>
      <c r="I117" s="8">
        <f t="shared" si="7"/>
        <v>219001.60536742571</v>
      </c>
      <c r="J117" s="8">
        <f>VPI!R117</f>
        <v>121107.61842839372</v>
      </c>
      <c r="K117" s="239">
        <f t="shared" si="10"/>
        <v>156635.77970134359</v>
      </c>
      <c r="L117" s="347">
        <f t="shared" si="8"/>
        <v>375637.38506876933</v>
      </c>
      <c r="M117" s="132"/>
      <c r="N117" s="133"/>
      <c r="O117" s="130"/>
      <c r="P117" s="130"/>
      <c r="Q117" s="134"/>
    </row>
    <row r="118" spans="1:17" s="129" customFormat="1" x14ac:dyDescent="0.25">
      <c r="A118" s="178">
        <f>Données!A118</f>
        <v>5601</v>
      </c>
      <c r="B118" s="358" t="str">
        <f>Données!B118</f>
        <v>Chexbres</v>
      </c>
      <c r="C118" s="178">
        <f>Données!AR118</f>
        <v>1</v>
      </c>
      <c r="D118" s="359">
        <f>Données!Z118</f>
        <v>2251</v>
      </c>
      <c r="E118" s="131">
        <f>Données!X118</f>
        <v>67.5</v>
      </c>
      <c r="F118" s="31">
        <f>VPI!L118</f>
        <v>6120443.5843659202</v>
      </c>
      <c r="G118" s="8">
        <f t="shared" si="9"/>
        <v>181346.47657380503</v>
      </c>
      <c r="H118" s="26">
        <f t="shared" si="6"/>
        <v>191358.9691866005</v>
      </c>
      <c r="I118" s="8">
        <f t="shared" si="7"/>
        <v>0</v>
      </c>
      <c r="J118" s="8">
        <f>VPI!R118</f>
        <v>98052.639768384004</v>
      </c>
      <c r="K118" s="239">
        <f t="shared" si="10"/>
        <v>126817.38672762954</v>
      </c>
      <c r="L118" s="347">
        <f t="shared" si="8"/>
        <v>126817.38672762954</v>
      </c>
      <c r="M118" s="132"/>
      <c r="N118" s="133"/>
      <c r="O118" s="130"/>
      <c r="P118" s="130"/>
      <c r="Q118" s="134"/>
    </row>
    <row r="119" spans="1:17" s="129" customFormat="1" x14ac:dyDescent="0.25">
      <c r="A119" s="178">
        <f>Données!A119</f>
        <v>5604</v>
      </c>
      <c r="B119" s="358" t="str">
        <f>Données!B119</f>
        <v>Forel (Lavaux)</v>
      </c>
      <c r="C119" s="178">
        <f>Données!AR119</f>
        <v>0</v>
      </c>
      <c r="D119" s="359">
        <f>Données!Z119</f>
        <v>2105</v>
      </c>
      <c r="E119" s="131">
        <f>Données!X119</f>
        <v>69</v>
      </c>
      <c r="F119" s="31">
        <f>VPI!L119</f>
        <v>4491726.7489927346</v>
      </c>
      <c r="G119" s="8">
        <f t="shared" si="9"/>
        <v>130194.97823167346</v>
      </c>
      <c r="H119" s="26">
        <f t="shared" si="6"/>
        <v>178947.41454366685</v>
      </c>
      <c r="I119" s="8">
        <f t="shared" si="7"/>
        <v>130194.97823167346</v>
      </c>
      <c r="J119" s="8">
        <f>VPI!R119</f>
        <v>71266.170275257027</v>
      </c>
      <c r="K119" s="239">
        <f t="shared" si="10"/>
        <v>92172.831835461737</v>
      </c>
      <c r="L119" s="347">
        <f t="shared" si="8"/>
        <v>222367.8100671352</v>
      </c>
      <c r="M119" s="132"/>
      <c r="N119" s="133"/>
      <c r="O119" s="130"/>
      <c r="P119" s="130"/>
      <c r="Q119" s="134"/>
    </row>
    <row r="120" spans="1:17" s="129" customFormat="1" x14ac:dyDescent="0.25">
      <c r="A120" s="178">
        <f>Données!A120</f>
        <v>5606</v>
      </c>
      <c r="B120" s="358" t="str">
        <f>Données!B120</f>
        <v>Lutry</v>
      </c>
      <c r="C120" s="178">
        <f>Données!AR120</f>
        <v>1</v>
      </c>
      <c r="D120" s="359">
        <f>Données!Z120</f>
        <v>10455</v>
      </c>
      <c r="E120" s="131">
        <f>Données!X120</f>
        <v>54</v>
      </c>
      <c r="F120" s="31">
        <f>VPI!L120</f>
        <v>43871561.347876012</v>
      </c>
      <c r="G120" s="8">
        <f t="shared" si="9"/>
        <v>1624872.6425139264</v>
      </c>
      <c r="H120" s="26">
        <f t="shared" si="6"/>
        <v>888786.32734158519</v>
      </c>
      <c r="I120" s="8">
        <f t="shared" si="7"/>
        <v>0</v>
      </c>
      <c r="J120" s="8">
        <f>VPI!R120</f>
        <v>874192.86279135477</v>
      </c>
      <c r="K120" s="239">
        <f t="shared" si="10"/>
        <v>1130646.2999570495</v>
      </c>
      <c r="L120" s="347">
        <f t="shared" si="8"/>
        <v>1130646.2999570495</v>
      </c>
      <c r="M120" s="132"/>
      <c r="N120" s="133"/>
      <c r="O120" s="130"/>
      <c r="P120" s="130"/>
      <c r="Q120" s="134"/>
    </row>
    <row r="121" spans="1:17" s="129" customFormat="1" x14ac:dyDescent="0.25">
      <c r="A121" s="178">
        <f>Données!A121</f>
        <v>5607</v>
      </c>
      <c r="B121" s="358" t="str">
        <f>Données!B121</f>
        <v>Puidoux</v>
      </c>
      <c r="C121" s="178">
        <f>Données!AR121</f>
        <v>1</v>
      </c>
      <c r="D121" s="359">
        <f>Données!Z121</f>
        <v>2894</v>
      </c>
      <c r="E121" s="131">
        <f>Données!X121</f>
        <v>68.5</v>
      </c>
      <c r="F121" s="31">
        <f>VPI!L121</f>
        <v>6212227.0285671828</v>
      </c>
      <c r="G121" s="8">
        <f t="shared" si="9"/>
        <v>181378.89134502722</v>
      </c>
      <c r="H121" s="26">
        <f t="shared" si="6"/>
        <v>246020.81600445218</v>
      </c>
      <c r="I121" s="8">
        <f t="shared" si="7"/>
        <v>0</v>
      </c>
      <c r="J121" s="8">
        <f>VPI!R121</f>
        <v>102748.27893179639</v>
      </c>
      <c r="K121" s="239">
        <f t="shared" si="10"/>
        <v>132890.5397720199</v>
      </c>
      <c r="L121" s="347">
        <f t="shared" si="8"/>
        <v>132890.5397720199</v>
      </c>
      <c r="M121" s="132"/>
      <c r="N121" s="133"/>
      <c r="O121" s="130"/>
      <c r="P121" s="130"/>
      <c r="Q121" s="134"/>
    </row>
    <row r="122" spans="1:17" s="129" customFormat="1" x14ac:dyDescent="0.25">
      <c r="A122" s="178">
        <f>Données!A122</f>
        <v>5609</v>
      </c>
      <c r="B122" s="358" t="str">
        <f>Données!B122</f>
        <v>Rivaz</v>
      </c>
      <c r="C122" s="178">
        <f>Données!AR122</f>
        <v>1</v>
      </c>
      <c r="D122" s="359">
        <f>Données!Z122</f>
        <v>337</v>
      </c>
      <c r="E122" s="131">
        <f>Données!X122</f>
        <v>62</v>
      </c>
      <c r="F122" s="31">
        <f>VPI!L122</f>
        <v>935535.10613268905</v>
      </c>
      <c r="G122" s="8">
        <f t="shared" si="9"/>
        <v>30178.551810731904</v>
      </c>
      <c r="H122" s="26">
        <f t="shared" si="6"/>
        <v>28648.588456634548</v>
      </c>
      <c r="I122" s="8">
        <f t="shared" si="7"/>
        <v>0</v>
      </c>
      <c r="J122" s="8">
        <f>VPI!R122</f>
        <v>16045.690421494986</v>
      </c>
      <c r="K122" s="239">
        <f t="shared" si="10"/>
        <v>20752.858182107535</v>
      </c>
      <c r="L122" s="347">
        <f t="shared" si="8"/>
        <v>20752.858182107535</v>
      </c>
      <c r="M122" s="132"/>
      <c r="N122" s="133"/>
      <c r="O122" s="130"/>
      <c r="P122" s="130"/>
      <c r="Q122" s="134"/>
    </row>
    <row r="123" spans="1:17" s="129" customFormat="1" x14ac:dyDescent="0.25">
      <c r="A123" s="178">
        <f>Données!A123</f>
        <v>5610</v>
      </c>
      <c r="B123" s="358" t="str">
        <f>Données!B123</f>
        <v>St-Saphorin (Lavaux)</v>
      </c>
      <c r="C123" s="178">
        <f>Données!AR123</f>
        <v>1</v>
      </c>
      <c r="D123" s="359">
        <f>Données!Z123</f>
        <v>388</v>
      </c>
      <c r="E123" s="131">
        <f>Données!X123</f>
        <v>72</v>
      </c>
      <c r="F123" s="31">
        <f>VPI!L123</f>
        <v>1276313.2633186441</v>
      </c>
      <c r="G123" s="8">
        <f t="shared" si="9"/>
        <v>35453.14620329567</v>
      </c>
      <c r="H123" s="26">
        <f t="shared" si="6"/>
        <v>32984.131516837406</v>
      </c>
      <c r="I123" s="8">
        <f t="shared" si="7"/>
        <v>0</v>
      </c>
      <c r="J123" s="8">
        <f>VPI!R123</f>
        <v>19212.066388684874</v>
      </c>
      <c r="K123" s="239">
        <f t="shared" si="10"/>
        <v>24848.122996035247</v>
      </c>
      <c r="L123" s="347">
        <f t="shared" si="8"/>
        <v>24848.122996035247</v>
      </c>
      <c r="M123" s="132"/>
      <c r="N123" s="133"/>
      <c r="O123" s="130"/>
      <c r="P123" s="130"/>
      <c r="Q123" s="134"/>
    </row>
    <row r="124" spans="1:17" s="129" customFormat="1" x14ac:dyDescent="0.25">
      <c r="A124" s="178">
        <f>Données!A124</f>
        <v>5611</v>
      </c>
      <c r="B124" s="358" t="str">
        <f>Données!B124</f>
        <v>Savigny</v>
      </c>
      <c r="C124" s="178">
        <f>Données!AR124</f>
        <v>1</v>
      </c>
      <c r="D124" s="359">
        <f>Données!Z124</f>
        <v>3348</v>
      </c>
      <c r="E124" s="131">
        <f>Données!X124</f>
        <v>69</v>
      </c>
      <c r="F124" s="31">
        <f>VPI!L124</f>
        <v>8738045.517874945</v>
      </c>
      <c r="G124" s="8">
        <f t="shared" si="9"/>
        <v>253276.68167753462</v>
      </c>
      <c r="H124" s="26">
        <f t="shared" si="6"/>
        <v>284615.65030508151</v>
      </c>
      <c r="I124" s="8">
        <f t="shared" si="7"/>
        <v>0</v>
      </c>
      <c r="J124" s="8">
        <f>VPI!R124</f>
        <v>136601.19868900886</v>
      </c>
      <c r="K124" s="239">
        <f t="shared" si="10"/>
        <v>176674.56054750236</v>
      </c>
      <c r="L124" s="347">
        <f t="shared" si="8"/>
        <v>176674.56054750236</v>
      </c>
      <c r="M124" s="132"/>
      <c r="N124" s="133"/>
      <c r="O124" s="130"/>
      <c r="P124" s="130"/>
      <c r="Q124" s="134"/>
    </row>
    <row r="125" spans="1:17" s="129" customFormat="1" x14ac:dyDescent="0.25">
      <c r="A125" s="178">
        <f>Données!A125</f>
        <v>5613</v>
      </c>
      <c r="B125" s="358" t="str">
        <f>Données!B125</f>
        <v>Bourg-en-Lavaux</v>
      </c>
      <c r="C125" s="178">
        <f>Données!AR125</f>
        <v>1</v>
      </c>
      <c r="D125" s="359">
        <f>Données!Z125</f>
        <v>5389</v>
      </c>
      <c r="E125" s="131">
        <f>Données!X125</f>
        <v>62.5</v>
      </c>
      <c r="F125" s="31">
        <f>VPI!L125</f>
        <v>19976880.61602325</v>
      </c>
      <c r="G125" s="8">
        <f t="shared" si="9"/>
        <v>639260.17971274396</v>
      </c>
      <c r="H125" s="26">
        <f t="shared" si="6"/>
        <v>458122.38336143497</v>
      </c>
      <c r="I125" s="8">
        <f t="shared" si="7"/>
        <v>0</v>
      </c>
      <c r="J125" s="8">
        <f>VPI!R125</f>
        <v>343743.87305637199</v>
      </c>
      <c r="K125" s="239">
        <f t="shared" si="10"/>
        <v>444584.66174512019</v>
      </c>
      <c r="L125" s="347">
        <f t="shared" si="8"/>
        <v>444584.66174512019</v>
      </c>
      <c r="M125" s="132"/>
      <c r="N125" s="133"/>
      <c r="O125" s="130"/>
      <c r="P125" s="130"/>
      <c r="Q125" s="134"/>
    </row>
    <row r="126" spans="1:17" s="129" customFormat="1" x14ac:dyDescent="0.25">
      <c r="A126" s="178">
        <f>Données!A126</f>
        <v>5621</v>
      </c>
      <c r="B126" s="358" t="str">
        <f>Données!B126</f>
        <v>Aclens</v>
      </c>
      <c r="C126" s="178">
        <f>Données!AR126</f>
        <v>0</v>
      </c>
      <c r="D126" s="359">
        <f>Données!Z126</f>
        <v>528</v>
      </c>
      <c r="E126" s="131">
        <f>Données!X126</f>
        <v>62</v>
      </c>
      <c r="F126" s="31">
        <f>VPI!L126</f>
        <v>1679412.6079104554</v>
      </c>
      <c r="G126" s="8">
        <f t="shared" si="9"/>
        <v>54174.600255175981</v>
      </c>
      <c r="H126" s="26">
        <f t="shared" si="6"/>
        <v>44885.622270335436</v>
      </c>
      <c r="I126" s="8">
        <f t="shared" si="7"/>
        <v>44885.622270335436</v>
      </c>
      <c r="J126" s="8">
        <f>VPI!R126</f>
        <v>32263.209585065993</v>
      </c>
      <c r="K126" s="239">
        <f t="shared" si="10"/>
        <v>41727.952829100162</v>
      </c>
      <c r="L126" s="347">
        <f t="shared" si="8"/>
        <v>86613.575099435606</v>
      </c>
      <c r="M126" s="132"/>
      <c r="N126" s="133"/>
      <c r="O126" s="130"/>
      <c r="P126" s="130"/>
      <c r="Q126" s="134"/>
    </row>
    <row r="127" spans="1:17" s="129" customFormat="1" x14ac:dyDescent="0.25">
      <c r="A127" s="178">
        <f>Données!A127</f>
        <v>5622</v>
      </c>
      <c r="B127" s="358" t="str">
        <f>Données!B127</f>
        <v>Bremblens</v>
      </c>
      <c r="C127" s="178">
        <f>Données!AR127</f>
        <v>0</v>
      </c>
      <c r="D127" s="359">
        <f>Données!Z127</f>
        <v>583</v>
      </c>
      <c r="E127" s="131">
        <f>Données!X127</f>
        <v>68</v>
      </c>
      <c r="F127" s="31">
        <f>VPI!L127</f>
        <v>1735565.4706357063</v>
      </c>
      <c r="G127" s="8">
        <f t="shared" si="9"/>
        <v>51046.04325399136</v>
      </c>
      <c r="H127" s="26">
        <f t="shared" si="6"/>
        <v>49561.207923495378</v>
      </c>
      <c r="I127" s="8">
        <f t="shared" si="7"/>
        <v>49561.207923495378</v>
      </c>
      <c r="J127" s="8">
        <f>VPI!R127</f>
        <v>27798.843685819211</v>
      </c>
      <c r="K127" s="239">
        <f t="shared" si="10"/>
        <v>35953.919431572271</v>
      </c>
      <c r="L127" s="347">
        <f t="shared" si="8"/>
        <v>85515.127355067641</v>
      </c>
      <c r="M127" s="132"/>
      <c r="N127" s="133"/>
      <c r="O127" s="130"/>
      <c r="P127" s="130"/>
      <c r="Q127" s="134"/>
    </row>
    <row r="128" spans="1:17" s="129" customFormat="1" x14ac:dyDescent="0.25">
      <c r="A128" s="178">
        <f>Données!A128</f>
        <v>5623</v>
      </c>
      <c r="B128" s="358" t="str">
        <f>Données!B128</f>
        <v>Buchillon</v>
      </c>
      <c r="C128" s="178">
        <f>Données!AR128</f>
        <v>1</v>
      </c>
      <c r="D128" s="359">
        <f>Données!Z128</f>
        <v>686</v>
      </c>
      <c r="E128" s="131">
        <f>Données!X128</f>
        <v>52</v>
      </c>
      <c r="F128" s="31">
        <f>VPI!L128</f>
        <v>4561401.0999999996</v>
      </c>
      <c r="G128" s="8">
        <f t="shared" si="9"/>
        <v>175438.50384615382</v>
      </c>
      <c r="H128" s="26">
        <f t="shared" si="6"/>
        <v>58317.304692140358</v>
      </c>
      <c r="I128" s="8">
        <f t="shared" si="7"/>
        <v>0</v>
      </c>
      <c r="J128" s="8">
        <f>VPI!R128</f>
        <v>94505.231730769228</v>
      </c>
      <c r="K128" s="239">
        <f t="shared" si="10"/>
        <v>122229.31017966951</v>
      </c>
      <c r="L128" s="347">
        <f t="shared" si="8"/>
        <v>122229.31017966951</v>
      </c>
      <c r="M128" s="132"/>
      <c r="N128" s="133"/>
      <c r="O128" s="130"/>
      <c r="P128" s="130"/>
      <c r="Q128" s="134"/>
    </row>
    <row r="129" spans="1:17" s="129" customFormat="1" x14ac:dyDescent="0.25">
      <c r="A129" s="178">
        <f>Données!A129</f>
        <v>5624</v>
      </c>
      <c r="B129" s="358" t="str">
        <f>Données!B129</f>
        <v>Bussigny</v>
      </c>
      <c r="C129" s="178">
        <f>Données!AR129</f>
        <v>1</v>
      </c>
      <c r="D129" s="359">
        <f>Données!Z129</f>
        <v>9614</v>
      </c>
      <c r="E129" s="131">
        <f>Données!X129</f>
        <v>62.5</v>
      </c>
      <c r="F129" s="31">
        <f>VPI!L129</f>
        <v>19351080.037473749</v>
      </c>
      <c r="G129" s="8">
        <f t="shared" si="9"/>
        <v>619234.56119915994</v>
      </c>
      <c r="H129" s="26">
        <f t="shared" si="6"/>
        <v>817292.37217235775</v>
      </c>
      <c r="I129" s="8">
        <f t="shared" si="7"/>
        <v>0</v>
      </c>
      <c r="J129" s="8">
        <f>VPI!R129</f>
        <v>350915.44619957998</v>
      </c>
      <c r="K129" s="239">
        <f t="shared" si="10"/>
        <v>453860.08938170422</v>
      </c>
      <c r="L129" s="347">
        <f t="shared" si="8"/>
        <v>453860.08938170422</v>
      </c>
      <c r="M129" s="132"/>
      <c r="N129" s="133"/>
      <c r="O129" s="130"/>
      <c r="P129" s="130"/>
      <c r="Q129" s="134"/>
    </row>
    <row r="130" spans="1:17" s="129" customFormat="1" x14ac:dyDescent="0.25">
      <c r="A130" s="178">
        <f>Données!A130</f>
        <v>5627</v>
      </c>
      <c r="B130" s="358" t="str">
        <f>Données!B130</f>
        <v>Chavannes-près-Renens</v>
      </c>
      <c r="C130" s="178">
        <f>Données!AR130</f>
        <v>1</v>
      </c>
      <c r="D130" s="359">
        <f>Données!Z130</f>
        <v>8487</v>
      </c>
      <c r="E130" s="131">
        <f>Données!X130</f>
        <v>77.5</v>
      </c>
      <c r="F130" s="31">
        <f>VPI!L130</f>
        <v>11277695.190000001</v>
      </c>
      <c r="G130" s="8">
        <f t="shared" si="9"/>
        <v>291037.29522580648</v>
      </c>
      <c r="H130" s="26">
        <f t="shared" si="6"/>
        <v>721485.37160669861</v>
      </c>
      <c r="I130" s="8">
        <f t="shared" si="7"/>
        <v>0</v>
      </c>
      <c r="J130" s="8">
        <f>VPI!R130</f>
        <v>162426.10008602153</v>
      </c>
      <c r="K130" s="239">
        <f t="shared" si="10"/>
        <v>210075.46148605985</v>
      </c>
      <c r="L130" s="347">
        <f t="shared" si="8"/>
        <v>210075.46148605985</v>
      </c>
      <c r="M130" s="132"/>
      <c r="N130" s="133"/>
      <c r="O130" s="130"/>
      <c r="P130" s="130"/>
      <c r="Q130" s="134"/>
    </row>
    <row r="131" spans="1:17" s="129" customFormat="1" x14ac:dyDescent="0.25">
      <c r="A131" s="178">
        <f>Données!A131</f>
        <v>5628</v>
      </c>
      <c r="B131" s="358" t="str">
        <f>Données!B131</f>
        <v>Chigny</v>
      </c>
      <c r="C131" s="178">
        <f>Données!AR131</f>
        <v>0</v>
      </c>
      <c r="D131" s="359">
        <f>Données!Z131</f>
        <v>396</v>
      </c>
      <c r="E131" s="131">
        <f>Données!X131</f>
        <v>62</v>
      </c>
      <c r="F131" s="31">
        <f>VPI!L131</f>
        <v>1426634.6833442512</v>
      </c>
      <c r="G131" s="8">
        <f t="shared" si="9"/>
        <v>46020.473656266171</v>
      </c>
      <c r="H131" s="26">
        <f t="shared" si="6"/>
        <v>33664.216702751575</v>
      </c>
      <c r="I131" s="8">
        <f t="shared" si="7"/>
        <v>33664.216702751575</v>
      </c>
      <c r="J131" s="8">
        <f>VPI!R131</f>
        <v>24622.507795875023</v>
      </c>
      <c r="K131" s="239">
        <f t="shared" si="10"/>
        <v>31845.77284945664</v>
      </c>
      <c r="L131" s="347">
        <f t="shared" si="8"/>
        <v>65509.989552208215</v>
      </c>
      <c r="M131" s="132"/>
      <c r="N131" s="133"/>
      <c r="O131" s="130"/>
      <c r="P131" s="130"/>
      <c r="Q131" s="134"/>
    </row>
    <row r="132" spans="1:17" s="129" customFormat="1" x14ac:dyDescent="0.25">
      <c r="A132" s="178">
        <f>Données!A132</f>
        <v>5629</v>
      </c>
      <c r="B132" s="358" t="str">
        <f>Données!B132</f>
        <v>Clarmont</v>
      </c>
      <c r="C132" s="178">
        <f>Données!AR132</f>
        <v>0</v>
      </c>
      <c r="D132" s="359">
        <f>Données!Z132</f>
        <v>201</v>
      </c>
      <c r="E132" s="131">
        <f>Données!X132</f>
        <v>73.5</v>
      </c>
      <c r="F132" s="31">
        <f>VPI!L132</f>
        <v>588001.07449230389</v>
      </c>
      <c r="G132" s="8">
        <f t="shared" si="9"/>
        <v>16000.029237885819</v>
      </c>
      <c r="H132" s="26">
        <f t="shared" si="6"/>
        <v>17087.140296093603</v>
      </c>
      <c r="I132" s="8">
        <f t="shared" si="7"/>
        <v>16000.029237885819</v>
      </c>
      <c r="J132" s="8">
        <f>VPI!R132</f>
        <v>8520.6241427524346</v>
      </c>
      <c r="K132" s="239">
        <f t="shared" si="10"/>
        <v>11020.236575217918</v>
      </c>
      <c r="L132" s="347">
        <f t="shared" si="8"/>
        <v>27020.265813103739</v>
      </c>
      <c r="M132" s="132"/>
      <c r="N132" s="133"/>
      <c r="O132" s="130"/>
      <c r="P132" s="130"/>
      <c r="Q132" s="134"/>
    </row>
    <row r="133" spans="1:17" s="129" customFormat="1" x14ac:dyDescent="0.25">
      <c r="A133" s="178">
        <f>Données!A133</f>
        <v>5631</v>
      </c>
      <c r="B133" s="358" t="str">
        <f>Données!B133</f>
        <v>Denens</v>
      </c>
      <c r="C133" s="178">
        <f>Données!AR133</f>
        <v>0</v>
      </c>
      <c r="D133" s="359">
        <f>Données!Z133</f>
        <v>742</v>
      </c>
      <c r="E133" s="131">
        <f>Données!X133</f>
        <v>68</v>
      </c>
      <c r="F133" s="31">
        <f>VPI!L133</f>
        <v>2743893.3747596154</v>
      </c>
      <c r="G133" s="8">
        <f t="shared" si="9"/>
        <v>80702.746316459277</v>
      </c>
      <c r="H133" s="26">
        <f t="shared" si="6"/>
        <v>63077.900993539573</v>
      </c>
      <c r="I133" s="8">
        <f t="shared" si="7"/>
        <v>63077.900993539573</v>
      </c>
      <c r="J133" s="8">
        <f>VPI!R133</f>
        <v>43443.742275876699</v>
      </c>
      <c r="K133" s="239">
        <f t="shared" si="10"/>
        <v>56188.409390195491</v>
      </c>
      <c r="L133" s="347">
        <f t="shared" si="8"/>
        <v>119266.31038373506</v>
      </c>
      <c r="M133" s="132"/>
      <c r="N133" s="133"/>
      <c r="O133" s="130"/>
      <c r="P133" s="130"/>
      <c r="Q133" s="134"/>
    </row>
    <row r="134" spans="1:17" s="129" customFormat="1" x14ac:dyDescent="0.25">
      <c r="A134" s="178">
        <f>Données!A134</f>
        <v>5632</v>
      </c>
      <c r="B134" s="358" t="str">
        <f>Données!B134</f>
        <v>Denges</v>
      </c>
      <c r="C134" s="178">
        <f>Données!AR134</f>
        <v>0</v>
      </c>
      <c r="D134" s="359">
        <f>Données!Z134</f>
        <v>1730</v>
      </c>
      <c r="E134" s="131">
        <f>Données!X134</f>
        <v>62</v>
      </c>
      <c r="F134" s="31">
        <f>VPI!L134</f>
        <v>4364259.226811762</v>
      </c>
      <c r="G134" s="8">
        <f t="shared" si="9"/>
        <v>140782.55570360523</v>
      </c>
      <c r="H134" s="26">
        <f t="shared" ref="H134:H197" si="11">+$G$306/$D$306*D134</f>
        <v>147068.42145393998</v>
      </c>
      <c r="I134" s="8">
        <f t="shared" ref="I134:I197" si="12">IF(C134=1,0,IF(H134&gt;G134,G134,H134))</f>
        <v>140782.55570360523</v>
      </c>
      <c r="J134" s="8">
        <f>VPI!R134</f>
        <v>76401.256884060669</v>
      </c>
      <c r="K134" s="239">
        <f t="shared" si="10"/>
        <v>98814.348737880733</v>
      </c>
      <c r="L134" s="347">
        <f t="shared" ref="L134:L197" si="13">+K134+I134</f>
        <v>239596.90444148597</v>
      </c>
      <c r="M134" s="132"/>
      <c r="N134" s="133"/>
      <c r="O134" s="130"/>
      <c r="P134" s="130"/>
      <c r="Q134" s="134"/>
    </row>
    <row r="135" spans="1:17" s="129" customFormat="1" x14ac:dyDescent="0.25">
      <c r="A135" s="178">
        <f>Données!A135</f>
        <v>5633</v>
      </c>
      <c r="B135" s="358" t="str">
        <f>Données!B135</f>
        <v>Echandens</v>
      </c>
      <c r="C135" s="178">
        <f>Données!AR135</f>
        <v>0</v>
      </c>
      <c r="D135" s="359">
        <f>Données!Z135</f>
        <v>2743</v>
      </c>
      <c r="E135" s="131">
        <f>Données!X135</f>
        <v>60.5</v>
      </c>
      <c r="F135" s="31">
        <f>VPI!L135</f>
        <v>8286186.8376805158</v>
      </c>
      <c r="G135" s="8">
        <f t="shared" ref="G135:G198" si="14">F135/E135*2</f>
        <v>273923.53182414931</v>
      </c>
      <c r="H135" s="26">
        <f t="shared" si="11"/>
        <v>233184.20812032218</v>
      </c>
      <c r="I135" s="8">
        <f t="shared" si="12"/>
        <v>233184.20812032218</v>
      </c>
      <c r="J135" s="8">
        <f>VPI!R135</f>
        <v>148314.25599471925</v>
      </c>
      <c r="K135" s="239">
        <f t="shared" ref="K135:K198" si="15">+$K$5*J135</f>
        <v>191823.76327789246</v>
      </c>
      <c r="L135" s="347">
        <f t="shared" si="13"/>
        <v>425007.97139821463</v>
      </c>
      <c r="M135" s="132"/>
      <c r="N135" s="133"/>
      <c r="O135" s="130"/>
      <c r="P135" s="130"/>
      <c r="Q135" s="134"/>
    </row>
    <row r="136" spans="1:17" s="129" customFormat="1" x14ac:dyDescent="0.25">
      <c r="A136" s="178">
        <f>Données!A136</f>
        <v>5634</v>
      </c>
      <c r="B136" s="358" t="str">
        <f>Données!B136</f>
        <v>Echichens</v>
      </c>
      <c r="C136" s="178">
        <f>Données!AR136</f>
        <v>0</v>
      </c>
      <c r="D136" s="359">
        <f>Données!Z136</f>
        <v>3127</v>
      </c>
      <c r="E136" s="131">
        <f>Données!X136</f>
        <v>66</v>
      </c>
      <c r="F136" s="31">
        <f>VPI!L136</f>
        <v>10080381.745360767</v>
      </c>
      <c r="G136" s="8">
        <f t="shared" si="14"/>
        <v>305466.11349578085</v>
      </c>
      <c r="H136" s="26">
        <f t="shared" si="11"/>
        <v>265828.29704420245</v>
      </c>
      <c r="I136" s="8">
        <f t="shared" si="12"/>
        <v>265828.29704420245</v>
      </c>
      <c r="J136" s="8">
        <f>VPI!R136</f>
        <v>164062.1340206177</v>
      </c>
      <c r="K136" s="239">
        <f t="shared" si="15"/>
        <v>212191.44274544565</v>
      </c>
      <c r="L136" s="347">
        <f t="shared" si="13"/>
        <v>478019.7397896481</v>
      </c>
      <c r="M136" s="132"/>
      <c r="N136" s="133"/>
      <c r="O136" s="130"/>
      <c r="P136" s="130"/>
      <c r="Q136" s="134"/>
    </row>
    <row r="137" spans="1:17" s="129" customFormat="1" x14ac:dyDescent="0.25">
      <c r="A137" s="178">
        <f>Données!A137</f>
        <v>5635</v>
      </c>
      <c r="B137" s="358" t="str">
        <f>Données!B137</f>
        <v>Ecublens</v>
      </c>
      <c r="C137" s="178">
        <f>Données!AR137</f>
        <v>1</v>
      </c>
      <c r="D137" s="359">
        <f>Données!Z137</f>
        <v>13164</v>
      </c>
      <c r="E137" s="131">
        <f>Données!X137</f>
        <v>62.5</v>
      </c>
      <c r="F137" s="31">
        <f>VPI!L137</f>
        <v>28507155.187060069</v>
      </c>
      <c r="G137" s="8">
        <f t="shared" si="14"/>
        <v>912228.96598592226</v>
      </c>
      <c r="H137" s="26">
        <f t="shared" si="11"/>
        <v>1119080.1734217722</v>
      </c>
      <c r="I137" s="8">
        <f t="shared" si="12"/>
        <v>0</v>
      </c>
      <c r="J137" s="8">
        <f>VPI!R137</f>
        <v>502164.08712629444</v>
      </c>
      <c r="K137" s="239">
        <f t="shared" si="15"/>
        <v>649479.06949014403</v>
      </c>
      <c r="L137" s="347">
        <f t="shared" si="13"/>
        <v>649479.06949014403</v>
      </c>
      <c r="M137" s="132"/>
      <c r="N137" s="133"/>
      <c r="O137" s="130"/>
      <c r="P137" s="130"/>
      <c r="Q137" s="134"/>
    </row>
    <row r="138" spans="1:17" s="129" customFormat="1" x14ac:dyDescent="0.25">
      <c r="A138" s="178">
        <f>Données!A138</f>
        <v>5636</v>
      </c>
      <c r="B138" s="358" t="str">
        <f>Données!B138</f>
        <v>Etoy</v>
      </c>
      <c r="C138" s="178">
        <f>Données!AR138</f>
        <v>0</v>
      </c>
      <c r="D138" s="359">
        <f>Données!Z138</f>
        <v>2909</v>
      </c>
      <c r="E138" s="131">
        <f>Données!X138</f>
        <v>60</v>
      </c>
      <c r="F138" s="31">
        <f>VPI!L138</f>
        <v>8736697.7719086688</v>
      </c>
      <c r="G138" s="8">
        <f t="shared" si="14"/>
        <v>291223.25906362227</v>
      </c>
      <c r="H138" s="26">
        <f t="shared" si="11"/>
        <v>247295.97572804126</v>
      </c>
      <c r="I138" s="8">
        <f t="shared" si="12"/>
        <v>247295.97572804126</v>
      </c>
      <c r="J138" s="8">
        <f>VPI!R138</f>
        <v>170184.11203181112</v>
      </c>
      <c r="K138" s="239">
        <f t="shared" si="15"/>
        <v>220109.36575922149</v>
      </c>
      <c r="L138" s="347">
        <f t="shared" si="13"/>
        <v>467405.34148726275</v>
      </c>
      <c r="M138" s="132"/>
      <c r="N138" s="133"/>
      <c r="O138" s="130"/>
      <c r="P138" s="130"/>
      <c r="Q138" s="134"/>
    </row>
    <row r="139" spans="1:17" s="129" customFormat="1" x14ac:dyDescent="0.25">
      <c r="A139" s="178">
        <f>Données!A139</f>
        <v>5637</v>
      </c>
      <c r="B139" s="358" t="str">
        <f>Données!B139</f>
        <v>Lavigny</v>
      </c>
      <c r="C139" s="178">
        <f>Données!AR139</f>
        <v>0</v>
      </c>
      <c r="D139" s="359">
        <f>Données!Z139</f>
        <v>1008</v>
      </c>
      <c r="E139" s="131">
        <f>Données!X139</f>
        <v>73</v>
      </c>
      <c r="F139" s="31">
        <f>VPI!L139</f>
        <v>2807895.6651742905</v>
      </c>
      <c r="G139" s="8">
        <f t="shared" si="14"/>
        <v>76928.648360939464</v>
      </c>
      <c r="H139" s="26">
        <f t="shared" si="11"/>
        <v>85690.733425185826</v>
      </c>
      <c r="I139" s="8">
        <f t="shared" si="12"/>
        <v>76928.648360939464</v>
      </c>
      <c r="J139" s="8">
        <f>VPI!R139</f>
        <v>41191.053632524527</v>
      </c>
      <c r="K139" s="239">
        <f t="shared" si="15"/>
        <v>53274.871442254946</v>
      </c>
      <c r="L139" s="347">
        <f t="shared" si="13"/>
        <v>130203.51980319442</v>
      </c>
      <c r="M139" s="132"/>
      <c r="N139" s="133"/>
      <c r="O139" s="130"/>
      <c r="P139" s="130"/>
      <c r="Q139" s="134"/>
    </row>
    <row r="140" spans="1:17" s="129" customFormat="1" x14ac:dyDescent="0.25">
      <c r="A140" s="178">
        <f>Données!A140</f>
        <v>5638</v>
      </c>
      <c r="B140" s="358" t="str">
        <f>Données!B140</f>
        <v>Lonay</v>
      </c>
      <c r="C140" s="178">
        <f>Données!AR140</f>
        <v>0</v>
      </c>
      <c r="D140" s="359">
        <f>Données!Z140</f>
        <v>2679</v>
      </c>
      <c r="E140" s="131">
        <f>Données!X140</f>
        <v>55</v>
      </c>
      <c r="F140" s="31">
        <f>VPI!L140</f>
        <v>7258263.9960620739</v>
      </c>
      <c r="G140" s="8">
        <f t="shared" si="14"/>
        <v>263936.87258407543</v>
      </c>
      <c r="H140" s="26">
        <f t="shared" si="11"/>
        <v>227743.52663300879</v>
      </c>
      <c r="I140" s="8">
        <f t="shared" si="12"/>
        <v>227743.52663300879</v>
      </c>
      <c r="J140" s="8">
        <f>VPI!R140</f>
        <v>145471.80629203771</v>
      </c>
      <c r="K140" s="239">
        <f t="shared" si="15"/>
        <v>188147.45181855498</v>
      </c>
      <c r="L140" s="347">
        <f t="shared" si="13"/>
        <v>415890.97845156374</v>
      </c>
      <c r="M140" s="132"/>
      <c r="N140" s="133"/>
      <c r="O140" s="130"/>
      <c r="P140" s="130"/>
      <c r="Q140" s="134"/>
    </row>
    <row r="141" spans="1:17" s="129" customFormat="1" x14ac:dyDescent="0.25">
      <c r="A141" s="178">
        <f>Données!A141</f>
        <v>5639</v>
      </c>
      <c r="B141" s="358" t="str">
        <f>Données!B141</f>
        <v>Lully</v>
      </c>
      <c r="C141" s="178">
        <f>Données!AR141</f>
        <v>0</v>
      </c>
      <c r="D141" s="359">
        <f>Données!Z141</f>
        <v>825</v>
      </c>
      <c r="E141" s="131">
        <f>Données!X141</f>
        <v>61</v>
      </c>
      <c r="F141" s="31">
        <f>VPI!L141</f>
        <v>2592540.56</v>
      </c>
      <c r="G141" s="8">
        <f t="shared" si="14"/>
        <v>85001.329836065575</v>
      </c>
      <c r="H141" s="26">
        <f t="shared" si="11"/>
        <v>70133.784797399116</v>
      </c>
      <c r="I141" s="8">
        <f t="shared" si="12"/>
        <v>70133.784797399116</v>
      </c>
      <c r="J141" s="8">
        <f>VPI!R141</f>
        <v>45737.117540983607</v>
      </c>
      <c r="K141" s="239">
        <f t="shared" si="15"/>
        <v>59154.569797438511</v>
      </c>
      <c r="L141" s="347">
        <f t="shared" si="13"/>
        <v>129288.35459483763</v>
      </c>
      <c r="M141" s="132"/>
      <c r="N141" s="133"/>
      <c r="O141" s="130"/>
      <c r="P141" s="130"/>
      <c r="Q141" s="134"/>
    </row>
    <row r="142" spans="1:17" s="129" customFormat="1" x14ac:dyDescent="0.25">
      <c r="A142" s="178">
        <f>Données!A142</f>
        <v>5640</v>
      </c>
      <c r="B142" s="358" t="str">
        <f>Données!B142</f>
        <v>Lussy-sur-Morges</v>
      </c>
      <c r="C142" s="178">
        <f>Données!AR142</f>
        <v>1</v>
      </c>
      <c r="D142" s="359">
        <f>Données!Z142</f>
        <v>722</v>
      </c>
      <c r="E142" s="131">
        <f>Données!X142</f>
        <v>66</v>
      </c>
      <c r="F142" s="31">
        <f>VPI!L142</f>
        <v>3560094.5096703977</v>
      </c>
      <c r="G142" s="8">
        <f t="shared" si="14"/>
        <v>107881.65180819387</v>
      </c>
      <c r="H142" s="26">
        <f t="shared" si="11"/>
        <v>61377.688028754135</v>
      </c>
      <c r="I142" s="8">
        <f t="shared" si="12"/>
        <v>0</v>
      </c>
      <c r="J142" s="8">
        <f>VPI!R142</f>
        <v>57022.810752581783</v>
      </c>
      <c r="K142" s="239">
        <f t="shared" si="15"/>
        <v>73751.036796036453</v>
      </c>
      <c r="L142" s="347">
        <f t="shared" si="13"/>
        <v>73751.036796036453</v>
      </c>
      <c r="M142" s="132"/>
      <c r="N142" s="133"/>
      <c r="O142" s="130"/>
      <c r="P142" s="130"/>
      <c r="Q142" s="134"/>
    </row>
    <row r="143" spans="1:17" s="129" customFormat="1" x14ac:dyDescent="0.25">
      <c r="A143" s="178">
        <f>Données!A143</f>
        <v>5642</v>
      </c>
      <c r="B143" s="358" t="str">
        <f>Données!B143</f>
        <v>Morges</v>
      </c>
      <c r="C143" s="178">
        <f>Données!AR143</f>
        <v>1</v>
      </c>
      <c r="D143" s="359">
        <f>Données!Z143</f>
        <v>16095</v>
      </c>
      <c r="E143" s="131">
        <f>Données!X143</f>
        <v>67</v>
      </c>
      <c r="F143" s="31">
        <f>VPI!L143</f>
        <v>54660394.208470464</v>
      </c>
      <c r="G143" s="8">
        <f t="shared" si="14"/>
        <v>1631653.5584618049</v>
      </c>
      <c r="H143" s="26">
        <f t="shared" si="11"/>
        <v>1368246.3834110773</v>
      </c>
      <c r="I143" s="8">
        <f t="shared" si="12"/>
        <v>0</v>
      </c>
      <c r="J143" s="8">
        <f>VPI!R143</f>
        <v>872528.88072343986</v>
      </c>
      <c r="K143" s="239">
        <f t="shared" si="15"/>
        <v>1128494.1716929551</v>
      </c>
      <c r="L143" s="347">
        <f t="shared" si="13"/>
        <v>1128494.1716929551</v>
      </c>
      <c r="M143" s="132"/>
      <c r="N143" s="133"/>
      <c r="O143" s="130"/>
      <c r="P143" s="130"/>
      <c r="Q143" s="134"/>
    </row>
    <row r="144" spans="1:17" s="129" customFormat="1" x14ac:dyDescent="0.25">
      <c r="A144" s="178">
        <f>Données!A144</f>
        <v>5643</v>
      </c>
      <c r="B144" s="358" t="str">
        <f>Données!B144</f>
        <v>Préverenges</v>
      </c>
      <c r="C144" s="178">
        <f>Données!AR144</f>
        <v>1</v>
      </c>
      <c r="D144" s="359">
        <f>Données!Z144</f>
        <v>5241</v>
      </c>
      <c r="E144" s="131">
        <f>Données!X144</f>
        <v>62.5</v>
      </c>
      <c r="F144" s="31">
        <f>VPI!L144</f>
        <v>15134080.594755698</v>
      </c>
      <c r="G144" s="8">
        <f t="shared" si="14"/>
        <v>484290.57903218234</v>
      </c>
      <c r="H144" s="26">
        <f t="shared" si="11"/>
        <v>445540.80742202274</v>
      </c>
      <c r="I144" s="8">
        <f t="shared" si="12"/>
        <v>0</v>
      </c>
      <c r="J144" s="8">
        <f>VPI!R144</f>
        <v>262179.27559609117</v>
      </c>
      <c r="K144" s="239">
        <f t="shared" si="15"/>
        <v>339092.25354644656</v>
      </c>
      <c r="L144" s="347">
        <f t="shared" si="13"/>
        <v>339092.25354644656</v>
      </c>
      <c r="M144" s="132"/>
      <c r="N144" s="133"/>
      <c r="O144" s="130"/>
      <c r="P144" s="130"/>
      <c r="Q144" s="134"/>
    </row>
    <row r="145" spans="1:17" s="129" customFormat="1" x14ac:dyDescent="0.25">
      <c r="A145" s="178">
        <f>Données!A145</f>
        <v>5645</v>
      </c>
      <c r="B145" s="358" t="str">
        <f>Données!B145</f>
        <v>Romanel-sur-Morges</v>
      </c>
      <c r="C145" s="178">
        <f>Données!AR145</f>
        <v>0</v>
      </c>
      <c r="D145" s="359">
        <f>Données!Z145</f>
        <v>466</v>
      </c>
      <c r="E145" s="131">
        <f>Données!X145</f>
        <v>56</v>
      </c>
      <c r="F145" s="31">
        <f>VPI!L145</f>
        <v>1348898.3379875973</v>
      </c>
      <c r="G145" s="8">
        <f t="shared" si="14"/>
        <v>48174.940642414193</v>
      </c>
      <c r="H145" s="26">
        <f t="shared" si="11"/>
        <v>39614.96207950059</v>
      </c>
      <c r="I145" s="8">
        <f t="shared" si="12"/>
        <v>39614.96207950059</v>
      </c>
      <c r="J145" s="8">
        <f>VPI!R145</f>
        <v>27311.487285492814</v>
      </c>
      <c r="K145" s="239">
        <f t="shared" si="15"/>
        <v>35323.592035590147</v>
      </c>
      <c r="L145" s="347">
        <f t="shared" si="13"/>
        <v>74938.554115090737</v>
      </c>
      <c r="M145" s="132"/>
      <c r="N145" s="133"/>
      <c r="O145" s="130"/>
      <c r="P145" s="130"/>
      <c r="Q145" s="134"/>
    </row>
    <row r="146" spans="1:17" s="129" customFormat="1" x14ac:dyDescent="0.25">
      <c r="A146" s="178">
        <f>Données!A146</f>
        <v>5646</v>
      </c>
      <c r="B146" s="358" t="str">
        <f>Données!B146</f>
        <v>Saint-Prex</v>
      </c>
      <c r="C146" s="178">
        <f>Données!AR146</f>
        <v>1</v>
      </c>
      <c r="D146" s="359">
        <f>Données!Z146</f>
        <v>5865</v>
      </c>
      <c r="E146" s="131">
        <f>Données!X146</f>
        <v>55</v>
      </c>
      <c r="F146" s="31">
        <f>VPI!L146</f>
        <v>27734922.299013302</v>
      </c>
      <c r="G146" s="8">
        <f t="shared" si="14"/>
        <v>1008542.6290550291</v>
      </c>
      <c r="H146" s="26">
        <f t="shared" si="11"/>
        <v>498587.45192332828</v>
      </c>
      <c r="I146" s="8">
        <f t="shared" si="12"/>
        <v>0</v>
      </c>
      <c r="J146" s="8">
        <f>VPI!R146</f>
        <v>536854.93998205999</v>
      </c>
      <c r="K146" s="239">
        <f t="shared" si="15"/>
        <v>694346.83962782728</v>
      </c>
      <c r="L146" s="347">
        <f t="shared" si="13"/>
        <v>694346.83962782728</v>
      </c>
      <c r="M146" s="132"/>
      <c r="N146" s="133"/>
      <c r="O146" s="130"/>
      <c r="P146" s="130"/>
      <c r="Q146" s="134"/>
    </row>
    <row r="147" spans="1:17" s="129" customFormat="1" x14ac:dyDescent="0.25">
      <c r="A147" s="178">
        <f>Données!A147</f>
        <v>5648</v>
      </c>
      <c r="B147" s="358" t="str">
        <f>Données!B147</f>
        <v>Saint-Sulpice</v>
      </c>
      <c r="C147" s="178">
        <f>Données!AR147</f>
        <v>1</v>
      </c>
      <c r="D147" s="359">
        <f>Données!Z147</f>
        <v>4909</v>
      </c>
      <c r="E147" s="131">
        <f>Données!X147</f>
        <v>55</v>
      </c>
      <c r="F147" s="31">
        <f>VPI!L147</f>
        <v>20005456.05033632</v>
      </c>
      <c r="G147" s="8">
        <f t="shared" si="14"/>
        <v>727471.12910313893</v>
      </c>
      <c r="H147" s="26">
        <f t="shared" si="11"/>
        <v>417317.27220658457</v>
      </c>
      <c r="I147" s="8">
        <f t="shared" si="12"/>
        <v>0</v>
      </c>
      <c r="J147" s="8">
        <f>VPI!R147</f>
        <v>395932.06546066038</v>
      </c>
      <c r="K147" s="239">
        <f t="shared" si="15"/>
        <v>512082.79534340196</v>
      </c>
      <c r="L147" s="347">
        <f t="shared" si="13"/>
        <v>512082.79534340196</v>
      </c>
      <c r="M147" s="132"/>
      <c r="N147" s="133"/>
      <c r="O147" s="130"/>
      <c r="P147" s="130"/>
      <c r="Q147" s="134"/>
    </row>
    <row r="148" spans="1:17" s="129" customFormat="1" x14ac:dyDescent="0.25">
      <c r="A148" s="178">
        <f>Données!A148</f>
        <v>5649</v>
      </c>
      <c r="B148" s="358" t="str">
        <f>Données!B148</f>
        <v>Tolochenaz</v>
      </c>
      <c r="C148" s="178">
        <f>Données!AR148</f>
        <v>1</v>
      </c>
      <c r="D148" s="359">
        <f>Données!Z148</f>
        <v>1889</v>
      </c>
      <c r="E148" s="131">
        <f>Données!X148</f>
        <v>65</v>
      </c>
      <c r="F148" s="31">
        <f>VPI!L148</f>
        <v>12221187.805024119</v>
      </c>
      <c r="G148" s="8">
        <f t="shared" si="14"/>
        <v>376036.54784689599</v>
      </c>
      <c r="H148" s="26">
        <f t="shared" si="11"/>
        <v>160585.11452398417</v>
      </c>
      <c r="I148" s="8">
        <f t="shared" si="12"/>
        <v>0</v>
      </c>
      <c r="J148" s="8">
        <f>VPI!R148</f>
        <v>197599.65546190951</v>
      </c>
      <c r="K148" s="239">
        <f t="shared" si="15"/>
        <v>255567.53987605905</v>
      </c>
      <c r="L148" s="347">
        <f t="shared" si="13"/>
        <v>255567.53987605905</v>
      </c>
      <c r="M148" s="132"/>
      <c r="N148" s="133"/>
      <c r="O148" s="130"/>
      <c r="P148" s="130"/>
      <c r="Q148" s="134"/>
    </row>
    <row r="149" spans="1:17" s="129" customFormat="1" x14ac:dyDescent="0.25">
      <c r="A149" s="178">
        <f>Données!A149</f>
        <v>5650</v>
      </c>
      <c r="B149" s="358" t="str">
        <f>Données!B149</f>
        <v>Vaux-sur-Morges</v>
      </c>
      <c r="C149" s="178">
        <f>Données!AR149</f>
        <v>0</v>
      </c>
      <c r="D149" s="359">
        <f>Données!Z149</f>
        <v>194</v>
      </c>
      <c r="E149" s="131">
        <f>Données!X149</f>
        <v>56</v>
      </c>
      <c r="F149" s="31">
        <f>VPI!L149</f>
        <v>3482164.7457766552</v>
      </c>
      <c r="G149" s="8">
        <f t="shared" si="14"/>
        <v>124363.02663488055</v>
      </c>
      <c r="H149" s="26">
        <f t="shared" si="11"/>
        <v>16492.065758418703</v>
      </c>
      <c r="I149" s="8">
        <f t="shared" si="12"/>
        <v>16492.065758418703</v>
      </c>
      <c r="J149" s="8">
        <f>VPI!R149</f>
        <v>63000.299031725983</v>
      </c>
      <c r="K149" s="239">
        <f t="shared" si="15"/>
        <v>81482.082533782392</v>
      </c>
      <c r="L149" s="347">
        <f t="shared" si="13"/>
        <v>97974.148292201091</v>
      </c>
      <c r="M149" s="132"/>
      <c r="N149" s="133"/>
      <c r="O149" s="130"/>
      <c r="P149" s="130"/>
      <c r="Q149" s="134"/>
    </row>
    <row r="150" spans="1:17" s="129" customFormat="1" x14ac:dyDescent="0.25">
      <c r="A150" s="178">
        <f>Données!A150</f>
        <v>5651</v>
      </c>
      <c r="B150" s="358" t="str">
        <f>Données!B150</f>
        <v>Villars-Sainte-Croix</v>
      </c>
      <c r="C150" s="178">
        <f>Données!AR150</f>
        <v>1</v>
      </c>
      <c r="D150" s="359">
        <f>Données!Z150</f>
        <v>958</v>
      </c>
      <c r="E150" s="131">
        <f>Données!X150</f>
        <v>60.5</v>
      </c>
      <c r="F150" s="31">
        <f>VPI!L150</f>
        <v>2943865.7351844381</v>
      </c>
      <c r="G150" s="8">
        <f t="shared" si="14"/>
        <v>97317.875543287213</v>
      </c>
      <c r="H150" s="26">
        <f t="shared" si="11"/>
        <v>81440.201013222249</v>
      </c>
      <c r="I150" s="8">
        <f t="shared" si="12"/>
        <v>0</v>
      </c>
      <c r="J150" s="8">
        <f>VPI!R150</f>
        <v>55609.921242717981</v>
      </c>
      <c r="K150" s="239">
        <f t="shared" si="15"/>
        <v>71923.661665707899</v>
      </c>
      <c r="L150" s="347">
        <f t="shared" si="13"/>
        <v>71923.661665707899</v>
      </c>
      <c r="M150" s="132"/>
      <c r="N150" s="133"/>
      <c r="O150" s="130"/>
      <c r="P150" s="130"/>
      <c r="Q150" s="134"/>
    </row>
    <row r="151" spans="1:17" s="129" customFormat="1" x14ac:dyDescent="0.25">
      <c r="A151" s="178">
        <f>Données!A151</f>
        <v>5652</v>
      </c>
      <c r="B151" s="358" t="str">
        <f>Données!B151</f>
        <v>Villars-sous-Yens</v>
      </c>
      <c r="C151" s="178">
        <f>Données!AR151</f>
        <v>0</v>
      </c>
      <c r="D151" s="359">
        <f>Données!Z151</f>
        <v>615</v>
      </c>
      <c r="E151" s="131">
        <f>Données!X151</f>
        <v>76</v>
      </c>
      <c r="F151" s="31">
        <f>VPI!L151</f>
        <v>1839216.1359318034</v>
      </c>
      <c r="G151" s="8">
        <f t="shared" si="14"/>
        <v>48400.424629784298</v>
      </c>
      <c r="H151" s="26">
        <f t="shared" si="11"/>
        <v>52281.54866715207</v>
      </c>
      <c r="I151" s="8">
        <f t="shared" si="12"/>
        <v>48400.424629784298</v>
      </c>
      <c r="J151" s="8">
        <f>VPI!R151</f>
        <v>25655.145757874605</v>
      </c>
      <c r="K151" s="239">
        <f t="shared" si="15"/>
        <v>33181.345742607424</v>
      </c>
      <c r="L151" s="347">
        <f t="shared" si="13"/>
        <v>81581.770372391722</v>
      </c>
      <c r="M151" s="132"/>
      <c r="N151" s="133"/>
      <c r="O151" s="130"/>
      <c r="P151" s="130"/>
      <c r="Q151" s="134"/>
    </row>
    <row r="152" spans="1:17" s="129" customFormat="1" x14ac:dyDescent="0.25">
      <c r="A152" s="178">
        <f>Données!A152</f>
        <v>5653</v>
      </c>
      <c r="B152" s="358" t="str">
        <f>Données!B152</f>
        <v>Vufflens-le-Château</v>
      </c>
      <c r="C152" s="178">
        <f>Données!AR152</f>
        <v>0</v>
      </c>
      <c r="D152" s="359">
        <f>Données!Z152</f>
        <v>870</v>
      </c>
      <c r="E152" s="131">
        <f>Données!X152</f>
        <v>58.5</v>
      </c>
      <c r="F152" s="31">
        <f>VPI!L152</f>
        <v>3760969.1944476259</v>
      </c>
      <c r="G152" s="8">
        <f t="shared" si="14"/>
        <v>128580.14339991883</v>
      </c>
      <c r="H152" s="26">
        <f t="shared" si="11"/>
        <v>73959.263968166342</v>
      </c>
      <c r="I152" s="8">
        <f t="shared" si="12"/>
        <v>73959.263968166342</v>
      </c>
      <c r="J152" s="8">
        <f>VPI!R152</f>
        <v>68766.939221326931</v>
      </c>
      <c r="K152" s="239">
        <f t="shared" si="15"/>
        <v>88940.425733630822</v>
      </c>
      <c r="L152" s="347">
        <f t="shared" si="13"/>
        <v>162899.68970179715</v>
      </c>
      <c r="M152" s="132"/>
      <c r="N152" s="133"/>
      <c r="O152" s="130"/>
      <c r="P152" s="130"/>
      <c r="Q152" s="134"/>
    </row>
    <row r="153" spans="1:17" s="129" customFormat="1" x14ac:dyDescent="0.25">
      <c r="A153" s="178">
        <f>Données!A153</f>
        <v>5654</v>
      </c>
      <c r="B153" s="358" t="str">
        <f>Données!B153</f>
        <v>Vullierens</v>
      </c>
      <c r="C153" s="178">
        <f>Données!AR153</f>
        <v>0</v>
      </c>
      <c r="D153" s="359">
        <f>Données!Z153</f>
        <v>542</v>
      </c>
      <c r="E153" s="131">
        <f>Données!X153</f>
        <v>76</v>
      </c>
      <c r="F153" s="31">
        <f>VPI!L153</f>
        <v>1355950.5555443109</v>
      </c>
      <c r="G153" s="8">
        <f t="shared" si="14"/>
        <v>35682.909356429234</v>
      </c>
      <c r="H153" s="26">
        <f t="shared" si="11"/>
        <v>46075.771345685236</v>
      </c>
      <c r="I153" s="8">
        <f t="shared" si="12"/>
        <v>35682.909356429234</v>
      </c>
      <c r="J153" s="8">
        <f>VPI!R153</f>
        <v>19265.305994004091</v>
      </c>
      <c r="K153" s="239">
        <f t="shared" si="15"/>
        <v>24916.980985304501</v>
      </c>
      <c r="L153" s="347">
        <f t="shared" si="13"/>
        <v>60599.890341733735</v>
      </c>
      <c r="M153" s="132"/>
      <c r="N153" s="133"/>
      <c r="O153" s="130"/>
      <c r="P153" s="130"/>
      <c r="Q153" s="134"/>
    </row>
    <row r="154" spans="1:17" s="129" customFormat="1" x14ac:dyDescent="0.25">
      <c r="A154" s="178">
        <f>Données!A154</f>
        <v>5655</v>
      </c>
      <c r="B154" s="358" t="str">
        <f>Données!B154</f>
        <v>Yens</v>
      </c>
      <c r="C154" s="178">
        <f>Données!AR154</f>
        <v>0</v>
      </c>
      <c r="D154" s="359">
        <f>Données!Z154</f>
        <v>1480</v>
      </c>
      <c r="E154" s="131">
        <f>Données!X154</f>
        <v>71.5</v>
      </c>
      <c r="F154" s="31">
        <f>VPI!L154</f>
        <v>6068645.7096151318</v>
      </c>
      <c r="G154" s="8">
        <f t="shared" si="14"/>
        <v>169752.327541682</v>
      </c>
      <c r="H154" s="26">
        <f t="shared" si="11"/>
        <v>125815.75939412205</v>
      </c>
      <c r="I154" s="8">
        <f t="shared" si="12"/>
        <v>125815.75939412205</v>
      </c>
      <c r="J154" s="8">
        <f>VPI!R154</f>
        <v>90850.412022589255</v>
      </c>
      <c r="K154" s="239">
        <f t="shared" si="15"/>
        <v>117502.31164656658</v>
      </c>
      <c r="L154" s="347">
        <f t="shared" si="13"/>
        <v>243318.07104068864</v>
      </c>
      <c r="M154" s="132"/>
      <c r="N154" s="133"/>
      <c r="O154" s="130"/>
      <c r="P154" s="130"/>
      <c r="Q154" s="134"/>
    </row>
    <row r="155" spans="1:17" s="129" customFormat="1" x14ac:dyDescent="0.25">
      <c r="A155" s="178">
        <v>5656</v>
      </c>
      <c r="B155" s="358" t="s">
        <v>399</v>
      </c>
      <c r="C155" s="178">
        <f>Données!AR155</f>
        <v>0</v>
      </c>
      <c r="D155" s="359">
        <f>Données!Z155</f>
        <v>4101</v>
      </c>
      <c r="E155" s="131">
        <f>Données!X155</f>
        <v>74.06</v>
      </c>
      <c r="F155" s="31">
        <f>VPI!L155</f>
        <v>11035040.229584053</v>
      </c>
      <c r="G155" s="8">
        <f t="shared" si="14"/>
        <v>298002.7067130449</v>
      </c>
      <c r="H155" s="216">
        <f t="shared" si="11"/>
        <v>348628.6684292531</v>
      </c>
      <c r="I155" s="8">
        <f t="shared" si="12"/>
        <v>298002.7067130449</v>
      </c>
      <c r="J155" s="8">
        <f>VPI!R155</f>
        <v>160995.06048587704</v>
      </c>
      <c r="K155" s="239">
        <f t="shared" si="15"/>
        <v>208224.61175042027</v>
      </c>
      <c r="L155" s="347">
        <f t="shared" si="13"/>
        <v>506227.3184634652</v>
      </c>
      <c r="M155" s="132"/>
      <c r="N155" s="133"/>
      <c r="O155" s="130"/>
      <c r="P155" s="130"/>
      <c r="Q155" s="134"/>
    </row>
    <row r="156" spans="1:17" s="129" customFormat="1" x14ac:dyDescent="0.25">
      <c r="A156" s="178">
        <f>Données!A156</f>
        <v>5661</v>
      </c>
      <c r="B156" s="358" t="str">
        <f>Données!B156</f>
        <v>Boulens</v>
      </c>
      <c r="C156" s="178">
        <f>Données!AR156</f>
        <v>0</v>
      </c>
      <c r="D156" s="359">
        <f>Données!Z156</f>
        <v>369</v>
      </c>
      <c r="E156" s="131">
        <f>Données!X156</f>
        <v>71.5</v>
      </c>
      <c r="F156" s="31">
        <f>VPI!L156</f>
        <v>668421.0368939332</v>
      </c>
      <c r="G156" s="8">
        <f t="shared" si="14"/>
        <v>18697.091941089042</v>
      </c>
      <c r="H156" s="26">
        <f t="shared" si="11"/>
        <v>31368.929200291244</v>
      </c>
      <c r="I156" s="8">
        <f t="shared" si="12"/>
        <v>18697.091941089042</v>
      </c>
      <c r="J156" s="8">
        <f>VPI!R156</f>
        <v>10163.82569082424</v>
      </c>
      <c r="K156" s="239">
        <f t="shared" si="15"/>
        <v>13145.488140963664</v>
      </c>
      <c r="L156" s="347">
        <f t="shared" si="13"/>
        <v>31842.580082052707</v>
      </c>
      <c r="M156" s="132"/>
      <c r="N156" s="133"/>
      <c r="O156" s="130"/>
      <c r="P156" s="130"/>
      <c r="Q156" s="134"/>
    </row>
    <row r="157" spans="1:17" s="129" customFormat="1" x14ac:dyDescent="0.25">
      <c r="A157" s="178">
        <f>Données!A157</f>
        <v>5663</v>
      </c>
      <c r="B157" s="358" t="str">
        <f>Données!B157</f>
        <v>Bussy-sur-Moudon</v>
      </c>
      <c r="C157" s="178">
        <f>Données!AR157</f>
        <v>0</v>
      </c>
      <c r="D157" s="359">
        <f>Données!Z157</f>
        <v>219</v>
      </c>
      <c r="E157" s="131">
        <f>Données!X157</f>
        <v>80</v>
      </c>
      <c r="F157" s="31">
        <f>VPI!L157</f>
        <v>398746.12081896816</v>
      </c>
      <c r="G157" s="8">
        <f t="shared" si="14"/>
        <v>9968.6530204742048</v>
      </c>
      <c r="H157" s="26">
        <f t="shared" si="11"/>
        <v>18617.331964400495</v>
      </c>
      <c r="I157" s="8">
        <f t="shared" si="12"/>
        <v>9968.6530204742048</v>
      </c>
      <c r="J157" s="8">
        <f>VPI!R157</f>
        <v>5406.7758852371026</v>
      </c>
      <c r="K157" s="239">
        <f t="shared" si="15"/>
        <v>6992.909013030192</v>
      </c>
      <c r="L157" s="347">
        <f t="shared" si="13"/>
        <v>16961.562033504397</v>
      </c>
      <c r="M157" s="132"/>
      <c r="N157" s="133"/>
      <c r="O157" s="130"/>
      <c r="P157" s="130"/>
      <c r="Q157" s="134"/>
    </row>
    <row r="158" spans="1:17" s="129" customFormat="1" x14ac:dyDescent="0.25">
      <c r="A158" s="178">
        <f>Données!A158</f>
        <v>5665</v>
      </c>
      <c r="B158" s="358" t="str">
        <f>Données!B158</f>
        <v>Chavannes-sur-Moudon</v>
      </c>
      <c r="C158" s="178">
        <f>Données!AR158</f>
        <v>0</v>
      </c>
      <c r="D158" s="359">
        <f>Données!Z158</f>
        <v>223</v>
      </c>
      <c r="E158" s="131">
        <f>Données!X158</f>
        <v>73</v>
      </c>
      <c r="F158" s="31">
        <f>VPI!L158</f>
        <v>473337.87790553411</v>
      </c>
      <c r="G158" s="8">
        <f t="shared" si="14"/>
        <v>12968.161038507784</v>
      </c>
      <c r="H158" s="26">
        <f t="shared" si="11"/>
        <v>18957.37455735758</v>
      </c>
      <c r="I158" s="8">
        <f t="shared" si="12"/>
        <v>12968.161038507784</v>
      </c>
      <c r="J158" s="8">
        <f>VPI!R158</f>
        <v>6834.7640808977276</v>
      </c>
      <c r="K158" s="239">
        <f t="shared" si="15"/>
        <v>8839.8121834023077</v>
      </c>
      <c r="L158" s="347">
        <f t="shared" si="13"/>
        <v>21807.973221910092</v>
      </c>
      <c r="M158" s="132"/>
      <c r="N158" s="133"/>
      <c r="O158" s="130"/>
      <c r="P158" s="130"/>
      <c r="Q158" s="134"/>
    </row>
    <row r="159" spans="1:17" s="129" customFormat="1" x14ac:dyDescent="0.25">
      <c r="A159" s="178">
        <f>Données!A159</f>
        <v>5669</v>
      </c>
      <c r="B159" s="358" t="str">
        <f>Données!B159</f>
        <v>Curtilles</v>
      </c>
      <c r="C159" s="178">
        <f>Données!AR159</f>
        <v>0</v>
      </c>
      <c r="D159" s="359">
        <f>Données!Z159</f>
        <v>301</v>
      </c>
      <c r="E159" s="131">
        <f>Données!X159</f>
        <v>73</v>
      </c>
      <c r="F159" s="31">
        <f>VPI!L159</f>
        <v>702179.94219965965</v>
      </c>
      <c r="G159" s="8">
        <f t="shared" si="14"/>
        <v>19237.806635607114</v>
      </c>
      <c r="H159" s="26">
        <f t="shared" si="11"/>
        <v>25588.205120020768</v>
      </c>
      <c r="I159" s="8">
        <f t="shared" si="12"/>
        <v>19237.806635607114</v>
      </c>
      <c r="J159" s="8">
        <f>VPI!R159</f>
        <v>10284.99372876246</v>
      </c>
      <c r="K159" s="239">
        <f t="shared" si="15"/>
        <v>13302.202064857369</v>
      </c>
      <c r="L159" s="347">
        <f t="shared" si="13"/>
        <v>32540.008700464481</v>
      </c>
      <c r="M159" s="132"/>
      <c r="N159" s="133"/>
      <c r="O159" s="130"/>
      <c r="P159" s="130"/>
      <c r="Q159" s="134"/>
    </row>
    <row r="160" spans="1:17" s="129" customFormat="1" x14ac:dyDescent="0.25">
      <c r="A160" s="178">
        <f>Données!A160</f>
        <v>5671</v>
      </c>
      <c r="B160" s="358" t="str">
        <f>Données!B160</f>
        <v>Dompierre</v>
      </c>
      <c r="C160" s="178">
        <f>Données!AR160</f>
        <v>0</v>
      </c>
      <c r="D160" s="359">
        <f>Données!Z160</f>
        <v>245</v>
      </c>
      <c r="E160" s="131">
        <f>Données!X160</f>
        <v>78</v>
      </c>
      <c r="F160" s="31">
        <f>VPI!L160</f>
        <v>438332.79538822168</v>
      </c>
      <c r="G160" s="8">
        <f t="shared" si="14"/>
        <v>11239.302445851838</v>
      </c>
      <c r="H160" s="26">
        <f t="shared" si="11"/>
        <v>20827.608818621557</v>
      </c>
      <c r="I160" s="8">
        <f t="shared" si="12"/>
        <v>11239.302445851838</v>
      </c>
      <c r="J160" s="8">
        <f>VPI!R160</f>
        <v>6033.0922485669453</v>
      </c>
      <c r="K160" s="239">
        <f t="shared" si="15"/>
        <v>7802.9617015642734</v>
      </c>
      <c r="L160" s="347">
        <f t="shared" si="13"/>
        <v>19042.26414741611</v>
      </c>
      <c r="M160" s="132"/>
      <c r="N160" s="133"/>
      <c r="O160" s="130"/>
      <c r="P160" s="130"/>
      <c r="Q160" s="134"/>
    </row>
    <row r="161" spans="1:17" s="129" customFormat="1" x14ac:dyDescent="0.25">
      <c r="A161" s="178">
        <f>Données!A161</f>
        <v>5673</v>
      </c>
      <c r="B161" s="358" t="str">
        <f>Données!B161</f>
        <v>Hermenches</v>
      </c>
      <c r="C161" s="178">
        <f>Données!AR161</f>
        <v>0</v>
      </c>
      <c r="D161" s="359">
        <f>Données!Z161</f>
        <v>384</v>
      </c>
      <c r="E161" s="131">
        <f>Données!X161</f>
        <v>73.5</v>
      </c>
      <c r="F161" s="31">
        <f>VPI!L161</f>
        <v>732060.34934944776</v>
      </c>
      <c r="G161" s="8">
        <f t="shared" si="14"/>
        <v>19920.009506107421</v>
      </c>
      <c r="H161" s="26">
        <f t="shared" si="11"/>
        <v>32644.088923880317</v>
      </c>
      <c r="I161" s="8">
        <f t="shared" si="12"/>
        <v>19920.009506107421</v>
      </c>
      <c r="J161" s="8">
        <f>VPI!R161</f>
        <v>10638.00475305371</v>
      </c>
      <c r="K161" s="239">
        <f t="shared" si="15"/>
        <v>13758.772491644542</v>
      </c>
      <c r="L161" s="347">
        <f t="shared" si="13"/>
        <v>33678.781997751961</v>
      </c>
      <c r="M161" s="132"/>
      <c r="N161" s="133"/>
      <c r="O161" s="130"/>
      <c r="P161" s="130"/>
      <c r="Q161" s="134"/>
    </row>
    <row r="162" spans="1:17" s="129" customFormat="1" x14ac:dyDescent="0.25">
      <c r="A162" s="178">
        <f>Données!A162</f>
        <v>5674</v>
      </c>
      <c r="B162" s="358" t="str">
        <f>Données!B162</f>
        <v>Lovatens</v>
      </c>
      <c r="C162" s="178">
        <f>Données!AR162</f>
        <v>0</v>
      </c>
      <c r="D162" s="359">
        <f>Données!Z162</f>
        <v>142</v>
      </c>
      <c r="E162" s="131">
        <f>Données!X162</f>
        <v>75</v>
      </c>
      <c r="F162" s="31">
        <f>VPI!L162</f>
        <v>238190.29369200816</v>
      </c>
      <c r="G162" s="8">
        <f t="shared" si="14"/>
        <v>6351.7411651202174</v>
      </c>
      <c r="H162" s="26">
        <f t="shared" si="11"/>
        <v>12071.512049976576</v>
      </c>
      <c r="I162" s="8">
        <f t="shared" si="12"/>
        <v>6351.7411651202174</v>
      </c>
      <c r="J162" s="8">
        <f>VPI!R162</f>
        <v>3430.6671539886806</v>
      </c>
      <c r="K162" s="239">
        <f t="shared" si="15"/>
        <v>4437.088529476202</v>
      </c>
      <c r="L162" s="347">
        <f t="shared" si="13"/>
        <v>10788.829694596419</v>
      </c>
      <c r="M162" s="132"/>
      <c r="N162" s="133"/>
      <c r="O162" s="130"/>
      <c r="P162" s="130"/>
      <c r="Q162" s="134"/>
    </row>
    <row r="163" spans="1:17" s="129" customFormat="1" x14ac:dyDescent="0.25">
      <c r="A163" s="178">
        <f>Données!A163</f>
        <v>5675</v>
      </c>
      <c r="B163" s="358" t="str">
        <f>Données!B163</f>
        <v>Lucens</v>
      </c>
      <c r="C163" s="178">
        <f>Données!AR163</f>
        <v>0</v>
      </c>
      <c r="D163" s="359">
        <f>Données!Z163</f>
        <v>4309</v>
      </c>
      <c r="E163" s="131">
        <f>Données!X163</f>
        <v>67.5</v>
      </c>
      <c r="F163" s="31">
        <f>VPI!L163</f>
        <v>5937394.960216973</v>
      </c>
      <c r="G163" s="8">
        <f t="shared" si="14"/>
        <v>175922.81363605845</v>
      </c>
      <c r="H163" s="26">
        <f t="shared" si="11"/>
        <v>366310.88326302159</v>
      </c>
      <c r="I163" s="8">
        <f t="shared" si="12"/>
        <v>175922.81363605845</v>
      </c>
      <c r="J163" s="8">
        <f>VPI!R163</f>
        <v>96952.062979645387</v>
      </c>
      <c r="K163" s="239">
        <f t="shared" si="15"/>
        <v>125393.94445651262</v>
      </c>
      <c r="L163" s="347">
        <f t="shared" si="13"/>
        <v>301316.75809257105</v>
      </c>
      <c r="M163" s="132"/>
      <c r="N163" s="133"/>
      <c r="O163" s="130"/>
      <c r="P163" s="130"/>
      <c r="Q163" s="134"/>
    </row>
    <row r="164" spans="1:17" s="129" customFormat="1" x14ac:dyDescent="0.25">
      <c r="A164" s="178">
        <f>Données!A164</f>
        <v>5678</v>
      </c>
      <c r="B164" s="358" t="str">
        <f>Données!B164</f>
        <v>Moudon</v>
      </c>
      <c r="C164" s="178">
        <f>Données!AR164</f>
        <v>0</v>
      </c>
      <c r="D164" s="359">
        <f>Données!Z164</f>
        <v>6109</v>
      </c>
      <c r="E164" s="131">
        <f>Données!X164</f>
        <v>72.5</v>
      </c>
      <c r="F164" s="31">
        <f>VPI!L164</f>
        <v>8133788.6931699356</v>
      </c>
      <c r="G164" s="8">
        <f t="shared" si="14"/>
        <v>224380.3777426189</v>
      </c>
      <c r="H164" s="26">
        <f t="shared" si="11"/>
        <v>519330.0500937106</v>
      </c>
      <c r="I164" s="8">
        <f t="shared" si="12"/>
        <v>224380.3777426189</v>
      </c>
      <c r="J164" s="8">
        <f>VPI!R164</f>
        <v>124861.70956096463</v>
      </c>
      <c r="K164" s="239">
        <f t="shared" si="15"/>
        <v>161491.17194875883</v>
      </c>
      <c r="L164" s="347">
        <f t="shared" si="13"/>
        <v>385871.54969137773</v>
      </c>
      <c r="M164" s="132"/>
      <c r="N164" s="133"/>
      <c r="O164" s="130"/>
      <c r="P164" s="130"/>
      <c r="Q164" s="134"/>
    </row>
    <row r="165" spans="1:17" s="129" customFormat="1" x14ac:dyDescent="0.25">
      <c r="A165" s="178">
        <f>Données!A165</f>
        <v>5680</v>
      </c>
      <c r="B165" s="358" t="str">
        <f>Données!B165</f>
        <v>Ogens</v>
      </c>
      <c r="C165" s="178">
        <f>Données!AR165</f>
        <v>0</v>
      </c>
      <c r="D165" s="359">
        <f>Données!Z165</f>
        <v>301</v>
      </c>
      <c r="E165" s="131">
        <f>Données!X165</f>
        <v>78</v>
      </c>
      <c r="F165" s="31">
        <f>VPI!L165</f>
        <v>624940.4834084739</v>
      </c>
      <c r="G165" s="8">
        <f t="shared" si="14"/>
        <v>16024.114959191638</v>
      </c>
      <c r="H165" s="26">
        <f t="shared" si="11"/>
        <v>25588.205120020768</v>
      </c>
      <c r="I165" s="8">
        <f t="shared" si="12"/>
        <v>16024.114959191638</v>
      </c>
      <c r="J165" s="8">
        <f>VPI!R165</f>
        <v>8674.1647445530853</v>
      </c>
      <c r="K165" s="239">
        <f t="shared" si="15"/>
        <v>11218.819886416282</v>
      </c>
      <c r="L165" s="347">
        <f t="shared" si="13"/>
        <v>27242.934845607921</v>
      </c>
      <c r="M165" s="132"/>
      <c r="N165" s="133"/>
      <c r="O165" s="130"/>
      <c r="P165" s="130"/>
      <c r="Q165" s="134"/>
    </row>
    <row r="166" spans="1:17" s="129" customFormat="1" x14ac:dyDescent="0.25">
      <c r="A166" s="178">
        <f>Données!A166</f>
        <v>5683</v>
      </c>
      <c r="B166" s="358" t="str">
        <f>Données!B166</f>
        <v>Prévonloup</v>
      </c>
      <c r="C166" s="178">
        <f>Données!AR166</f>
        <v>0</v>
      </c>
      <c r="D166" s="359">
        <f>Données!Z166</f>
        <v>202</v>
      </c>
      <c r="E166" s="131">
        <f>Données!X166</f>
        <v>72.5</v>
      </c>
      <c r="F166" s="31">
        <f>VPI!L166</f>
        <v>332488.07</v>
      </c>
      <c r="G166" s="8">
        <f t="shared" si="14"/>
        <v>9172.084689655172</v>
      </c>
      <c r="H166" s="26">
        <f t="shared" si="11"/>
        <v>17172.150944332876</v>
      </c>
      <c r="I166" s="8">
        <f t="shared" si="12"/>
        <v>9172.084689655172</v>
      </c>
      <c r="J166" s="8">
        <f>VPI!R166</f>
        <v>5010.6526896551723</v>
      </c>
      <c r="K166" s="239">
        <f t="shared" si="15"/>
        <v>6480.5790175852771</v>
      </c>
      <c r="L166" s="347">
        <f t="shared" si="13"/>
        <v>15652.663707240448</v>
      </c>
      <c r="M166" s="132"/>
      <c r="N166" s="133"/>
      <c r="O166" s="130"/>
      <c r="P166" s="130"/>
      <c r="Q166" s="134"/>
    </row>
    <row r="167" spans="1:17" s="129" customFormat="1" x14ac:dyDescent="0.25">
      <c r="A167" s="178">
        <f>Données!A167</f>
        <v>5684</v>
      </c>
      <c r="B167" s="358" t="str">
        <f>Données!B167</f>
        <v>Rossenges</v>
      </c>
      <c r="C167" s="178">
        <f>Données!AR167</f>
        <v>0</v>
      </c>
      <c r="D167" s="359">
        <f>Données!Z167</f>
        <v>84</v>
      </c>
      <c r="E167" s="131">
        <f>Données!X167</f>
        <v>75</v>
      </c>
      <c r="F167" s="31">
        <f>VPI!L167</f>
        <v>317075.39000000007</v>
      </c>
      <c r="G167" s="8">
        <f t="shared" si="14"/>
        <v>8455.343733333335</v>
      </c>
      <c r="H167" s="26">
        <f t="shared" si="11"/>
        <v>7140.8944520988198</v>
      </c>
      <c r="I167" s="8">
        <f t="shared" si="12"/>
        <v>7140.8944520988198</v>
      </c>
      <c r="J167" s="8">
        <f>VPI!R167</f>
        <v>4335.3702000000012</v>
      </c>
      <c r="K167" s="239">
        <f t="shared" si="15"/>
        <v>5607.1954876437485</v>
      </c>
      <c r="L167" s="347">
        <f t="shared" si="13"/>
        <v>12748.089939742567</v>
      </c>
      <c r="M167" s="132"/>
      <c r="N167" s="133"/>
      <c r="O167" s="130"/>
      <c r="P167" s="130"/>
      <c r="Q167" s="134"/>
    </row>
    <row r="168" spans="1:17" s="129" customFormat="1" x14ac:dyDescent="0.25">
      <c r="A168" s="178">
        <f>Données!A168</f>
        <v>5688</v>
      </c>
      <c r="B168" s="358" t="str">
        <f>Données!B168</f>
        <v>Syens</v>
      </c>
      <c r="C168" s="178">
        <f>Données!AR168</f>
        <v>0</v>
      </c>
      <c r="D168" s="359">
        <f>Données!Z168</f>
        <v>156</v>
      </c>
      <c r="E168" s="131">
        <f>Données!X168</f>
        <v>75.599999999999994</v>
      </c>
      <c r="F168" s="31">
        <f>VPI!L168</f>
        <v>361007.72853009147</v>
      </c>
      <c r="G168" s="8">
        <f t="shared" si="14"/>
        <v>9550.4690087325798</v>
      </c>
      <c r="H168" s="26">
        <f t="shared" si="11"/>
        <v>13261.661125326378</v>
      </c>
      <c r="I168" s="8">
        <f t="shared" si="12"/>
        <v>9550.4690087325798</v>
      </c>
      <c r="J168" s="8">
        <f>VPI!R168</f>
        <v>5090.9474673292525</v>
      </c>
      <c r="K168" s="239">
        <f t="shared" si="15"/>
        <v>6584.4290913472505</v>
      </c>
      <c r="L168" s="347">
        <f t="shared" si="13"/>
        <v>16134.89810007983</v>
      </c>
      <c r="M168" s="132"/>
      <c r="N168" s="133"/>
      <c r="O168" s="130"/>
      <c r="P168" s="130"/>
      <c r="Q168" s="134"/>
    </row>
    <row r="169" spans="1:17" s="129" customFormat="1" x14ac:dyDescent="0.25">
      <c r="A169" s="178">
        <f>Données!A169</f>
        <v>5690</v>
      </c>
      <c r="B169" s="358" t="str">
        <f>Données!B169</f>
        <v>Villars-le-Comte</v>
      </c>
      <c r="C169" s="178">
        <f>Données!AR169</f>
        <v>0</v>
      </c>
      <c r="D169" s="359">
        <f>Données!Z169</f>
        <v>120</v>
      </c>
      <c r="E169" s="131">
        <f>Données!X169</f>
        <v>70</v>
      </c>
      <c r="F169" s="31">
        <f>VPI!L169</f>
        <v>222206.78767016411</v>
      </c>
      <c r="G169" s="8">
        <f t="shared" si="14"/>
        <v>6348.7653620046885</v>
      </c>
      <c r="H169" s="26">
        <f t="shared" si="11"/>
        <v>10201.277788712599</v>
      </c>
      <c r="I169" s="8">
        <f t="shared" si="12"/>
        <v>6348.7653620046885</v>
      </c>
      <c r="J169" s="8">
        <f>VPI!R169</f>
        <v>3483.6555381452017</v>
      </c>
      <c r="K169" s="239">
        <f t="shared" si="15"/>
        <v>4505.6215992795551</v>
      </c>
      <c r="L169" s="347">
        <f t="shared" si="13"/>
        <v>10854.386961284243</v>
      </c>
      <c r="M169" s="132"/>
      <c r="N169" s="133"/>
      <c r="O169" s="130"/>
      <c r="P169" s="130"/>
      <c r="Q169" s="134"/>
    </row>
    <row r="170" spans="1:17" s="129" customFormat="1" x14ac:dyDescent="0.25">
      <c r="A170" s="178">
        <f>Données!A170</f>
        <v>5692</v>
      </c>
      <c r="B170" s="358" t="str">
        <f>Données!B170</f>
        <v>Vucherens</v>
      </c>
      <c r="C170" s="178">
        <f>Données!AR170</f>
        <v>0</v>
      </c>
      <c r="D170" s="359">
        <f>Données!Z170</f>
        <v>617</v>
      </c>
      <c r="E170" s="131">
        <f>Données!X170</f>
        <v>77</v>
      </c>
      <c r="F170" s="31">
        <f>VPI!L170</f>
        <v>1291126.3859761762</v>
      </c>
      <c r="G170" s="8">
        <f t="shared" si="14"/>
        <v>33535.750285095484</v>
      </c>
      <c r="H170" s="26">
        <f t="shared" si="11"/>
        <v>52451.569963630616</v>
      </c>
      <c r="I170" s="8">
        <f t="shared" si="12"/>
        <v>33535.750285095484</v>
      </c>
      <c r="J170" s="8">
        <f>VPI!R170</f>
        <v>18080.765402288005</v>
      </c>
      <c r="K170" s="239">
        <f t="shared" si="15"/>
        <v>23384.943268940326</v>
      </c>
      <c r="L170" s="347">
        <f t="shared" si="13"/>
        <v>56920.69355403581</v>
      </c>
      <c r="M170" s="132"/>
      <c r="N170" s="133"/>
      <c r="O170" s="130"/>
      <c r="P170" s="130"/>
      <c r="Q170" s="134"/>
    </row>
    <row r="171" spans="1:17" s="129" customFormat="1" x14ac:dyDescent="0.25">
      <c r="A171" s="178">
        <f>Données!A171</f>
        <v>5693</v>
      </c>
      <c r="B171" s="358" t="str">
        <f>Données!B171</f>
        <v>Montanaire</v>
      </c>
      <c r="C171" s="178">
        <f>Données!AR171</f>
        <v>0</v>
      </c>
      <c r="D171" s="359">
        <f>Données!Z171</f>
        <v>2782</v>
      </c>
      <c r="E171" s="131">
        <f>Données!X171</f>
        <v>72</v>
      </c>
      <c r="F171" s="31">
        <f>VPI!L171</f>
        <v>4686599.8501556423</v>
      </c>
      <c r="G171" s="8">
        <f t="shared" si="14"/>
        <v>130183.32917099007</v>
      </c>
      <c r="H171" s="26">
        <f t="shared" si="11"/>
        <v>236499.62340165375</v>
      </c>
      <c r="I171" s="8">
        <f t="shared" si="12"/>
        <v>130183.32917099007</v>
      </c>
      <c r="J171" s="8">
        <f>VPI!R171</f>
        <v>71109.274307717249</v>
      </c>
      <c r="K171" s="239">
        <f t="shared" si="15"/>
        <v>91969.908827590683</v>
      </c>
      <c r="L171" s="347">
        <f t="shared" si="13"/>
        <v>222153.23799858073</v>
      </c>
      <c r="M171" s="132"/>
      <c r="N171" s="133"/>
      <c r="O171" s="130"/>
      <c r="P171" s="130"/>
      <c r="Q171" s="134"/>
    </row>
    <row r="172" spans="1:17" s="129" customFormat="1" x14ac:dyDescent="0.25">
      <c r="A172" s="178">
        <f>Données!A172</f>
        <v>5701</v>
      </c>
      <c r="B172" s="358" t="str">
        <f>Données!B172</f>
        <v>Arnex-sur-Nyon</v>
      </c>
      <c r="C172" s="178">
        <f>Données!AR172</f>
        <v>0</v>
      </c>
      <c r="D172" s="359">
        <f>Données!Z172</f>
        <v>240</v>
      </c>
      <c r="E172" s="131">
        <f>Données!X172</f>
        <v>70</v>
      </c>
      <c r="F172" s="31">
        <f>VPI!L172</f>
        <v>808273.11017824663</v>
      </c>
      <c r="G172" s="8">
        <f t="shared" si="14"/>
        <v>23093.51743366419</v>
      </c>
      <c r="H172" s="26">
        <f t="shared" si="11"/>
        <v>20402.555577425199</v>
      </c>
      <c r="I172" s="8">
        <f t="shared" si="12"/>
        <v>20402.555577425199</v>
      </c>
      <c r="J172" s="8">
        <f>VPI!R172</f>
        <v>12577.692288260665</v>
      </c>
      <c r="K172" s="239">
        <f t="shared" si="15"/>
        <v>16267.487247964835</v>
      </c>
      <c r="L172" s="347">
        <f t="shared" si="13"/>
        <v>36670.042825390032</v>
      </c>
      <c r="M172" s="132"/>
      <c r="N172" s="133"/>
      <c r="O172" s="130"/>
      <c r="P172" s="130"/>
      <c r="Q172" s="134"/>
    </row>
    <row r="173" spans="1:17" s="129" customFormat="1" x14ac:dyDescent="0.25">
      <c r="A173" s="178">
        <f>Données!A173</f>
        <v>5702</v>
      </c>
      <c r="B173" s="358" t="str">
        <f>Données!B173</f>
        <v>Arzier-Le Muids</v>
      </c>
      <c r="C173" s="178">
        <f>Données!AR173</f>
        <v>0</v>
      </c>
      <c r="D173" s="359">
        <f>Données!Z173</f>
        <v>2912</v>
      </c>
      <c r="E173" s="131">
        <f>Données!X173</f>
        <v>64</v>
      </c>
      <c r="F173" s="31">
        <f>VPI!L173</f>
        <v>9898815.6403821018</v>
      </c>
      <c r="G173" s="8">
        <f t="shared" si="14"/>
        <v>309337.98876194068</v>
      </c>
      <c r="H173" s="26">
        <f t="shared" si="11"/>
        <v>247551.00767275906</v>
      </c>
      <c r="I173" s="8">
        <f t="shared" si="12"/>
        <v>247551.00767275906</v>
      </c>
      <c r="J173" s="8">
        <f>VPI!R173</f>
        <v>167718.32276638702</v>
      </c>
      <c r="K173" s="239">
        <f t="shared" si="15"/>
        <v>216920.21193734801</v>
      </c>
      <c r="L173" s="347">
        <f t="shared" si="13"/>
        <v>464471.21961010707</v>
      </c>
      <c r="M173" s="132"/>
      <c r="N173" s="133"/>
      <c r="O173" s="130"/>
      <c r="P173" s="130"/>
      <c r="Q173" s="134"/>
    </row>
    <row r="174" spans="1:17" s="129" customFormat="1" x14ac:dyDescent="0.25">
      <c r="A174" s="178">
        <f>Données!A174</f>
        <v>5703</v>
      </c>
      <c r="B174" s="358" t="str">
        <f>Données!B174</f>
        <v>Bassins</v>
      </c>
      <c r="C174" s="178">
        <f>Données!AR174</f>
        <v>0</v>
      </c>
      <c r="D174" s="359">
        <f>Données!Z174</f>
        <v>1475</v>
      </c>
      <c r="E174" s="131">
        <f>Données!X174</f>
        <v>72.5</v>
      </c>
      <c r="F174" s="31">
        <f>VPI!L174</f>
        <v>4521180.5668187151</v>
      </c>
      <c r="G174" s="8">
        <f t="shared" si="14"/>
        <v>124722.22253293007</v>
      </c>
      <c r="H174" s="26">
        <f t="shared" si="11"/>
        <v>125390.7061529257</v>
      </c>
      <c r="I174" s="8">
        <f t="shared" si="12"/>
        <v>124722.22253293007</v>
      </c>
      <c r="J174" s="8">
        <f>VPI!R174</f>
        <v>66886.981709814791</v>
      </c>
      <c r="K174" s="239">
        <f t="shared" si="15"/>
        <v>86508.963415715538</v>
      </c>
      <c r="L174" s="347">
        <f t="shared" si="13"/>
        <v>211231.18594864561</v>
      </c>
      <c r="M174" s="132"/>
      <c r="N174" s="133"/>
      <c r="O174" s="130"/>
      <c r="P174" s="130"/>
      <c r="Q174" s="134"/>
    </row>
    <row r="175" spans="1:17" s="129" customFormat="1" x14ac:dyDescent="0.25">
      <c r="A175" s="178">
        <f>Données!A175</f>
        <v>5704</v>
      </c>
      <c r="B175" s="358" t="str">
        <f>Données!B175</f>
        <v>Begnins</v>
      </c>
      <c r="C175" s="178">
        <f>Données!AR175</f>
        <v>0</v>
      </c>
      <c r="D175" s="359">
        <f>Données!Z175</f>
        <v>1928</v>
      </c>
      <c r="E175" s="131">
        <f>Données!X175</f>
        <v>62.5</v>
      </c>
      <c r="F175" s="31">
        <f>VPI!L175</f>
        <v>8293859.0705586402</v>
      </c>
      <c r="G175" s="8">
        <f t="shared" si="14"/>
        <v>265403.49025787646</v>
      </c>
      <c r="H175" s="26">
        <f t="shared" si="11"/>
        <v>163900.52980531577</v>
      </c>
      <c r="I175" s="8">
        <f t="shared" si="12"/>
        <v>163900.52980531577</v>
      </c>
      <c r="J175" s="8">
        <f>VPI!R175</f>
        <v>141530.02646227158</v>
      </c>
      <c r="K175" s="239">
        <f t="shared" si="15"/>
        <v>183049.31047072966</v>
      </c>
      <c r="L175" s="347">
        <f t="shared" si="13"/>
        <v>346949.84027604543</v>
      </c>
      <c r="M175" s="132"/>
      <c r="N175" s="133"/>
      <c r="O175" s="130"/>
      <c r="P175" s="130"/>
      <c r="Q175" s="134"/>
    </row>
    <row r="176" spans="1:17" s="129" customFormat="1" x14ac:dyDescent="0.25">
      <c r="A176" s="178">
        <f>Données!A176</f>
        <v>5705</v>
      </c>
      <c r="B176" s="358" t="str">
        <f>Données!B176</f>
        <v>Bogis-Bossey</v>
      </c>
      <c r="C176" s="178">
        <f>Données!AR176</f>
        <v>0</v>
      </c>
      <c r="D176" s="359">
        <f>Données!Z176</f>
        <v>835</v>
      </c>
      <c r="E176" s="131">
        <f>Données!X176</f>
        <v>74.5</v>
      </c>
      <c r="F176" s="31">
        <f>VPI!L176</f>
        <v>3945489.0770429587</v>
      </c>
      <c r="G176" s="8">
        <f t="shared" si="14"/>
        <v>105919.16985350224</v>
      </c>
      <c r="H176" s="26">
        <f t="shared" si="11"/>
        <v>70983.891279791831</v>
      </c>
      <c r="I176" s="8">
        <f t="shared" si="12"/>
        <v>70983.891279791831</v>
      </c>
      <c r="J176" s="8">
        <f>VPI!R176</f>
        <v>56143.373517355147</v>
      </c>
      <c r="K176" s="239">
        <f t="shared" si="15"/>
        <v>72613.607633233085</v>
      </c>
      <c r="L176" s="347">
        <f t="shared" si="13"/>
        <v>143597.4989130249</v>
      </c>
      <c r="M176" s="132"/>
      <c r="N176" s="133"/>
      <c r="O176" s="130"/>
      <c r="P176" s="130"/>
      <c r="Q176" s="134"/>
    </row>
    <row r="177" spans="1:17" s="129" customFormat="1" x14ac:dyDescent="0.25">
      <c r="A177" s="178">
        <f>Données!A177</f>
        <v>5706</v>
      </c>
      <c r="B177" s="358" t="str">
        <f>Données!B177</f>
        <v>Borex</v>
      </c>
      <c r="C177" s="178">
        <f>Données!AR177</f>
        <v>0</v>
      </c>
      <c r="D177" s="359">
        <f>Données!Z177</f>
        <v>1157</v>
      </c>
      <c r="E177" s="131">
        <f>Données!X177</f>
        <v>57</v>
      </c>
      <c r="F177" s="31">
        <f>VPI!L177</f>
        <v>4481585.9099999992</v>
      </c>
      <c r="G177" s="8">
        <f t="shared" si="14"/>
        <v>157248.62842105259</v>
      </c>
      <c r="H177" s="26">
        <f t="shared" si="11"/>
        <v>98357.320012837314</v>
      </c>
      <c r="I177" s="8">
        <f t="shared" si="12"/>
        <v>98357.320012837314</v>
      </c>
      <c r="J177" s="8">
        <f>VPI!R177</f>
        <v>84061.533508771914</v>
      </c>
      <c r="K177" s="239">
        <f t="shared" si="15"/>
        <v>108721.84603169517</v>
      </c>
      <c r="L177" s="347">
        <f t="shared" si="13"/>
        <v>207079.1660445325</v>
      </c>
      <c r="M177" s="132"/>
      <c r="N177" s="133"/>
      <c r="O177" s="130"/>
      <c r="P177" s="130"/>
      <c r="Q177" s="134"/>
    </row>
    <row r="178" spans="1:17" s="129" customFormat="1" x14ac:dyDescent="0.25">
      <c r="A178" s="178">
        <f>Données!A178</f>
        <v>5707</v>
      </c>
      <c r="B178" s="358" t="str">
        <f>Données!B178</f>
        <v>Chavannes-de-Bogis</v>
      </c>
      <c r="C178" s="178">
        <f>Données!AR178</f>
        <v>0</v>
      </c>
      <c r="D178" s="359">
        <f>Données!Z178</f>
        <v>1329</v>
      </c>
      <c r="E178" s="131">
        <f>Données!X178</f>
        <v>58</v>
      </c>
      <c r="F178" s="31">
        <f>VPI!L178</f>
        <v>4204373.1685487125</v>
      </c>
      <c r="G178" s="8">
        <f t="shared" si="14"/>
        <v>144978.38512236939</v>
      </c>
      <c r="H178" s="26">
        <f t="shared" si="11"/>
        <v>112979.15150999204</v>
      </c>
      <c r="I178" s="8">
        <f t="shared" si="12"/>
        <v>112979.15150999204</v>
      </c>
      <c r="J178" s="8">
        <f>VPI!R178</f>
        <v>81740.650607161704</v>
      </c>
      <c r="K178" s="239">
        <f t="shared" si="15"/>
        <v>105720.1083408151</v>
      </c>
      <c r="L178" s="347">
        <f t="shared" si="13"/>
        <v>218699.25985080714</v>
      </c>
      <c r="M178" s="132"/>
      <c r="N178" s="133"/>
      <c r="O178" s="130"/>
      <c r="P178" s="130"/>
      <c r="Q178" s="134"/>
    </row>
    <row r="179" spans="1:17" s="129" customFormat="1" x14ac:dyDescent="0.25">
      <c r="A179" s="178">
        <f>Données!A179</f>
        <v>5708</v>
      </c>
      <c r="B179" s="358" t="str">
        <f>Données!B179</f>
        <v>Chavannes-des-Bois</v>
      </c>
      <c r="C179" s="178">
        <f>Données!AR179</f>
        <v>0</v>
      </c>
      <c r="D179" s="359">
        <f>Données!Z179</f>
        <v>1013</v>
      </c>
      <c r="E179" s="131">
        <f>Données!X179</f>
        <v>68</v>
      </c>
      <c r="F179" s="31">
        <f>VPI!L179</f>
        <v>4282253.8719794191</v>
      </c>
      <c r="G179" s="8">
        <f t="shared" si="14"/>
        <v>125948.64329351233</v>
      </c>
      <c r="H179" s="26">
        <f t="shared" si="11"/>
        <v>86115.786666382191</v>
      </c>
      <c r="I179" s="8">
        <f t="shared" si="12"/>
        <v>86115.786666382191</v>
      </c>
      <c r="J179" s="8">
        <f>VPI!R179</f>
        <v>67246.19149969735</v>
      </c>
      <c r="K179" s="239">
        <f t="shared" si="15"/>
        <v>86973.55107952033</v>
      </c>
      <c r="L179" s="347">
        <f t="shared" si="13"/>
        <v>173089.33774590254</v>
      </c>
      <c r="M179" s="132"/>
      <c r="N179" s="133"/>
      <c r="O179" s="130"/>
      <c r="P179" s="130"/>
      <c r="Q179" s="134"/>
    </row>
    <row r="180" spans="1:17" s="129" customFormat="1" x14ac:dyDescent="0.25">
      <c r="A180" s="178">
        <f>Données!A180</f>
        <v>5709</v>
      </c>
      <c r="B180" s="358" t="str">
        <f>Données!B180</f>
        <v>Chéserex</v>
      </c>
      <c r="C180" s="178">
        <f>Données!AR180</f>
        <v>0</v>
      </c>
      <c r="D180" s="359">
        <f>Données!Z180</f>
        <v>1248</v>
      </c>
      <c r="E180" s="131">
        <f>Données!X180</f>
        <v>57</v>
      </c>
      <c r="F180" s="31">
        <f>VPI!L180</f>
        <v>5179420.7069127345</v>
      </c>
      <c r="G180" s="8">
        <f t="shared" si="14"/>
        <v>181734.0598916749</v>
      </c>
      <c r="H180" s="26">
        <f t="shared" si="11"/>
        <v>106093.28900261103</v>
      </c>
      <c r="I180" s="8">
        <f t="shared" si="12"/>
        <v>106093.28900261103</v>
      </c>
      <c r="J180" s="8">
        <f>VPI!R180</f>
        <v>97363.543103732183</v>
      </c>
      <c r="K180" s="239">
        <f t="shared" si="15"/>
        <v>125926.13649285465</v>
      </c>
      <c r="L180" s="347">
        <f t="shared" si="13"/>
        <v>232019.42549546569</v>
      </c>
      <c r="M180" s="132"/>
      <c r="N180" s="133"/>
      <c r="O180" s="130"/>
      <c r="P180" s="130"/>
      <c r="Q180" s="134"/>
    </row>
    <row r="181" spans="1:17" s="129" customFormat="1" x14ac:dyDescent="0.25">
      <c r="A181" s="178">
        <f>Données!A181</f>
        <v>5710</v>
      </c>
      <c r="B181" s="358" t="str">
        <f>Données!B181</f>
        <v>Coinsins</v>
      </c>
      <c r="C181" s="178">
        <f>Données!AR181</f>
        <v>0</v>
      </c>
      <c r="D181" s="359">
        <f>Données!Z181</f>
        <v>509</v>
      </c>
      <c r="E181" s="131">
        <f>Données!X181</f>
        <v>51</v>
      </c>
      <c r="F181" s="31">
        <f>VPI!L181</f>
        <v>1954786.7524526671</v>
      </c>
      <c r="G181" s="8">
        <f t="shared" si="14"/>
        <v>76658.304017751652</v>
      </c>
      <c r="H181" s="26">
        <f t="shared" si="11"/>
        <v>43270.419953789278</v>
      </c>
      <c r="I181" s="8">
        <f t="shared" si="12"/>
        <v>43270.419953789278</v>
      </c>
      <c r="J181" s="8">
        <f>VPI!R181</f>
        <v>41089.8274990719</v>
      </c>
      <c r="K181" s="239">
        <f t="shared" si="15"/>
        <v>53143.949584941074</v>
      </c>
      <c r="L181" s="347">
        <f t="shared" si="13"/>
        <v>96414.36953873036</v>
      </c>
      <c r="M181" s="132"/>
      <c r="N181" s="133"/>
      <c r="O181" s="130"/>
      <c r="P181" s="130"/>
      <c r="Q181" s="134"/>
    </row>
    <row r="182" spans="1:17" s="129" customFormat="1" x14ac:dyDescent="0.25">
      <c r="A182" s="178">
        <f>Données!A182</f>
        <v>5711</v>
      </c>
      <c r="B182" s="358" t="str">
        <f>Données!B182</f>
        <v>Commugny</v>
      </c>
      <c r="C182" s="178">
        <f>Données!AR182</f>
        <v>0</v>
      </c>
      <c r="D182" s="359">
        <f>Données!Z182</f>
        <v>2997</v>
      </c>
      <c r="E182" s="131">
        <f>Données!X182</f>
        <v>55.5</v>
      </c>
      <c r="F182" s="31">
        <f>VPI!L182</f>
        <v>13102897.793738632</v>
      </c>
      <c r="G182" s="8">
        <f t="shared" si="14"/>
        <v>472176.49707166239</v>
      </c>
      <c r="H182" s="26">
        <f t="shared" si="11"/>
        <v>254776.91277309717</v>
      </c>
      <c r="I182" s="8">
        <f t="shared" si="12"/>
        <v>254776.91277309717</v>
      </c>
      <c r="J182" s="8">
        <f>VPI!R182</f>
        <v>252751.28311656581</v>
      </c>
      <c r="K182" s="239">
        <f t="shared" si="15"/>
        <v>326898.46283193416</v>
      </c>
      <c r="L182" s="347">
        <f t="shared" si="13"/>
        <v>581675.37560503138</v>
      </c>
      <c r="M182" s="132"/>
      <c r="N182" s="133"/>
      <c r="O182" s="130"/>
      <c r="P182" s="130"/>
      <c r="Q182" s="134"/>
    </row>
    <row r="183" spans="1:17" s="129" customFormat="1" x14ac:dyDescent="0.25">
      <c r="A183" s="178">
        <f>Données!A183</f>
        <v>5712</v>
      </c>
      <c r="B183" s="358" t="str">
        <f>Données!B183</f>
        <v>Coppet</v>
      </c>
      <c r="C183" s="178">
        <f>Données!AR183</f>
        <v>0</v>
      </c>
      <c r="D183" s="359">
        <f>Données!Z183</f>
        <v>3247</v>
      </c>
      <c r="E183" s="131">
        <f>Données!X183</f>
        <v>53</v>
      </c>
      <c r="F183" s="31">
        <f>VPI!L183</f>
        <v>18990531.20769633</v>
      </c>
      <c r="G183" s="8">
        <f t="shared" si="14"/>
        <v>716623.8191583521</v>
      </c>
      <c r="H183" s="26">
        <f t="shared" si="11"/>
        <v>276029.5748329151</v>
      </c>
      <c r="I183" s="8">
        <f t="shared" si="12"/>
        <v>276029.5748329151</v>
      </c>
      <c r="J183" s="8">
        <f>VPI!R183</f>
        <v>381936.87435905024</v>
      </c>
      <c r="K183" s="239">
        <f t="shared" si="15"/>
        <v>493981.97147519793</v>
      </c>
      <c r="L183" s="347">
        <f t="shared" si="13"/>
        <v>770011.54630811303</v>
      </c>
      <c r="M183" s="132"/>
      <c r="N183" s="133"/>
      <c r="O183" s="130"/>
      <c r="P183" s="130"/>
      <c r="Q183" s="134"/>
    </row>
    <row r="184" spans="1:17" s="129" customFormat="1" x14ac:dyDescent="0.25">
      <c r="A184" s="178">
        <f>Données!A184</f>
        <v>5713</v>
      </c>
      <c r="B184" s="358" t="str">
        <f>Données!B184</f>
        <v>Crans-près-Céligny</v>
      </c>
      <c r="C184" s="178">
        <f>Données!AR184</f>
        <v>1</v>
      </c>
      <c r="D184" s="359">
        <f>Données!Z184</f>
        <v>2340</v>
      </c>
      <c r="E184" s="131">
        <f>Données!X184</f>
        <v>56</v>
      </c>
      <c r="F184" s="31">
        <f>VPI!L184</f>
        <v>16433793.957950059</v>
      </c>
      <c r="G184" s="8">
        <f t="shared" si="14"/>
        <v>586921.21278393071</v>
      </c>
      <c r="H184" s="26">
        <f t="shared" si="11"/>
        <v>198924.9168798957</v>
      </c>
      <c r="I184" s="8">
        <f t="shared" si="12"/>
        <v>0</v>
      </c>
      <c r="J184" s="8">
        <f>VPI!R184</f>
        <v>308655.70549910824</v>
      </c>
      <c r="K184" s="239">
        <f t="shared" si="15"/>
        <v>399203.02056560176</v>
      </c>
      <c r="L184" s="347">
        <f t="shared" si="13"/>
        <v>399203.02056560176</v>
      </c>
      <c r="M184" s="132"/>
      <c r="N184" s="133"/>
      <c r="O184" s="130"/>
      <c r="P184" s="130"/>
      <c r="Q184" s="134"/>
    </row>
    <row r="185" spans="1:17" s="129" customFormat="1" x14ac:dyDescent="0.25">
      <c r="A185" s="178">
        <f>Données!A185</f>
        <v>5714</v>
      </c>
      <c r="B185" s="358" t="str">
        <f>Données!B185</f>
        <v>Crassier</v>
      </c>
      <c r="C185" s="178">
        <f>Données!AR185</f>
        <v>0</v>
      </c>
      <c r="D185" s="359">
        <f>Données!Z185</f>
        <v>1174</v>
      </c>
      <c r="E185" s="131">
        <f>Données!X185</f>
        <v>68</v>
      </c>
      <c r="F185" s="31">
        <f>VPI!L185</f>
        <v>3345899.98</v>
      </c>
      <c r="G185" s="8">
        <f t="shared" si="14"/>
        <v>98408.822941176477</v>
      </c>
      <c r="H185" s="26">
        <f t="shared" si="11"/>
        <v>99802.501032904926</v>
      </c>
      <c r="I185" s="8">
        <f t="shared" si="12"/>
        <v>98408.822941176477</v>
      </c>
      <c r="J185" s="8">
        <f>VPI!R185</f>
        <v>53565.625441176468</v>
      </c>
      <c r="K185" s="239">
        <f t="shared" si="15"/>
        <v>69279.65073584253</v>
      </c>
      <c r="L185" s="347">
        <f t="shared" si="13"/>
        <v>167688.47367701901</v>
      </c>
      <c r="M185" s="132"/>
      <c r="N185" s="133"/>
      <c r="O185" s="130"/>
      <c r="P185" s="130"/>
      <c r="Q185" s="134"/>
    </row>
    <row r="186" spans="1:17" s="129" customFormat="1" x14ac:dyDescent="0.25">
      <c r="A186" s="178">
        <f>Données!A186</f>
        <v>5715</v>
      </c>
      <c r="B186" s="358" t="str">
        <f>Données!B186</f>
        <v>Duillier</v>
      </c>
      <c r="C186" s="178">
        <f>Données!AR186</f>
        <v>0</v>
      </c>
      <c r="D186" s="359">
        <f>Données!Z186</f>
        <v>1128</v>
      </c>
      <c r="E186" s="131">
        <f>Données!X186</f>
        <v>66</v>
      </c>
      <c r="F186" s="31">
        <f>VPI!L186</f>
        <v>3779192.2513356716</v>
      </c>
      <c r="G186" s="8">
        <f t="shared" si="14"/>
        <v>114520.97731320217</v>
      </c>
      <c r="H186" s="26">
        <f t="shared" si="11"/>
        <v>95892.011213898426</v>
      </c>
      <c r="I186" s="8">
        <f t="shared" si="12"/>
        <v>95892.011213898426</v>
      </c>
      <c r="J186" s="8">
        <f>VPI!R186</f>
        <v>61562.138656601084</v>
      </c>
      <c r="K186" s="239">
        <f t="shared" si="15"/>
        <v>79622.023070830794</v>
      </c>
      <c r="L186" s="347">
        <f t="shared" si="13"/>
        <v>175514.03428472922</v>
      </c>
      <c r="M186" s="132"/>
      <c r="N186" s="133"/>
      <c r="O186" s="130"/>
      <c r="P186" s="130"/>
      <c r="Q186" s="134"/>
    </row>
    <row r="187" spans="1:17" s="129" customFormat="1" x14ac:dyDescent="0.25">
      <c r="A187" s="178">
        <f>Données!A187</f>
        <v>5716</v>
      </c>
      <c r="B187" s="358" t="str">
        <f>Données!B187</f>
        <v>Eysins</v>
      </c>
      <c r="C187" s="178">
        <f>Données!AR187</f>
        <v>0</v>
      </c>
      <c r="D187" s="359">
        <f>Données!Z187</f>
        <v>1740</v>
      </c>
      <c r="E187" s="131">
        <f>Données!X187</f>
        <v>59.5</v>
      </c>
      <c r="F187" s="31">
        <f>VPI!L187</f>
        <v>17459581.815753572</v>
      </c>
      <c r="G187" s="8">
        <f t="shared" si="14"/>
        <v>586876.69968919572</v>
      </c>
      <c r="H187" s="26">
        <f t="shared" si="11"/>
        <v>147918.52793633268</v>
      </c>
      <c r="I187" s="8">
        <f t="shared" si="12"/>
        <v>147918.52793633268</v>
      </c>
      <c r="J187" s="8">
        <f>VPI!R187</f>
        <v>307549.31539081637</v>
      </c>
      <c r="K187" s="239">
        <f t="shared" si="15"/>
        <v>397772.0595780515</v>
      </c>
      <c r="L187" s="347">
        <f t="shared" si="13"/>
        <v>545690.58751438418</v>
      </c>
      <c r="M187" s="132"/>
      <c r="N187" s="133"/>
      <c r="O187" s="130"/>
      <c r="P187" s="130"/>
      <c r="Q187" s="134"/>
    </row>
    <row r="188" spans="1:17" s="129" customFormat="1" x14ac:dyDescent="0.25">
      <c r="A188" s="178">
        <f>Données!A188</f>
        <v>5717</v>
      </c>
      <c r="B188" s="358" t="str">
        <f>Données!B188</f>
        <v>Founex</v>
      </c>
      <c r="C188" s="178">
        <f>Données!AR188</f>
        <v>0</v>
      </c>
      <c r="D188" s="359">
        <f>Données!Z188</f>
        <v>3834</v>
      </c>
      <c r="E188" s="131">
        <f>Données!X188</f>
        <v>57</v>
      </c>
      <c r="F188" s="31">
        <f>VPI!L188</f>
        <v>20671736.275462937</v>
      </c>
      <c r="G188" s="8">
        <f t="shared" si="14"/>
        <v>725324.0798408048</v>
      </c>
      <c r="H188" s="26">
        <f t="shared" si="11"/>
        <v>325930.82534936757</v>
      </c>
      <c r="I188" s="8">
        <f t="shared" si="12"/>
        <v>325930.82534936757</v>
      </c>
      <c r="J188" s="8">
        <f>VPI!R188</f>
        <v>386760.37149934971</v>
      </c>
      <c r="K188" s="239">
        <f t="shared" si="15"/>
        <v>500220.49094459636</v>
      </c>
      <c r="L188" s="347">
        <f t="shared" si="13"/>
        <v>826151.31629396393</v>
      </c>
      <c r="M188" s="132"/>
      <c r="N188" s="133"/>
      <c r="O188" s="130"/>
      <c r="P188" s="130"/>
      <c r="Q188" s="134"/>
    </row>
    <row r="189" spans="1:17" s="129" customFormat="1" x14ac:dyDescent="0.25">
      <c r="A189" s="178">
        <f>Données!A189</f>
        <v>5718</v>
      </c>
      <c r="B189" s="358" t="str">
        <f>Données!B189</f>
        <v>Genolier</v>
      </c>
      <c r="C189" s="178">
        <f>Données!AR189</f>
        <v>0</v>
      </c>
      <c r="D189" s="359">
        <f>Données!Z189</f>
        <v>1996</v>
      </c>
      <c r="E189" s="131">
        <f>Données!X189</f>
        <v>55</v>
      </c>
      <c r="F189" s="31">
        <f>VPI!L189</f>
        <v>12744856.023583742</v>
      </c>
      <c r="G189" s="8">
        <f t="shared" si="14"/>
        <v>463449.30994849972</v>
      </c>
      <c r="H189" s="26">
        <f t="shared" si="11"/>
        <v>169681.25388558622</v>
      </c>
      <c r="I189" s="8">
        <f t="shared" si="12"/>
        <v>169681.25388558622</v>
      </c>
      <c r="J189" s="8">
        <f>VPI!R189</f>
        <v>244955.25679243167</v>
      </c>
      <c r="K189" s="239">
        <f t="shared" si="15"/>
        <v>316815.39227287628</v>
      </c>
      <c r="L189" s="347">
        <f t="shared" si="13"/>
        <v>486496.64615846251</v>
      </c>
      <c r="M189" s="132"/>
      <c r="N189" s="133"/>
      <c r="O189" s="130"/>
      <c r="P189" s="130"/>
      <c r="Q189" s="134"/>
    </row>
    <row r="190" spans="1:17" s="129" customFormat="1" x14ac:dyDescent="0.25">
      <c r="A190" s="178">
        <f>Données!A190</f>
        <v>5719</v>
      </c>
      <c r="B190" s="358" t="str">
        <f>Données!B190</f>
        <v>Gingins</v>
      </c>
      <c r="C190" s="178">
        <f>Données!AR190</f>
        <v>0</v>
      </c>
      <c r="D190" s="359">
        <f>Données!Z190</f>
        <v>1257</v>
      </c>
      <c r="E190" s="131">
        <f>Données!X190</f>
        <v>57</v>
      </c>
      <c r="F190" s="31">
        <f>VPI!L190</f>
        <v>7882133.8924942035</v>
      </c>
      <c r="G190" s="8">
        <f t="shared" si="14"/>
        <v>276566.10149102466</v>
      </c>
      <c r="H190" s="26">
        <f t="shared" si="11"/>
        <v>106858.38483676448</v>
      </c>
      <c r="I190" s="8">
        <f t="shared" si="12"/>
        <v>106858.38483676448</v>
      </c>
      <c r="J190" s="8">
        <f>VPI!R190</f>
        <v>145581.00922504449</v>
      </c>
      <c r="K190" s="239">
        <f t="shared" si="15"/>
        <v>188288.69055133796</v>
      </c>
      <c r="L190" s="347">
        <f t="shared" si="13"/>
        <v>295147.07538810244</v>
      </c>
      <c r="M190" s="132"/>
      <c r="N190" s="133"/>
      <c r="O190" s="130"/>
      <c r="P190" s="130"/>
      <c r="Q190" s="134"/>
    </row>
    <row r="191" spans="1:17" s="129" customFormat="1" x14ac:dyDescent="0.25">
      <c r="A191" s="178">
        <f>Données!A191</f>
        <v>5720</v>
      </c>
      <c r="B191" s="358" t="str">
        <f>Données!B191</f>
        <v>Givrins</v>
      </c>
      <c r="C191" s="178">
        <f>Données!AR191</f>
        <v>0</v>
      </c>
      <c r="D191" s="359">
        <f>Données!Z191</f>
        <v>1031</v>
      </c>
      <c r="E191" s="131">
        <f>Données!X191</f>
        <v>67</v>
      </c>
      <c r="F191" s="31">
        <f>VPI!L191</f>
        <v>5330340.3316409513</v>
      </c>
      <c r="G191" s="8">
        <f t="shared" si="14"/>
        <v>159114.63676540152</v>
      </c>
      <c r="H191" s="26">
        <f t="shared" si="11"/>
        <v>87645.978334689076</v>
      </c>
      <c r="I191" s="8">
        <f t="shared" si="12"/>
        <v>87645.978334689076</v>
      </c>
      <c r="J191" s="8">
        <f>VPI!R191</f>
        <v>84157.481732617845</v>
      </c>
      <c r="K191" s="239">
        <f t="shared" si="15"/>
        <v>108845.9416505183</v>
      </c>
      <c r="L191" s="347">
        <f t="shared" si="13"/>
        <v>196491.91998520738</v>
      </c>
      <c r="M191" s="132"/>
      <c r="N191" s="133"/>
      <c r="O191" s="130"/>
      <c r="P191" s="130"/>
      <c r="Q191" s="134"/>
    </row>
    <row r="192" spans="1:17" s="129" customFormat="1" x14ac:dyDescent="0.25">
      <c r="A192" s="178">
        <f>Données!A192</f>
        <v>5721</v>
      </c>
      <c r="B192" s="358" t="str">
        <f>Données!B192</f>
        <v>Gland</v>
      </c>
      <c r="C192" s="178">
        <f>Données!AR192</f>
        <v>0</v>
      </c>
      <c r="D192" s="359">
        <f>Données!Z192</f>
        <v>13243</v>
      </c>
      <c r="E192" s="131">
        <f>Données!X192</f>
        <v>61</v>
      </c>
      <c r="F192" s="31">
        <f>VPI!L192</f>
        <v>36146963.186362065</v>
      </c>
      <c r="G192" s="8">
        <f t="shared" si="14"/>
        <v>1185146.3339790842</v>
      </c>
      <c r="H192" s="26">
        <f t="shared" si="11"/>
        <v>1125796.0146326746</v>
      </c>
      <c r="I192" s="8">
        <f t="shared" si="12"/>
        <v>1125796.0146326746</v>
      </c>
      <c r="J192" s="8">
        <f>VPI!R192</f>
        <v>649754.37436659122</v>
      </c>
      <c r="K192" s="239">
        <f t="shared" si="15"/>
        <v>840366.48035850225</v>
      </c>
      <c r="L192" s="347">
        <f t="shared" si="13"/>
        <v>1966162.4949911768</v>
      </c>
      <c r="M192" s="132"/>
      <c r="N192" s="133"/>
      <c r="O192" s="130"/>
      <c r="P192" s="130"/>
      <c r="Q192" s="134"/>
    </row>
    <row r="193" spans="1:17" s="129" customFormat="1" x14ac:dyDescent="0.25">
      <c r="A193" s="178">
        <f>Données!A193</f>
        <v>5722</v>
      </c>
      <c r="B193" s="358" t="str">
        <f>Données!B193</f>
        <v>Grens</v>
      </c>
      <c r="C193" s="178">
        <f>Données!AR193</f>
        <v>0</v>
      </c>
      <c r="D193" s="359">
        <f>Données!Z193</f>
        <v>405</v>
      </c>
      <c r="E193" s="131">
        <f>Données!X193</f>
        <v>62</v>
      </c>
      <c r="F193" s="31">
        <f>VPI!L193</f>
        <v>1488230.0844690402</v>
      </c>
      <c r="G193" s="8">
        <f t="shared" si="14"/>
        <v>48007.422079646458</v>
      </c>
      <c r="H193" s="26">
        <f t="shared" si="11"/>
        <v>34429.312536905025</v>
      </c>
      <c r="I193" s="8">
        <f t="shared" si="12"/>
        <v>34429.312536905025</v>
      </c>
      <c r="J193" s="8">
        <f>VPI!R193</f>
        <v>25522.027975307101</v>
      </c>
      <c r="K193" s="239">
        <f t="shared" si="15"/>
        <v>33009.176494007239</v>
      </c>
      <c r="L193" s="347">
        <f t="shared" si="13"/>
        <v>67438.489030912257</v>
      </c>
      <c r="M193" s="132"/>
      <c r="N193" s="133"/>
      <c r="O193" s="130"/>
      <c r="P193" s="130"/>
      <c r="Q193" s="134"/>
    </row>
    <row r="194" spans="1:17" s="129" customFormat="1" x14ac:dyDescent="0.25">
      <c r="A194" s="178">
        <f>Données!A194</f>
        <v>5723</v>
      </c>
      <c r="B194" s="358" t="str">
        <f>Données!B194</f>
        <v>Mies</v>
      </c>
      <c r="C194" s="178">
        <f>Données!AR194</f>
        <v>0</v>
      </c>
      <c r="D194" s="359">
        <f>Données!Z194</f>
        <v>2172</v>
      </c>
      <c r="E194" s="131">
        <f>Données!X194</f>
        <v>52</v>
      </c>
      <c r="F194" s="31">
        <f>VPI!L194</f>
        <v>9403038.4802020416</v>
      </c>
      <c r="G194" s="8">
        <f t="shared" si="14"/>
        <v>361655.32616161701</v>
      </c>
      <c r="H194" s="26">
        <f t="shared" si="11"/>
        <v>184643.12797569804</v>
      </c>
      <c r="I194" s="8">
        <f t="shared" si="12"/>
        <v>184643.12797569804</v>
      </c>
      <c r="J194" s="8">
        <f>VPI!R194</f>
        <v>197671.04481157771</v>
      </c>
      <c r="K194" s="239">
        <f t="shared" si="15"/>
        <v>255659.87202322501</v>
      </c>
      <c r="L194" s="347">
        <f t="shared" si="13"/>
        <v>440302.99999892304</v>
      </c>
      <c r="M194" s="132"/>
      <c r="N194" s="133"/>
      <c r="O194" s="130"/>
      <c r="P194" s="130"/>
      <c r="Q194" s="134"/>
    </row>
    <row r="195" spans="1:17" s="129" customFormat="1" x14ac:dyDescent="0.25">
      <c r="A195" s="178">
        <f>Données!A195</f>
        <v>5724</v>
      </c>
      <c r="B195" s="358" t="str">
        <f>Données!B195</f>
        <v>Nyon</v>
      </c>
      <c r="C195" s="178">
        <f>Données!AR195</f>
        <v>1</v>
      </c>
      <c r="D195" s="359">
        <f>Données!Z195</f>
        <v>21743</v>
      </c>
      <c r="E195" s="131">
        <f>Données!X195</f>
        <v>61</v>
      </c>
      <c r="F195" s="31">
        <f>VPI!L195</f>
        <v>79653109.402336076</v>
      </c>
      <c r="G195" s="8">
        <f t="shared" si="14"/>
        <v>2611577.3574536419</v>
      </c>
      <c r="H195" s="26">
        <f t="shared" si="11"/>
        <v>1848386.5246664837</v>
      </c>
      <c r="I195" s="8">
        <f t="shared" si="12"/>
        <v>0</v>
      </c>
      <c r="J195" s="8">
        <f>VPI!R195</f>
        <v>1412863.5932076953</v>
      </c>
      <c r="K195" s="239">
        <f t="shared" si="15"/>
        <v>1827341.6107557134</v>
      </c>
      <c r="L195" s="347">
        <f t="shared" si="13"/>
        <v>1827341.6107557134</v>
      </c>
      <c r="M195" s="132"/>
      <c r="N195" s="133"/>
      <c r="O195" s="130"/>
      <c r="P195" s="130"/>
      <c r="Q195" s="134"/>
    </row>
    <row r="196" spans="1:17" s="129" customFormat="1" x14ac:dyDescent="0.25">
      <c r="A196" s="178">
        <f>Données!A196</f>
        <v>5725</v>
      </c>
      <c r="B196" s="358" t="str">
        <f>Données!B196</f>
        <v>Prangins</v>
      </c>
      <c r="C196" s="178">
        <f>Données!AR196</f>
        <v>1</v>
      </c>
      <c r="D196" s="359">
        <f>Données!Z196</f>
        <v>4101</v>
      </c>
      <c r="E196" s="131">
        <f>Données!X196</f>
        <v>55</v>
      </c>
      <c r="F196" s="31">
        <f>VPI!L196</f>
        <v>15996107.846496873</v>
      </c>
      <c r="G196" s="8">
        <f t="shared" si="14"/>
        <v>581676.64896352263</v>
      </c>
      <c r="H196" s="26">
        <f t="shared" si="11"/>
        <v>348628.6684292531</v>
      </c>
      <c r="I196" s="8">
        <f t="shared" si="12"/>
        <v>0</v>
      </c>
      <c r="J196" s="8">
        <f>VPI!R196</f>
        <v>312426.41305318987</v>
      </c>
      <c r="K196" s="239">
        <f t="shared" si="15"/>
        <v>404079.90383210359</v>
      </c>
      <c r="L196" s="347">
        <f t="shared" si="13"/>
        <v>404079.90383210359</v>
      </c>
      <c r="M196" s="132"/>
      <c r="N196" s="133"/>
      <c r="O196" s="130"/>
      <c r="P196" s="130"/>
      <c r="Q196" s="134"/>
    </row>
    <row r="197" spans="1:17" s="129" customFormat="1" x14ac:dyDescent="0.25">
      <c r="A197" s="178">
        <f>Données!A197</f>
        <v>5726</v>
      </c>
      <c r="B197" s="358" t="str">
        <f>Données!B197</f>
        <v>La Rippe</v>
      </c>
      <c r="C197" s="178">
        <f>Données!AR197</f>
        <v>0</v>
      </c>
      <c r="D197" s="359">
        <f>Données!Z197</f>
        <v>1131</v>
      </c>
      <c r="E197" s="131">
        <f>Données!X197</f>
        <v>65</v>
      </c>
      <c r="F197" s="31">
        <f>VPI!L197</f>
        <v>4036939.9200511677</v>
      </c>
      <c r="G197" s="8">
        <f t="shared" si="14"/>
        <v>124213.53600157439</v>
      </c>
      <c r="H197" s="26">
        <f t="shared" si="11"/>
        <v>96147.043158616245</v>
      </c>
      <c r="I197" s="8">
        <f t="shared" si="12"/>
        <v>96147.043158616245</v>
      </c>
      <c r="J197" s="8">
        <f>VPI!R197</f>
        <v>66314.954154633349</v>
      </c>
      <c r="K197" s="239">
        <f t="shared" si="15"/>
        <v>85769.125713684625</v>
      </c>
      <c r="L197" s="347">
        <f t="shared" si="13"/>
        <v>181916.16887230088</v>
      </c>
      <c r="M197" s="132"/>
      <c r="N197" s="133"/>
      <c r="O197" s="130"/>
      <c r="P197" s="130"/>
      <c r="Q197" s="134"/>
    </row>
    <row r="198" spans="1:17" s="129" customFormat="1" x14ac:dyDescent="0.25">
      <c r="A198" s="178">
        <f>Données!A198</f>
        <v>5727</v>
      </c>
      <c r="B198" s="358" t="str">
        <f>Données!B198</f>
        <v>Saint-Cergue</v>
      </c>
      <c r="C198" s="178">
        <f>Données!AR198</f>
        <v>0</v>
      </c>
      <c r="D198" s="359">
        <f>Données!Z198</f>
        <v>2674</v>
      </c>
      <c r="E198" s="131">
        <f>Données!X198</f>
        <v>66</v>
      </c>
      <c r="F198" s="31">
        <f>VPI!L198</f>
        <v>6398798.6784930425</v>
      </c>
      <c r="G198" s="8">
        <f t="shared" si="14"/>
        <v>193902.99025736493</v>
      </c>
      <c r="H198" s="26">
        <f t="shared" ref="H198:H261" si="16">+$G$306/$D$306*D198</f>
        <v>227318.47339181241</v>
      </c>
      <c r="I198" s="8">
        <f t="shared" ref="I198:I261" si="17">IF(C198=1,0,IF(H198&gt;G198,G198,H198))</f>
        <v>193902.99025736493</v>
      </c>
      <c r="J198" s="8">
        <f>VPI!R198</f>
        <v>105108.96305797539</v>
      </c>
      <c r="K198" s="239">
        <f t="shared" si="15"/>
        <v>135943.75478467628</v>
      </c>
      <c r="L198" s="347">
        <f t="shared" ref="L198:L261" si="18">+K198+I198</f>
        <v>329846.74504204118</v>
      </c>
      <c r="M198" s="132"/>
      <c r="N198" s="133"/>
      <c r="O198" s="130"/>
      <c r="P198" s="130"/>
      <c r="Q198" s="134"/>
    </row>
    <row r="199" spans="1:17" s="129" customFormat="1" x14ac:dyDescent="0.25">
      <c r="A199" s="178">
        <f>Données!A199</f>
        <v>5728</v>
      </c>
      <c r="B199" s="358" t="str">
        <f>Données!B199</f>
        <v>Signy-Avenex</v>
      </c>
      <c r="C199" s="178">
        <f>Données!AR199</f>
        <v>0</v>
      </c>
      <c r="D199" s="359">
        <f>Données!Z199</f>
        <v>581</v>
      </c>
      <c r="E199" s="131">
        <f>Données!X199</f>
        <v>58</v>
      </c>
      <c r="F199" s="31">
        <f>VPI!L199</f>
        <v>2565968.0447073029</v>
      </c>
      <c r="G199" s="8">
        <f t="shared" ref="G199:G262" si="19">F199/E199*2</f>
        <v>88481.656714044933</v>
      </c>
      <c r="H199" s="26">
        <f t="shared" si="16"/>
        <v>49391.186627016832</v>
      </c>
      <c r="I199" s="8">
        <f t="shared" si="17"/>
        <v>49391.186627016832</v>
      </c>
      <c r="J199" s="8">
        <f>VPI!R199</f>
        <v>49029.515425987986</v>
      </c>
      <c r="K199" s="239">
        <f t="shared" ref="K199:K262" si="20">+$K$5*J199</f>
        <v>63412.826350552328</v>
      </c>
      <c r="L199" s="347">
        <f t="shared" si="18"/>
        <v>112804.01297756916</v>
      </c>
      <c r="M199" s="132"/>
      <c r="N199" s="133"/>
      <c r="O199" s="130"/>
      <c r="P199" s="130"/>
      <c r="Q199" s="134"/>
    </row>
    <row r="200" spans="1:17" s="129" customFormat="1" x14ac:dyDescent="0.25">
      <c r="A200" s="178">
        <f>Données!A200</f>
        <v>5729</v>
      </c>
      <c r="B200" s="358" t="str">
        <f>Données!B200</f>
        <v>Tannay</v>
      </c>
      <c r="C200" s="178">
        <f>Données!AR200</f>
        <v>0</v>
      </c>
      <c r="D200" s="359">
        <f>Données!Z200</f>
        <v>1636</v>
      </c>
      <c r="E200" s="131">
        <f>Données!X200</f>
        <v>60.5</v>
      </c>
      <c r="F200" s="31">
        <f>VPI!L200</f>
        <v>7323940.2360245846</v>
      </c>
      <c r="G200" s="8">
        <f t="shared" si="19"/>
        <v>242113.72681073006</v>
      </c>
      <c r="H200" s="26">
        <f t="shared" si="16"/>
        <v>139077.42051944844</v>
      </c>
      <c r="I200" s="8">
        <f t="shared" si="17"/>
        <v>139077.42051944844</v>
      </c>
      <c r="J200" s="8">
        <f>VPI!R200</f>
        <v>130705.91189021352</v>
      </c>
      <c r="K200" s="239">
        <f t="shared" si="20"/>
        <v>169049.83093696737</v>
      </c>
      <c r="L200" s="347">
        <f t="shared" si="18"/>
        <v>308127.2514564158</v>
      </c>
      <c r="M200" s="132"/>
      <c r="N200" s="133"/>
      <c r="O200" s="130"/>
      <c r="P200" s="130"/>
      <c r="Q200" s="134"/>
    </row>
    <row r="201" spans="1:17" s="129" customFormat="1" x14ac:dyDescent="0.25">
      <c r="A201" s="178">
        <f>Données!A201</f>
        <v>5730</v>
      </c>
      <c r="B201" s="358" t="str">
        <f>Données!B201</f>
        <v>Trélex</v>
      </c>
      <c r="C201" s="178">
        <f>Données!AR201</f>
        <v>0</v>
      </c>
      <c r="D201" s="359">
        <f>Données!Z201</f>
        <v>1445</v>
      </c>
      <c r="E201" s="131">
        <f>Données!X201</f>
        <v>55.5</v>
      </c>
      <c r="F201" s="31">
        <f>VPI!L201</f>
        <v>5754330.6500000004</v>
      </c>
      <c r="G201" s="8">
        <f t="shared" si="19"/>
        <v>207363.26666666669</v>
      </c>
      <c r="H201" s="26">
        <f t="shared" si="16"/>
        <v>122840.38670574754</v>
      </c>
      <c r="I201" s="8">
        <f t="shared" si="17"/>
        <v>122840.38670574754</v>
      </c>
      <c r="J201" s="8">
        <f>VPI!R201</f>
        <v>111635.7900900901</v>
      </c>
      <c r="K201" s="239">
        <f t="shared" si="20"/>
        <v>144385.29342954329</v>
      </c>
      <c r="L201" s="347">
        <f t="shared" si="18"/>
        <v>267225.68013529084</v>
      </c>
      <c r="M201" s="132"/>
      <c r="N201" s="133"/>
      <c r="O201" s="130"/>
      <c r="P201" s="130"/>
      <c r="Q201" s="134"/>
    </row>
    <row r="202" spans="1:17" s="129" customFormat="1" x14ac:dyDescent="0.25">
      <c r="A202" s="178">
        <f>Données!A202</f>
        <v>5731</v>
      </c>
      <c r="B202" s="358" t="str">
        <f>Données!B202</f>
        <v>Le Vaud</v>
      </c>
      <c r="C202" s="178">
        <f>Données!AR202</f>
        <v>0</v>
      </c>
      <c r="D202" s="359">
        <f>Données!Z202</f>
        <v>1366</v>
      </c>
      <c r="E202" s="131">
        <f>Données!X202</f>
        <v>74</v>
      </c>
      <c r="F202" s="31">
        <f>VPI!L202</f>
        <v>4459952.6121639395</v>
      </c>
      <c r="G202" s="8">
        <f t="shared" si="19"/>
        <v>120539.25978821458</v>
      </c>
      <c r="H202" s="26">
        <f t="shared" si="16"/>
        <v>116124.54549484509</v>
      </c>
      <c r="I202" s="8">
        <f t="shared" si="17"/>
        <v>116124.54549484509</v>
      </c>
      <c r="J202" s="8">
        <f>VPI!R202</f>
        <v>63939.29295717035</v>
      </c>
      <c r="K202" s="239">
        <f t="shared" si="20"/>
        <v>82696.539952361432</v>
      </c>
      <c r="L202" s="347">
        <f t="shared" si="18"/>
        <v>198821.08544720651</v>
      </c>
      <c r="M202" s="132"/>
      <c r="N202" s="133"/>
      <c r="O202" s="130"/>
      <c r="P202" s="130"/>
      <c r="Q202" s="134"/>
    </row>
    <row r="203" spans="1:17" s="129" customFormat="1" x14ac:dyDescent="0.25">
      <c r="A203" s="178">
        <f>Données!A203</f>
        <v>5732</v>
      </c>
      <c r="B203" s="358" t="str">
        <f>Données!B203</f>
        <v>Vich</v>
      </c>
      <c r="C203" s="178">
        <f>Données!AR203</f>
        <v>0</v>
      </c>
      <c r="D203" s="359">
        <f>Données!Z203</f>
        <v>1156</v>
      </c>
      <c r="E203" s="131">
        <f>Données!X203</f>
        <v>63</v>
      </c>
      <c r="F203" s="31">
        <f>VPI!L203</f>
        <v>4081264.6264910898</v>
      </c>
      <c r="G203" s="8">
        <f t="shared" si="19"/>
        <v>129563.95639654253</v>
      </c>
      <c r="H203" s="26">
        <f t="shared" si="16"/>
        <v>98272.309364598041</v>
      </c>
      <c r="I203" s="8">
        <f t="shared" si="17"/>
        <v>98272.309364598041</v>
      </c>
      <c r="J203" s="8">
        <f>VPI!R203</f>
        <v>70997.378198271268</v>
      </c>
      <c r="K203" s="239">
        <f t="shared" si="20"/>
        <v>91825.186847453806</v>
      </c>
      <c r="L203" s="347">
        <f t="shared" si="18"/>
        <v>190097.49621205183</v>
      </c>
      <c r="M203" s="132"/>
      <c r="N203" s="133"/>
      <c r="O203" s="130"/>
      <c r="P203" s="130"/>
      <c r="Q203" s="134"/>
    </row>
    <row r="204" spans="1:17" s="129" customFormat="1" x14ac:dyDescent="0.25">
      <c r="A204" s="178">
        <f>Données!A204</f>
        <v>5741</v>
      </c>
      <c r="B204" s="358" t="str">
        <f>Données!B204</f>
        <v>L'Abergement</v>
      </c>
      <c r="C204" s="178">
        <f>Données!AR204</f>
        <v>0</v>
      </c>
      <c r="D204" s="359">
        <f>Données!Z204</f>
        <v>256</v>
      </c>
      <c r="E204" s="131">
        <f>Données!X204</f>
        <v>81</v>
      </c>
      <c r="F204" s="31">
        <f>VPI!L204</f>
        <v>555497.87163806555</v>
      </c>
      <c r="G204" s="8">
        <f t="shared" si="19"/>
        <v>13715.99683056952</v>
      </c>
      <c r="H204" s="26">
        <f t="shared" si="16"/>
        <v>21762.725949253545</v>
      </c>
      <c r="I204" s="8">
        <f t="shared" si="17"/>
        <v>13715.99683056952</v>
      </c>
      <c r="J204" s="8">
        <f>VPI!R204</f>
        <v>7367.4577774246782</v>
      </c>
      <c r="K204" s="239">
        <f t="shared" si="20"/>
        <v>9528.7770361528728</v>
      </c>
      <c r="L204" s="347">
        <f t="shared" si="18"/>
        <v>23244.773866722393</v>
      </c>
      <c r="M204" s="132"/>
      <c r="N204" s="133"/>
      <c r="O204" s="130"/>
      <c r="P204" s="130"/>
      <c r="Q204" s="134"/>
    </row>
    <row r="205" spans="1:17" s="129" customFormat="1" x14ac:dyDescent="0.25">
      <c r="A205" s="178">
        <f>Données!A205</f>
        <v>5742</v>
      </c>
      <c r="B205" s="358" t="str">
        <f>Données!B205</f>
        <v>Agiez</v>
      </c>
      <c r="C205" s="178">
        <f>Données!AR205</f>
        <v>0</v>
      </c>
      <c r="D205" s="359">
        <f>Données!Z205</f>
        <v>377</v>
      </c>
      <c r="E205" s="131">
        <f>Données!X205</f>
        <v>76</v>
      </c>
      <c r="F205" s="31">
        <f>VPI!L205</f>
        <v>633479.15449216275</v>
      </c>
      <c r="G205" s="8">
        <f t="shared" si="19"/>
        <v>16670.504065583231</v>
      </c>
      <c r="H205" s="26">
        <f t="shared" si="16"/>
        <v>32049.014386205417</v>
      </c>
      <c r="I205" s="8">
        <f t="shared" si="17"/>
        <v>16670.504065583231</v>
      </c>
      <c r="J205" s="8">
        <f>VPI!R205</f>
        <v>8959.2362433179314</v>
      </c>
      <c r="K205" s="239">
        <f t="shared" si="20"/>
        <v>11587.520031453512</v>
      </c>
      <c r="L205" s="347">
        <f t="shared" si="18"/>
        <v>28258.024097036745</v>
      </c>
      <c r="M205" s="132"/>
      <c r="N205" s="133"/>
      <c r="O205" s="130"/>
      <c r="P205" s="130"/>
      <c r="Q205" s="134"/>
    </row>
    <row r="206" spans="1:17" s="129" customFormat="1" x14ac:dyDescent="0.25">
      <c r="A206" s="178">
        <f>Données!A206</f>
        <v>5743</v>
      </c>
      <c r="B206" s="358" t="str">
        <f>Données!B206</f>
        <v>Arnex-sur-Orbe</v>
      </c>
      <c r="C206" s="178">
        <f>Données!AR206</f>
        <v>0</v>
      </c>
      <c r="D206" s="359">
        <f>Données!Z206</f>
        <v>637</v>
      </c>
      <c r="E206" s="131">
        <f>Données!X206</f>
        <v>71</v>
      </c>
      <c r="F206" s="31">
        <f>VPI!L206</f>
        <v>1371959.1642264414</v>
      </c>
      <c r="G206" s="8">
        <f t="shared" si="19"/>
        <v>38646.737020463137</v>
      </c>
      <c r="H206" s="26">
        <f t="shared" si="16"/>
        <v>54151.782928416047</v>
      </c>
      <c r="I206" s="8">
        <f t="shared" si="17"/>
        <v>38646.737020463137</v>
      </c>
      <c r="J206" s="8">
        <f>VPI!R206</f>
        <v>20545.993510231569</v>
      </c>
      <c r="K206" s="239">
        <f t="shared" si="20"/>
        <v>26573.371312034244</v>
      </c>
      <c r="L206" s="347">
        <f t="shared" si="18"/>
        <v>65220.108332497381</v>
      </c>
      <c r="M206" s="132"/>
      <c r="N206" s="133"/>
      <c r="O206" s="130"/>
      <c r="P206" s="130"/>
      <c r="Q206" s="134"/>
    </row>
    <row r="207" spans="1:17" s="129" customFormat="1" x14ac:dyDescent="0.25">
      <c r="A207" s="178">
        <f>Données!A207</f>
        <v>5744</v>
      </c>
      <c r="B207" s="358" t="str">
        <f>Données!B207</f>
        <v>Ballaigues</v>
      </c>
      <c r="C207" s="178">
        <f>Données!AR207</f>
        <v>0</v>
      </c>
      <c r="D207" s="359">
        <f>Données!Z207</f>
        <v>1143</v>
      </c>
      <c r="E207" s="131">
        <f>Données!X207</f>
        <v>65</v>
      </c>
      <c r="F207" s="31">
        <f>VPI!L207</f>
        <v>2432093.870557602</v>
      </c>
      <c r="G207" s="8">
        <f t="shared" si="19"/>
        <v>74833.657555618527</v>
      </c>
      <c r="H207" s="26">
        <f t="shared" si="16"/>
        <v>97167.170937487506</v>
      </c>
      <c r="I207" s="8">
        <f t="shared" si="17"/>
        <v>74833.657555618527</v>
      </c>
      <c r="J207" s="8">
        <f>VPI!R207</f>
        <v>40192.729547040028</v>
      </c>
      <c r="K207" s="239">
        <f t="shared" si="20"/>
        <v>51983.678753027445</v>
      </c>
      <c r="L207" s="347">
        <f t="shared" si="18"/>
        <v>126817.33630864597</v>
      </c>
      <c r="M207" s="132"/>
      <c r="N207" s="133"/>
      <c r="O207" s="130"/>
      <c r="P207" s="130"/>
      <c r="Q207" s="134"/>
    </row>
    <row r="208" spans="1:17" s="129" customFormat="1" x14ac:dyDescent="0.25">
      <c r="A208" s="178">
        <f>Données!A208</f>
        <v>5745</v>
      </c>
      <c r="B208" s="358" t="str">
        <f>Données!B208</f>
        <v>Baulmes</v>
      </c>
      <c r="C208" s="178">
        <f>Données!AR208</f>
        <v>0</v>
      </c>
      <c r="D208" s="359">
        <f>Données!Z208</f>
        <v>1074</v>
      </c>
      <c r="E208" s="131">
        <f>Données!X208</f>
        <v>76.5</v>
      </c>
      <c r="F208" s="31">
        <f>VPI!L208</f>
        <v>1915679.0263104995</v>
      </c>
      <c r="G208" s="8">
        <f t="shared" si="19"/>
        <v>50083.111798967308</v>
      </c>
      <c r="H208" s="26">
        <f t="shared" si="16"/>
        <v>91301.436208977757</v>
      </c>
      <c r="I208" s="8">
        <f t="shared" si="17"/>
        <v>50083.111798967308</v>
      </c>
      <c r="J208" s="8">
        <f>VPI!R208</f>
        <v>26823.608187065354</v>
      </c>
      <c r="K208" s="239">
        <f t="shared" si="20"/>
        <v>34692.588602661133</v>
      </c>
      <c r="L208" s="347">
        <f t="shared" si="18"/>
        <v>84775.700401628448</v>
      </c>
      <c r="M208" s="132"/>
      <c r="N208" s="133"/>
      <c r="O208" s="130"/>
      <c r="P208" s="130"/>
      <c r="Q208" s="134"/>
    </row>
    <row r="209" spans="1:17" s="129" customFormat="1" x14ac:dyDescent="0.25">
      <c r="A209" s="178">
        <f>Données!A209</f>
        <v>5746</v>
      </c>
      <c r="B209" s="358" t="str">
        <f>Données!B209</f>
        <v>Bavois</v>
      </c>
      <c r="C209" s="178">
        <f>Données!AR209</f>
        <v>0</v>
      </c>
      <c r="D209" s="359">
        <f>Données!Z209</f>
        <v>994</v>
      </c>
      <c r="E209" s="131">
        <f>Données!X209</f>
        <v>73</v>
      </c>
      <c r="F209" s="31">
        <f>VPI!L209</f>
        <v>2026660.7866303304</v>
      </c>
      <c r="G209" s="8">
        <f t="shared" si="19"/>
        <v>55524.953058365216</v>
      </c>
      <c r="H209" s="26">
        <f t="shared" si="16"/>
        <v>84500.584349836034</v>
      </c>
      <c r="I209" s="8">
        <f t="shared" si="17"/>
        <v>55524.953058365216</v>
      </c>
      <c r="J209" s="8">
        <f>VPI!R209</f>
        <v>30464.573561146077</v>
      </c>
      <c r="K209" s="239">
        <f t="shared" si="20"/>
        <v>39401.668490743716</v>
      </c>
      <c r="L209" s="347">
        <f t="shared" si="18"/>
        <v>94926.621549108939</v>
      </c>
      <c r="M209" s="132"/>
      <c r="N209" s="133"/>
      <c r="O209" s="130"/>
      <c r="P209" s="130"/>
      <c r="Q209" s="134"/>
    </row>
    <row r="210" spans="1:17" s="129" customFormat="1" x14ac:dyDescent="0.25">
      <c r="A210" s="178">
        <f>Données!A210</f>
        <v>5747</v>
      </c>
      <c r="B210" s="358" t="str">
        <f>Données!B210</f>
        <v>Bofflens</v>
      </c>
      <c r="C210" s="178">
        <f>Données!AR210</f>
        <v>0</v>
      </c>
      <c r="D210" s="359">
        <f>Données!Z210</f>
        <v>206</v>
      </c>
      <c r="E210" s="131">
        <f>Données!X210</f>
        <v>69</v>
      </c>
      <c r="F210" s="31">
        <f>VPI!L210</f>
        <v>354480.44384701474</v>
      </c>
      <c r="G210" s="8">
        <f t="shared" si="19"/>
        <v>10274.795473826514</v>
      </c>
      <c r="H210" s="26">
        <f t="shared" si="16"/>
        <v>17512.193537289961</v>
      </c>
      <c r="I210" s="8">
        <f t="shared" si="17"/>
        <v>10274.795473826514</v>
      </c>
      <c r="J210" s="8">
        <f>VPI!R210</f>
        <v>5602.2513601016635</v>
      </c>
      <c r="K210" s="239">
        <f t="shared" si="20"/>
        <v>7245.7292221568741</v>
      </c>
      <c r="L210" s="347">
        <f t="shared" si="18"/>
        <v>17520.524695983389</v>
      </c>
      <c r="M210" s="132"/>
      <c r="N210" s="133"/>
      <c r="O210" s="130"/>
      <c r="P210" s="130"/>
      <c r="Q210" s="134"/>
    </row>
    <row r="211" spans="1:17" s="129" customFormat="1" x14ac:dyDescent="0.25">
      <c r="A211" s="178">
        <f>Données!A211</f>
        <v>5748</v>
      </c>
      <c r="B211" s="358" t="str">
        <f>Données!B211</f>
        <v>Bretonnières</v>
      </c>
      <c r="C211" s="178">
        <f>Données!AR211</f>
        <v>0</v>
      </c>
      <c r="D211" s="359">
        <f>Données!Z211</f>
        <v>268</v>
      </c>
      <c r="E211" s="131">
        <f>Données!X211</f>
        <v>70.5</v>
      </c>
      <c r="F211" s="31">
        <f>VPI!L211</f>
        <v>368500.97201447876</v>
      </c>
      <c r="G211" s="8">
        <f t="shared" si="19"/>
        <v>10453.928284098689</v>
      </c>
      <c r="H211" s="26">
        <f t="shared" si="16"/>
        <v>22782.853728124806</v>
      </c>
      <c r="I211" s="8">
        <f t="shared" si="17"/>
        <v>10453.928284098689</v>
      </c>
      <c r="J211" s="8">
        <f>VPI!R211</f>
        <v>5788.8837637987526</v>
      </c>
      <c r="K211" s="239">
        <f t="shared" si="20"/>
        <v>7487.1121545436918</v>
      </c>
      <c r="L211" s="347">
        <f t="shared" si="18"/>
        <v>17941.04043864238</v>
      </c>
      <c r="M211" s="132"/>
      <c r="N211" s="133"/>
      <c r="O211" s="130"/>
      <c r="P211" s="130"/>
      <c r="Q211" s="134"/>
    </row>
    <row r="212" spans="1:17" s="129" customFormat="1" x14ac:dyDescent="0.25">
      <c r="A212" s="178">
        <f>Données!A212</f>
        <v>5749</v>
      </c>
      <c r="B212" s="358" t="str">
        <f>Données!B212</f>
        <v>Chavornay</v>
      </c>
      <c r="C212" s="178">
        <f>Données!AR212</f>
        <v>0</v>
      </c>
      <c r="D212" s="359">
        <f>Données!Z212</f>
        <v>5227</v>
      </c>
      <c r="E212" s="131">
        <f>Données!X212</f>
        <v>70.5</v>
      </c>
      <c r="F212" s="31">
        <f>VPI!L212</f>
        <v>9032196.8200331461</v>
      </c>
      <c r="G212" s="8">
        <f t="shared" si="19"/>
        <v>256232.53390164953</v>
      </c>
      <c r="H212" s="26">
        <f t="shared" si="16"/>
        <v>444350.65834667295</v>
      </c>
      <c r="I212" s="8">
        <f t="shared" si="17"/>
        <v>256232.53390164953</v>
      </c>
      <c r="J212" s="8">
        <f>VPI!R212</f>
        <v>140636.14212812972</v>
      </c>
      <c r="K212" s="239">
        <f t="shared" si="20"/>
        <v>181893.19600445509</v>
      </c>
      <c r="L212" s="347">
        <f t="shared" si="18"/>
        <v>438125.72990610462</v>
      </c>
      <c r="M212" s="132"/>
      <c r="N212" s="133"/>
      <c r="O212" s="130"/>
      <c r="P212" s="130"/>
      <c r="Q212" s="134"/>
    </row>
    <row r="213" spans="1:17" s="129" customFormat="1" x14ac:dyDescent="0.25">
      <c r="A213" s="178">
        <f>Données!A213</f>
        <v>5750</v>
      </c>
      <c r="B213" s="358" t="str">
        <f>Données!B213</f>
        <v>Les Clées</v>
      </c>
      <c r="C213" s="178">
        <f>Données!AR213</f>
        <v>0</v>
      </c>
      <c r="D213" s="359">
        <f>Données!Z213</f>
        <v>187</v>
      </c>
      <c r="E213" s="131">
        <f>Données!X213</f>
        <v>80</v>
      </c>
      <c r="F213" s="31">
        <f>VPI!L213</f>
        <v>459022.95</v>
      </c>
      <c r="G213" s="8">
        <f t="shared" si="19"/>
        <v>11475.57375</v>
      </c>
      <c r="H213" s="26">
        <f t="shared" si="16"/>
        <v>15896.991220743801</v>
      </c>
      <c r="I213" s="8">
        <f t="shared" si="17"/>
        <v>11475.57375</v>
      </c>
      <c r="J213" s="8">
        <f>VPI!R213</f>
        <v>6038.046875</v>
      </c>
      <c r="K213" s="239">
        <f t="shared" si="20"/>
        <v>7809.3698184485902</v>
      </c>
      <c r="L213" s="347">
        <f t="shared" si="18"/>
        <v>19284.943568448591</v>
      </c>
      <c r="M213" s="132"/>
      <c r="N213" s="133"/>
      <c r="O213" s="130"/>
      <c r="P213" s="130"/>
      <c r="Q213" s="134"/>
    </row>
    <row r="214" spans="1:17" s="129" customFormat="1" x14ac:dyDescent="0.25">
      <c r="A214" s="178">
        <f>Données!A214</f>
        <v>5752</v>
      </c>
      <c r="B214" s="358" t="str">
        <f>Données!B214</f>
        <v>Croy</v>
      </c>
      <c r="C214" s="178">
        <f>Données!AR214</f>
        <v>0</v>
      </c>
      <c r="D214" s="359">
        <f>Données!Z214</f>
        <v>397</v>
      </c>
      <c r="E214" s="131">
        <f>Données!X214</f>
        <v>74</v>
      </c>
      <c r="F214" s="31">
        <f>VPI!L214</f>
        <v>635191.86323837482</v>
      </c>
      <c r="G214" s="8">
        <f t="shared" si="19"/>
        <v>17167.347655091213</v>
      </c>
      <c r="H214" s="26">
        <f t="shared" si="16"/>
        <v>33749.227350990848</v>
      </c>
      <c r="I214" s="8">
        <f t="shared" si="17"/>
        <v>17167.347655091213</v>
      </c>
      <c r="J214" s="8">
        <f>VPI!R214</f>
        <v>9413.4881132598912</v>
      </c>
      <c r="K214" s="239">
        <f t="shared" si="20"/>
        <v>12175.03134372675</v>
      </c>
      <c r="L214" s="347">
        <f t="shared" si="18"/>
        <v>29342.378998817963</v>
      </c>
      <c r="M214" s="132"/>
      <c r="N214" s="133"/>
      <c r="O214" s="130"/>
      <c r="P214" s="130"/>
      <c r="Q214" s="134"/>
    </row>
    <row r="215" spans="1:17" s="129" customFormat="1" x14ac:dyDescent="0.25">
      <c r="A215" s="178">
        <f>Données!A215</f>
        <v>5754</v>
      </c>
      <c r="B215" s="358" t="str">
        <f>Données!B215</f>
        <v>Juriens</v>
      </c>
      <c r="C215" s="178">
        <f>Données!AR215</f>
        <v>0</v>
      </c>
      <c r="D215" s="359">
        <f>Données!Z215</f>
        <v>336</v>
      </c>
      <c r="E215" s="131">
        <f>Données!X215</f>
        <v>79</v>
      </c>
      <c r="F215" s="31">
        <f>VPI!L215</f>
        <v>591943.71841519652</v>
      </c>
      <c r="G215" s="8">
        <f t="shared" si="19"/>
        <v>14985.916921903708</v>
      </c>
      <c r="H215" s="26">
        <f t="shared" si="16"/>
        <v>28563.577808395279</v>
      </c>
      <c r="I215" s="8">
        <f t="shared" si="17"/>
        <v>14985.916921903708</v>
      </c>
      <c r="J215" s="8">
        <f>VPI!R215</f>
        <v>8043.2571951290693</v>
      </c>
      <c r="K215" s="239">
        <f t="shared" si="20"/>
        <v>10402.829140285601</v>
      </c>
      <c r="L215" s="347">
        <f t="shared" si="18"/>
        <v>25388.746062189311</v>
      </c>
      <c r="M215" s="132"/>
      <c r="N215" s="133"/>
      <c r="O215" s="130"/>
      <c r="P215" s="130"/>
      <c r="Q215" s="134"/>
    </row>
    <row r="216" spans="1:17" s="129" customFormat="1" x14ac:dyDescent="0.25">
      <c r="A216" s="178">
        <f>Données!A216</f>
        <v>5755</v>
      </c>
      <c r="B216" s="358" t="str">
        <f>Données!B216</f>
        <v>Lignerolle</v>
      </c>
      <c r="C216" s="178">
        <f>Données!AR216</f>
        <v>0</v>
      </c>
      <c r="D216" s="359">
        <f>Données!Z216</f>
        <v>435</v>
      </c>
      <c r="E216" s="131">
        <f>Données!X216</f>
        <v>78.5</v>
      </c>
      <c r="F216" s="31">
        <f>VPI!L216</f>
        <v>645509.08922953776</v>
      </c>
      <c r="G216" s="8">
        <f t="shared" si="19"/>
        <v>16446.091445338541</v>
      </c>
      <c r="H216" s="26">
        <f t="shared" si="16"/>
        <v>36979.631984083171</v>
      </c>
      <c r="I216" s="8">
        <f t="shared" si="17"/>
        <v>16446.091445338541</v>
      </c>
      <c r="J216" s="8">
        <f>VPI!R216</f>
        <v>9053.1652859085789</v>
      </c>
      <c r="K216" s="239">
        <f t="shared" si="20"/>
        <v>11709.00412150261</v>
      </c>
      <c r="L216" s="347">
        <f t="shared" si="18"/>
        <v>28155.095566841152</v>
      </c>
      <c r="M216" s="132"/>
      <c r="N216" s="133"/>
      <c r="O216" s="130"/>
      <c r="P216" s="130"/>
      <c r="Q216" s="134"/>
    </row>
    <row r="217" spans="1:17" s="129" customFormat="1" x14ac:dyDescent="0.25">
      <c r="A217" s="178">
        <f>Données!A217</f>
        <v>5756</v>
      </c>
      <c r="B217" s="358" t="str">
        <f>Données!B217</f>
        <v>Montcherand</v>
      </c>
      <c r="C217" s="178">
        <f>Données!AR217</f>
        <v>1</v>
      </c>
      <c r="D217" s="359">
        <f>Données!Z217</f>
        <v>506</v>
      </c>
      <c r="E217" s="131">
        <f>Données!X217</f>
        <v>72</v>
      </c>
      <c r="F217" s="31">
        <f>VPI!L217</f>
        <v>1047253.7108177089</v>
      </c>
      <c r="G217" s="8">
        <f t="shared" si="19"/>
        <v>29090.380856047468</v>
      </c>
      <c r="H217" s="26">
        <f t="shared" si="16"/>
        <v>43015.388009071459</v>
      </c>
      <c r="I217" s="8">
        <f t="shared" si="17"/>
        <v>0</v>
      </c>
      <c r="J217" s="8">
        <f>VPI!R217</f>
        <v>15753.043205801514</v>
      </c>
      <c r="K217" s="239">
        <f t="shared" si="20"/>
        <v>20374.359905926198</v>
      </c>
      <c r="L217" s="347">
        <f t="shared" si="18"/>
        <v>20374.359905926198</v>
      </c>
      <c r="M217" s="132"/>
      <c r="N217" s="133"/>
      <c r="O217" s="130"/>
      <c r="P217" s="130"/>
      <c r="Q217" s="134"/>
    </row>
    <row r="218" spans="1:17" s="129" customFormat="1" x14ac:dyDescent="0.25">
      <c r="A218" s="178">
        <f>Données!A218</f>
        <v>5757</v>
      </c>
      <c r="B218" s="358" t="str">
        <f>Données!B218</f>
        <v>Orbe</v>
      </c>
      <c r="C218" s="178">
        <f>Données!AR218</f>
        <v>1</v>
      </c>
      <c r="D218" s="359">
        <f>Données!Z218</f>
        <v>7124</v>
      </c>
      <c r="E218" s="131">
        <f>Données!X218</f>
        <v>75.5</v>
      </c>
      <c r="F218" s="31">
        <f>VPI!L218</f>
        <v>13631963.323562261</v>
      </c>
      <c r="G218" s="8">
        <f t="shared" si="19"/>
        <v>361111.61122019234</v>
      </c>
      <c r="H218" s="26">
        <f t="shared" si="16"/>
        <v>605615.85805657133</v>
      </c>
      <c r="I218" s="8">
        <f t="shared" si="17"/>
        <v>0</v>
      </c>
      <c r="J218" s="8">
        <f>VPI!R218</f>
        <v>203477.21355711605</v>
      </c>
      <c r="K218" s="239">
        <f t="shared" si="20"/>
        <v>263169.33988608036</v>
      </c>
      <c r="L218" s="347">
        <f t="shared" si="18"/>
        <v>263169.33988608036</v>
      </c>
      <c r="M218" s="132"/>
      <c r="N218" s="133"/>
      <c r="O218" s="130"/>
      <c r="P218" s="130"/>
      <c r="Q218" s="134"/>
    </row>
    <row r="219" spans="1:17" s="129" customFormat="1" x14ac:dyDescent="0.25">
      <c r="A219" s="178">
        <f>Données!A219</f>
        <v>5758</v>
      </c>
      <c r="B219" s="358" t="str">
        <f>Données!B219</f>
        <v>La Praz</v>
      </c>
      <c r="C219" s="178">
        <f>Données!AR219</f>
        <v>0</v>
      </c>
      <c r="D219" s="359">
        <f>Données!Z219</f>
        <v>175</v>
      </c>
      <c r="E219" s="131">
        <f>Données!X219</f>
        <v>83</v>
      </c>
      <c r="F219" s="31">
        <f>VPI!L219</f>
        <v>328780.17555980454</v>
      </c>
      <c r="G219" s="8">
        <f t="shared" si="19"/>
        <v>7922.4138689109532</v>
      </c>
      <c r="H219" s="26">
        <f t="shared" si="16"/>
        <v>14876.86344187254</v>
      </c>
      <c r="I219" s="8">
        <f t="shared" si="17"/>
        <v>7922.4138689109532</v>
      </c>
      <c r="J219" s="8">
        <f>VPI!R219</f>
        <v>4311.7430790337894</v>
      </c>
      <c r="K219" s="239">
        <f t="shared" si="20"/>
        <v>5576.6371085535948</v>
      </c>
      <c r="L219" s="347">
        <f t="shared" si="18"/>
        <v>13499.050977464547</v>
      </c>
      <c r="M219" s="132"/>
      <c r="N219" s="133"/>
      <c r="O219" s="130"/>
      <c r="P219" s="130"/>
      <c r="Q219" s="134"/>
    </row>
    <row r="220" spans="1:17" s="129" customFormat="1" x14ac:dyDescent="0.25">
      <c r="A220" s="178">
        <f>Données!A220</f>
        <v>5759</v>
      </c>
      <c r="B220" s="358" t="str">
        <f>Données!B220</f>
        <v>Premier</v>
      </c>
      <c r="C220" s="178">
        <f>Données!AR220</f>
        <v>0</v>
      </c>
      <c r="D220" s="359">
        <f>Données!Z220</f>
        <v>218</v>
      </c>
      <c r="E220" s="131">
        <f>Données!X220</f>
        <v>79.5</v>
      </c>
      <c r="F220" s="31">
        <f>VPI!L220</f>
        <v>391162.21500239003</v>
      </c>
      <c r="G220" s="8">
        <f t="shared" si="19"/>
        <v>9840.5588679846551</v>
      </c>
      <c r="H220" s="26">
        <f t="shared" si="16"/>
        <v>18532.321316161222</v>
      </c>
      <c r="I220" s="8">
        <f t="shared" si="17"/>
        <v>9840.5588679846551</v>
      </c>
      <c r="J220" s="8">
        <f>VPI!R220</f>
        <v>5307.2435849357244</v>
      </c>
      <c r="K220" s="239">
        <f t="shared" si="20"/>
        <v>6864.1778921850355</v>
      </c>
      <c r="L220" s="347">
        <f t="shared" si="18"/>
        <v>16704.73676016969</v>
      </c>
      <c r="M220" s="132"/>
      <c r="N220" s="133"/>
      <c r="O220" s="130"/>
      <c r="P220" s="130"/>
      <c r="Q220" s="134"/>
    </row>
    <row r="221" spans="1:17" s="129" customFormat="1" x14ac:dyDescent="0.25">
      <c r="A221" s="178">
        <f>Données!A221</f>
        <v>5760</v>
      </c>
      <c r="B221" s="358" t="str">
        <f>Données!B221</f>
        <v>Rances</v>
      </c>
      <c r="C221" s="178">
        <f>Données!AR221</f>
        <v>0</v>
      </c>
      <c r="D221" s="359">
        <f>Données!Z221</f>
        <v>513</v>
      </c>
      <c r="E221" s="131">
        <f>Données!X221</f>
        <v>76.5</v>
      </c>
      <c r="F221" s="31">
        <f>VPI!L221</f>
        <v>905635.04676717066</v>
      </c>
      <c r="G221" s="8">
        <f t="shared" si="19"/>
        <v>23676.733248814919</v>
      </c>
      <c r="H221" s="26">
        <f t="shared" si="16"/>
        <v>43610.462546746363</v>
      </c>
      <c r="I221" s="8">
        <f t="shared" si="17"/>
        <v>23676.733248814919</v>
      </c>
      <c r="J221" s="8">
        <f>VPI!R221</f>
        <v>12825.206275823581</v>
      </c>
      <c r="K221" s="239">
        <f t="shared" si="20"/>
        <v>16587.612000907844</v>
      </c>
      <c r="L221" s="347">
        <f t="shared" si="18"/>
        <v>40264.345249722763</v>
      </c>
      <c r="M221" s="132"/>
      <c r="N221" s="133"/>
      <c r="O221" s="130"/>
      <c r="P221" s="130"/>
      <c r="Q221" s="134"/>
    </row>
    <row r="222" spans="1:17" s="129" customFormat="1" x14ac:dyDescent="0.25">
      <c r="A222" s="178">
        <f>Données!A222</f>
        <v>5761</v>
      </c>
      <c r="B222" s="358" t="str">
        <f>Données!B222</f>
        <v>Romainmôtier-Envy</v>
      </c>
      <c r="C222" s="178">
        <f>Données!AR222</f>
        <v>0</v>
      </c>
      <c r="D222" s="359">
        <f>Données!Z222</f>
        <v>525</v>
      </c>
      <c r="E222" s="131">
        <f>Données!X222</f>
        <v>81</v>
      </c>
      <c r="F222" s="31">
        <f>VPI!L222</f>
        <v>895894.43912536837</v>
      </c>
      <c r="G222" s="8">
        <f t="shared" si="19"/>
        <v>22120.850348774529</v>
      </c>
      <c r="H222" s="26">
        <f t="shared" si="16"/>
        <v>44630.590325617624</v>
      </c>
      <c r="I222" s="8">
        <f t="shared" si="17"/>
        <v>22120.850348774529</v>
      </c>
      <c r="J222" s="8">
        <f>VPI!R222</f>
        <v>12133.770909516334</v>
      </c>
      <c r="K222" s="239">
        <f t="shared" si="20"/>
        <v>15693.336982374181</v>
      </c>
      <c r="L222" s="347">
        <f t="shared" si="18"/>
        <v>37814.187331148714</v>
      </c>
      <c r="M222" s="132"/>
      <c r="N222" s="133"/>
      <c r="O222" s="130"/>
      <c r="P222" s="130"/>
      <c r="Q222" s="134"/>
    </row>
    <row r="223" spans="1:17" s="129" customFormat="1" x14ac:dyDescent="0.25">
      <c r="A223" s="178">
        <f>Données!A223</f>
        <v>5762</v>
      </c>
      <c r="B223" s="358" t="str">
        <f>Données!B223</f>
        <v>Sergey</v>
      </c>
      <c r="C223" s="178">
        <f>Données!AR223</f>
        <v>0</v>
      </c>
      <c r="D223" s="359">
        <f>Données!Z223</f>
        <v>145</v>
      </c>
      <c r="E223" s="131">
        <f>Données!X223</f>
        <v>78</v>
      </c>
      <c r="F223" s="31">
        <f>VPI!L223</f>
        <v>273622.34800811426</v>
      </c>
      <c r="G223" s="8">
        <f t="shared" si="19"/>
        <v>7015.9576412336992</v>
      </c>
      <c r="H223" s="26">
        <f t="shared" si="16"/>
        <v>12326.543994694392</v>
      </c>
      <c r="I223" s="8">
        <f t="shared" si="17"/>
        <v>7015.9576412336992</v>
      </c>
      <c r="J223" s="8">
        <f>VPI!R223</f>
        <v>3771.973692411721</v>
      </c>
      <c r="K223" s="239">
        <f t="shared" si="20"/>
        <v>4878.520839489538</v>
      </c>
      <c r="L223" s="347">
        <f t="shared" si="18"/>
        <v>11894.478480723237</v>
      </c>
      <c r="M223" s="132"/>
      <c r="N223" s="133"/>
      <c r="O223" s="130"/>
      <c r="P223" s="130"/>
      <c r="Q223" s="134"/>
    </row>
    <row r="224" spans="1:17" s="129" customFormat="1" x14ac:dyDescent="0.25">
      <c r="A224" s="178">
        <f>Données!A224</f>
        <v>5763</v>
      </c>
      <c r="B224" s="358" t="str">
        <f>Données!B224</f>
        <v>Valeyres-sous-Rances</v>
      </c>
      <c r="C224" s="178">
        <f>Données!AR224</f>
        <v>0</v>
      </c>
      <c r="D224" s="359">
        <f>Données!Z224</f>
        <v>609</v>
      </c>
      <c r="E224" s="131">
        <f>Données!X224</f>
        <v>68</v>
      </c>
      <c r="F224" s="31">
        <f>VPI!L224</f>
        <v>1297798.5601604928</v>
      </c>
      <c r="G224" s="8">
        <f t="shared" si="19"/>
        <v>38170.54588707332</v>
      </c>
      <c r="H224" s="26">
        <f t="shared" si="16"/>
        <v>51771.48477771644</v>
      </c>
      <c r="I224" s="8">
        <f t="shared" si="17"/>
        <v>38170.54588707332</v>
      </c>
      <c r="J224" s="8">
        <f>VPI!R224</f>
        <v>20450.878825889598</v>
      </c>
      <c r="K224" s="239">
        <f t="shared" si="20"/>
        <v>26450.353760072718</v>
      </c>
      <c r="L224" s="347">
        <f t="shared" si="18"/>
        <v>64620.899647146041</v>
      </c>
      <c r="M224" s="132"/>
      <c r="N224" s="133"/>
      <c r="O224" s="130"/>
      <c r="P224" s="130"/>
      <c r="Q224" s="134"/>
    </row>
    <row r="225" spans="1:17" s="129" customFormat="1" x14ac:dyDescent="0.25">
      <c r="A225" s="178">
        <f>Données!A225</f>
        <v>5764</v>
      </c>
      <c r="B225" s="358" t="str">
        <f>Données!B225</f>
        <v>Vallorbe</v>
      </c>
      <c r="C225" s="178">
        <f>Données!AR225</f>
        <v>0</v>
      </c>
      <c r="D225" s="359">
        <f>Données!Z225</f>
        <v>3874</v>
      </c>
      <c r="E225" s="131">
        <f>Données!X225</f>
        <v>71.5</v>
      </c>
      <c r="F225" s="31">
        <f>VPI!L225</f>
        <v>5516498.8207466071</v>
      </c>
      <c r="G225" s="8">
        <f t="shared" si="19"/>
        <v>154307.65932158343</v>
      </c>
      <c r="H225" s="26">
        <f t="shared" si="16"/>
        <v>329331.25127893843</v>
      </c>
      <c r="I225" s="8">
        <f t="shared" si="17"/>
        <v>154307.65932158343</v>
      </c>
      <c r="J225" s="8">
        <f>VPI!R225</f>
        <v>84208.757632819674</v>
      </c>
      <c r="K225" s="239">
        <f t="shared" si="20"/>
        <v>108912.25986164513</v>
      </c>
      <c r="L225" s="347">
        <f t="shared" si="18"/>
        <v>263219.91918322857</v>
      </c>
      <c r="M225" s="132"/>
      <c r="N225" s="133"/>
      <c r="O225" s="130"/>
      <c r="P225" s="130"/>
      <c r="Q225" s="134"/>
    </row>
    <row r="226" spans="1:17" s="129" customFormat="1" x14ac:dyDescent="0.25">
      <c r="A226" s="178">
        <f>Données!A226</f>
        <v>5765</v>
      </c>
      <c r="B226" s="358" t="str">
        <f>Données!B226</f>
        <v>Vaulion</v>
      </c>
      <c r="C226" s="178">
        <f>Données!AR226</f>
        <v>0</v>
      </c>
      <c r="D226" s="359">
        <f>Données!Z226</f>
        <v>506</v>
      </c>
      <c r="E226" s="131">
        <f>Données!X226</f>
        <v>81</v>
      </c>
      <c r="F226" s="31">
        <f>VPI!L226</f>
        <v>851542.96821657056</v>
      </c>
      <c r="G226" s="8">
        <f t="shared" si="19"/>
        <v>21025.752301643719</v>
      </c>
      <c r="H226" s="26">
        <f t="shared" si="16"/>
        <v>43015.388009071459</v>
      </c>
      <c r="I226" s="8">
        <f t="shared" si="17"/>
        <v>21025.752301643719</v>
      </c>
      <c r="J226" s="8">
        <f>VPI!R226</f>
        <v>11314.093434772476</v>
      </c>
      <c r="K226" s="239">
        <f t="shared" si="20"/>
        <v>14633.198718355348</v>
      </c>
      <c r="L226" s="347">
        <f t="shared" si="18"/>
        <v>35658.951019999069</v>
      </c>
      <c r="M226" s="132"/>
      <c r="N226" s="133"/>
      <c r="O226" s="130"/>
      <c r="P226" s="130"/>
      <c r="Q226" s="134"/>
    </row>
    <row r="227" spans="1:17" s="129" customFormat="1" x14ac:dyDescent="0.25">
      <c r="A227" s="178">
        <f>Données!A227</f>
        <v>5766</v>
      </c>
      <c r="B227" s="358" t="str">
        <f>Données!B227</f>
        <v>Vuiteboeuf</v>
      </c>
      <c r="C227" s="178">
        <f>Données!AR227</f>
        <v>0</v>
      </c>
      <c r="D227" s="359">
        <f>Données!Z227</f>
        <v>584</v>
      </c>
      <c r="E227" s="131">
        <f>Données!X227</f>
        <v>77</v>
      </c>
      <c r="F227" s="31">
        <f>VPI!L227</f>
        <v>1152385.4327259692</v>
      </c>
      <c r="G227" s="8">
        <f t="shared" si="19"/>
        <v>29932.089161713488</v>
      </c>
      <c r="H227" s="26">
        <f t="shared" si="16"/>
        <v>49646.218571734651</v>
      </c>
      <c r="I227" s="8">
        <f t="shared" si="17"/>
        <v>29932.089161713488</v>
      </c>
      <c r="J227" s="8">
        <f>VPI!R227</f>
        <v>15990.410165272326</v>
      </c>
      <c r="K227" s="239">
        <f t="shared" si="20"/>
        <v>20681.36089607473</v>
      </c>
      <c r="L227" s="347">
        <f t="shared" si="18"/>
        <v>50613.450057788214</v>
      </c>
      <c r="M227" s="132"/>
      <c r="N227" s="133"/>
      <c r="O227" s="130"/>
      <c r="P227" s="130"/>
      <c r="Q227" s="134"/>
    </row>
    <row r="228" spans="1:17" s="129" customFormat="1" x14ac:dyDescent="0.25">
      <c r="A228" s="178">
        <f>Données!A228</f>
        <v>5785</v>
      </c>
      <c r="B228" s="358" t="str">
        <f>Données!B228</f>
        <v>Corcelles-le-Jorat</v>
      </c>
      <c r="C228" s="178">
        <f>Données!AR228</f>
        <v>0</v>
      </c>
      <c r="D228" s="359">
        <f>Données!Z228</f>
        <v>451</v>
      </c>
      <c r="E228" s="131">
        <f>Données!X228</f>
        <v>77</v>
      </c>
      <c r="F228" s="31">
        <f>VPI!L228</f>
        <v>1272486.3948020337</v>
      </c>
      <c r="G228" s="8">
        <f t="shared" si="19"/>
        <v>33051.594670182691</v>
      </c>
      <c r="H228" s="26">
        <f t="shared" si="16"/>
        <v>38339.802355911517</v>
      </c>
      <c r="I228" s="8">
        <f t="shared" si="17"/>
        <v>33051.594670182691</v>
      </c>
      <c r="J228" s="8">
        <f>VPI!R228</f>
        <v>17505.983698727712</v>
      </c>
      <c r="K228" s="239">
        <f t="shared" si="20"/>
        <v>22641.543460872388</v>
      </c>
      <c r="L228" s="347">
        <f t="shared" si="18"/>
        <v>55693.138131055079</v>
      </c>
      <c r="M228" s="132"/>
      <c r="N228" s="133"/>
      <c r="O228" s="130"/>
      <c r="P228" s="130"/>
      <c r="Q228" s="134"/>
    </row>
    <row r="229" spans="1:17" s="129" customFormat="1" x14ac:dyDescent="0.25">
      <c r="A229" s="178">
        <f>Données!A229</f>
        <v>5790</v>
      </c>
      <c r="B229" s="358" t="str">
        <f>Données!B229</f>
        <v>Maracon</v>
      </c>
      <c r="C229" s="178">
        <f>Données!AR229</f>
        <v>0</v>
      </c>
      <c r="D229" s="359">
        <f>Données!Z229</f>
        <v>538</v>
      </c>
      <c r="E229" s="131">
        <f>Données!X229</f>
        <v>74.5</v>
      </c>
      <c r="F229" s="31">
        <f>VPI!L229</f>
        <v>904220.81368335511</v>
      </c>
      <c r="G229" s="8">
        <f t="shared" si="19"/>
        <v>24274.384259955841</v>
      </c>
      <c r="H229" s="26">
        <f t="shared" si="16"/>
        <v>45735.728752728151</v>
      </c>
      <c r="I229" s="8">
        <f t="shared" si="17"/>
        <v>24274.384259955841</v>
      </c>
      <c r="J229" s="8">
        <f>VPI!R229</f>
        <v>13395.718975615504</v>
      </c>
      <c r="K229" s="239">
        <f t="shared" si="20"/>
        <v>17325.490449192774</v>
      </c>
      <c r="L229" s="347">
        <f t="shared" si="18"/>
        <v>41599.874709148615</v>
      </c>
      <c r="M229" s="132"/>
      <c r="N229" s="133"/>
      <c r="O229" s="130"/>
      <c r="P229" s="130"/>
      <c r="Q229" s="134"/>
    </row>
    <row r="230" spans="1:17" s="129" customFormat="1" x14ac:dyDescent="0.25">
      <c r="A230" s="178">
        <f>Données!A230</f>
        <v>5792</v>
      </c>
      <c r="B230" s="358" t="str">
        <f>Données!B230</f>
        <v>Montpreveyres</v>
      </c>
      <c r="C230" s="178">
        <f>Données!AR230</f>
        <v>0</v>
      </c>
      <c r="D230" s="359">
        <f>Données!Z230</f>
        <v>653</v>
      </c>
      <c r="E230" s="131">
        <f>Données!X230</f>
        <v>75</v>
      </c>
      <c r="F230" s="31">
        <f>VPI!L230</f>
        <v>1203963.0877940066</v>
      </c>
      <c r="G230" s="8">
        <f t="shared" si="19"/>
        <v>32105.682341173509</v>
      </c>
      <c r="H230" s="26">
        <f t="shared" si="16"/>
        <v>55511.953300244393</v>
      </c>
      <c r="I230" s="8">
        <f t="shared" si="17"/>
        <v>32105.682341173509</v>
      </c>
      <c r="J230" s="8">
        <f>VPI!R230</f>
        <v>17608.366503920086</v>
      </c>
      <c r="K230" s="239">
        <f t="shared" si="20"/>
        <v>22773.961311437259</v>
      </c>
      <c r="L230" s="347">
        <f t="shared" si="18"/>
        <v>54879.643652610772</v>
      </c>
      <c r="M230" s="132"/>
      <c r="N230" s="133"/>
      <c r="O230" s="130"/>
      <c r="P230" s="130"/>
      <c r="Q230" s="134"/>
    </row>
    <row r="231" spans="1:17" s="129" customFormat="1" x14ac:dyDescent="0.25">
      <c r="A231" s="178">
        <f>Données!A231</f>
        <v>5798</v>
      </c>
      <c r="B231" s="358" t="str">
        <f>Données!B231</f>
        <v>Ropraz</v>
      </c>
      <c r="C231" s="178">
        <f>Données!AR231</f>
        <v>0</v>
      </c>
      <c r="D231" s="359">
        <f>Données!Z231</f>
        <v>528</v>
      </c>
      <c r="E231" s="131">
        <f>Données!X231</f>
        <v>77.5</v>
      </c>
      <c r="F231" s="31">
        <f>VPI!L231</f>
        <v>1134396.2716875605</v>
      </c>
      <c r="G231" s="8">
        <f t="shared" si="19"/>
        <v>29274.742495162853</v>
      </c>
      <c r="H231" s="26">
        <f t="shared" si="16"/>
        <v>44885.622270335436</v>
      </c>
      <c r="I231" s="8">
        <f t="shared" si="17"/>
        <v>29274.742495162853</v>
      </c>
      <c r="J231" s="8">
        <f>VPI!R231</f>
        <v>15757.055763710458</v>
      </c>
      <c r="K231" s="239">
        <f t="shared" si="20"/>
        <v>20379.549588828231</v>
      </c>
      <c r="L231" s="347">
        <f t="shared" si="18"/>
        <v>49654.29208399108</v>
      </c>
      <c r="M231" s="132"/>
      <c r="N231" s="133"/>
      <c r="O231" s="130"/>
      <c r="P231" s="130"/>
      <c r="Q231" s="134"/>
    </row>
    <row r="232" spans="1:17" s="129" customFormat="1" x14ac:dyDescent="0.25">
      <c r="A232" s="178">
        <f>Données!A232</f>
        <v>5799</v>
      </c>
      <c r="B232" s="358" t="str">
        <f>Données!B232</f>
        <v>Servion</v>
      </c>
      <c r="C232" s="178">
        <f>Données!AR232</f>
        <v>0</v>
      </c>
      <c r="D232" s="359">
        <f>Données!Z232</f>
        <v>2076</v>
      </c>
      <c r="E232" s="131">
        <f>Données!X232</f>
        <v>69</v>
      </c>
      <c r="F232" s="31">
        <f>VPI!L232</f>
        <v>4371277.9807883697</v>
      </c>
      <c r="G232" s="8">
        <f t="shared" si="19"/>
        <v>126703.70958806868</v>
      </c>
      <c r="H232" s="26">
        <f t="shared" si="16"/>
        <v>176482.10574472797</v>
      </c>
      <c r="I232" s="8">
        <f t="shared" si="17"/>
        <v>126703.70958806868</v>
      </c>
      <c r="J232" s="8">
        <f>VPI!R232</f>
        <v>69379.10406939665</v>
      </c>
      <c r="K232" s="239">
        <f t="shared" si="20"/>
        <v>89732.175414843892</v>
      </c>
      <c r="L232" s="347">
        <f t="shared" si="18"/>
        <v>216435.88500291258</v>
      </c>
      <c r="M232" s="132"/>
      <c r="N232" s="133"/>
      <c r="O232" s="130"/>
      <c r="P232" s="130"/>
      <c r="Q232" s="134"/>
    </row>
    <row r="233" spans="1:17" s="129" customFormat="1" x14ac:dyDescent="0.25">
      <c r="A233" s="178">
        <f>Données!A233</f>
        <v>5803</v>
      </c>
      <c r="B233" s="358" t="str">
        <f>Données!B233</f>
        <v>Vulliens</v>
      </c>
      <c r="C233" s="178">
        <f>Données!AR233</f>
        <v>0</v>
      </c>
      <c r="D233" s="359">
        <f>Données!Z233</f>
        <v>624</v>
      </c>
      <c r="E233" s="131">
        <f>Données!X233</f>
        <v>76</v>
      </c>
      <c r="F233" s="31">
        <f>VPI!L233</f>
        <v>1329464.5300000003</v>
      </c>
      <c r="G233" s="8">
        <f t="shared" si="19"/>
        <v>34985.908684210532</v>
      </c>
      <c r="H233" s="26">
        <f t="shared" si="16"/>
        <v>53046.644501305513</v>
      </c>
      <c r="I233" s="8">
        <f t="shared" si="17"/>
        <v>34985.908684210532</v>
      </c>
      <c r="J233" s="8">
        <f>VPI!R233</f>
        <v>18878.281315789478</v>
      </c>
      <c r="K233" s="239">
        <f t="shared" si="20"/>
        <v>24416.418650560456</v>
      </c>
      <c r="L233" s="347">
        <f t="shared" si="18"/>
        <v>59402.327334770991</v>
      </c>
      <c r="M233" s="132"/>
      <c r="N233" s="133"/>
      <c r="O233" s="130"/>
      <c r="P233" s="130"/>
      <c r="Q233" s="134"/>
    </row>
    <row r="234" spans="1:17" s="129" customFormat="1" x14ac:dyDescent="0.25">
      <c r="A234" s="178">
        <f>Données!A234</f>
        <v>5804</v>
      </c>
      <c r="B234" s="358" t="str">
        <f>Données!B234</f>
        <v>Jorat-Menthue</v>
      </c>
      <c r="C234" s="178">
        <f>Données!AR234</f>
        <v>0</v>
      </c>
      <c r="D234" s="359">
        <f>Données!Z234</f>
        <v>1602</v>
      </c>
      <c r="E234" s="131">
        <f>Données!X234</f>
        <v>70.5</v>
      </c>
      <c r="F234" s="31">
        <f>VPI!L234</f>
        <v>3016461.2900010617</v>
      </c>
      <c r="G234" s="8">
        <f t="shared" si="19"/>
        <v>85573.369929108128</v>
      </c>
      <c r="H234" s="26">
        <f t="shared" si="16"/>
        <v>136187.05847931319</v>
      </c>
      <c r="I234" s="8">
        <f t="shared" si="17"/>
        <v>85573.369929108128</v>
      </c>
      <c r="J234" s="8">
        <f>VPI!R234</f>
        <v>46675.442411362579</v>
      </c>
      <c r="K234" s="239">
        <f t="shared" si="20"/>
        <v>60368.161886790622</v>
      </c>
      <c r="L234" s="347">
        <f t="shared" si="18"/>
        <v>145941.53181589875</v>
      </c>
      <c r="M234" s="132"/>
      <c r="N234" s="133"/>
      <c r="O234" s="130"/>
      <c r="P234" s="130"/>
      <c r="Q234" s="134"/>
    </row>
    <row r="235" spans="1:17" s="129" customFormat="1" x14ac:dyDescent="0.25">
      <c r="A235" s="178">
        <v>5805</v>
      </c>
      <c r="B235" s="358" t="s">
        <v>350</v>
      </c>
      <c r="C235" s="178">
        <f>Données!AR235</f>
        <v>0</v>
      </c>
      <c r="D235" s="359">
        <f>Données!Z235</f>
        <v>6052</v>
      </c>
      <c r="E235" s="131">
        <f>Données!X235</f>
        <v>69.239999999999995</v>
      </c>
      <c r="F235" s="31">
        <f>VPI!L235</f>
        <v>10807104.058341345</v>
      </c>
      <c r="G235" s="8">
        <f t="shared" si="19"/>
        <v>312163.60653787828</v>
      </c>
      <c r="H235" s="216">
        <f t="shared" si="16"/>
        <v>514484.44314407208</v>
      </c>
      <c r="I235" s="8">
        <f t="shared" si="17"/>
        <v>312163.60653787828</v>
      </c>
      <c r="J235" s="8">
        <f>VPI!R235</f>
        <v>172360.6832516081</v>
      </c>
      <c r="K235" s="239">
        <f t="shared" si="20"/>
        <v>222924.45645716946</v>
      </c>
      <c r="L235" s="347">
        <f t="shared" si="18"/>
        <v>535088.06299504777</v>
      </c>
      <c r="M235" s="132"/>
      <c r="N235" s="133"/>
      <c r="O235" s="130"/>
      <c r="P235" s="130"/>
      <c r="Q235" s="134"/>
    </row>
    <row r="236" spans="1:17" s="129" customFormat="1" x14ac:dyDescent="0.25">
      <c r="A236" s="178">
        <f>Données!A236</f>
        <v>5806</v>
      </c>
      <c r="B236" s="358" t="str">
        <f>Données!B236</f>
        <v>Jorat-Mézières</v>
      </c>
      <c r="C236" s="178">
        <f>Données!AR236</f>
        <v>0</v>
      </c>
      <c r="D236" s="359">
        <f>Données!Z236</f>
        <v>2966</v>
      </c>
      <c r="E236" s="131">
        <f>Données!X236</f>
        <v>73</v>
      </c>
      <c r="F236" s="31">
        <f>VPI!L236</f>
        <v>6107289.0436074333</v>
      </c>
      <c r="G236" s="8">
        <f t="shared" si="19"/>
        <v>167322.98749609405</v>
      </c>
      <c r="H236" s="26">
        <f t="shared" si="16"/>
        <v>252141.58267767975</v>
      </c>
      <c r="I236" s="8">
        <f t="shared" si="17"/>
        <v>167322.98749609405</v>
      </c>
      <c r="J236" s="8">
        <f>VPI!R236</f>
        <v>91040.343063115521</v>
      </c>
      <c r="K236" s="239">
        <f t="shared" si="20"/>
        <v>117747.96090470892</v>
      </c>
      <c r="L236" s="347">
        <f t="shared" si="18"/>
        <v>285070.94840080297</v>
      </c>
      <c r="M236" s="132"/>
      <c r="N236" s="133"/>
      <c r="O236" s="130"/>
      <c r="P236" s="130"/>
      <c r="Q236" s="134"/>
    </row>
    <row r="237" spans="1:17" s="129" customFormat="1" x14ac:dyDescent="0.25">
      <c r="A237" s="178">
        <f>Données!A237</f>
        <v>5812</v>
      </c>
      <c r="B237" s="358" t="str">
        <f>Données!B237</f>
        <v>Champtauroz</v>
      </c>
      <c r="C237" s="178">
        <f>Données!AR237</f>
        <v>0</v>
      </c>
      <c r="D237" s="359">
        <f>Données!Z237</f>
        <v>144</v>
      </c>
      <c r="E237" s="131">
        <f>Données!X237</f>
        <v>77</v>
      </c>
      <c r="F237" s="31">
        <f>VPI!L237</f>
        <v>172779.06</v>
      </c>
      <c r="G237" s="8">
        <f t="shared" si="19"/>
        <v>4487.7677922077919</v>
      </c>
      <c r="H237" s="26">
        <f t="shared" si="16"/>
        <v>12241.533346455119</v>
      </c>
      <c r="I237" s="8">
        <f t="shared" si="17"/>
        <v>4487.7677922077919</v>
      </c>
      <c r="J237" s="8">
        <f>VPI!R237</f>
        <v>2509.107922077922</v>
      </c>
      <c r="K237" s="239">
        <f t="shared" si="20"/>
        <v>3245.1804504922102</v>
      </c>
      <c r="L237" s="347">
        <f t="shared" si="18"/>
        <v>7732.9482427000021</v>
      </c>
      <c r="M237" s="132"/>
      <c r="N237" s="133"/>
      <c r="O237" s="130"/>
      <c r="P237" s="130"/>
      <c r="Q237" s="134"/>
    </row>
    <row r="238" spans="1:17" s="129" customFormat="1" x14ac:dyDescent="0.25">
      <c r="A238" s="178">
        <f>Données!A238</f>
        <v>5813</v>
      </c>
      <c r="B238" s="358" t="str">
        <f>Données!B238</f>
        <v>Chevroux</v>
      </c>
      <c r="C238" s="178">
        <f>Données!AR238</f>
        <v>0</v>
      </c>
      <c r="D238" s="359">
        <f>Données!Z238</f>
        <v>495</v>
      </c>
      <c r="E238" s="131">
        <f>Données!X238</f>
        <v>68.5</v>
      </c>
      <c r="F238" s="31">
        <f>VPI!L238</f>
        <v>943096.86461287388</v>
      </c>
      <c r="G238" s="8">
        <f t="shared" si="19"/>
        <v>27535.674879207996</v>
      </c>
      <c r="H238" s="26">
        <f t="shared" si="16"/>
        <v>42080.270878439471</v>
      </c>
      <c r="I238" s="8">
        <f t="shared" si="17"/>
        <v>27535.674879207996</v>
      </c>
      <c r="J238" s="8">
        <f>VPI!R238</f>
        <v>15173.187804567502</v>
      </c>
      <c r="K238" s="239">
        <f t="shared" si="20"/>
        <v>19624.397978964294</v>
      </c>
      <c r="L238" s="347">
        <f t="shared" si="18"/>
        <v>47160.072858172294</v>
      </c>
      <c r="M238" s="132"/>
      <c r="N238" s="133"/>
      <c r="O238" s="130"/>
      <c r="P238" s="130"/>
      <c r="Q238" s="134"/>
    </row>
    <row r="239" spans="1:17" s="129" customFormat="1" x14ac:dyDescent="0.25">
      <c r="A239" s="178">
        <f>Données!A239</f>
        <v>5816</v>
      </c>
      <c r="B239" s="358" t="str">
        <f>Données!B239</f>
        <v>Corcelles-près-Payerne</v>
      </c>
      <c r="C239" s="178">
        <f>Données!AR239</f>
        <v>0</v>
      </c>
      <c r="D239" s="359">
        <f>Données!Z239</f>
        <v>2681</v>
      </c>
      <c r="E239" s="131">
        <f>Données!X239</f>
        <v>68.5</v>
      </c>
      <c r="F239" s="31">
        <f>VPI!L239</f>
        <v>3728470.7225169744</v>
      </c>
      <c r="G239" s="8">
        <f t="shared" si="19"/>
        <v>108860.4590515905</v>
      </c>
      <c r="H239" s="26">
        <f t="shared" si="16"/>
        <v>227913.54792948731</v>
      </c>
      <c r="I239" s="8">
        <f t="shared" si="17"/>
        <v>108860.4590515905</v>
      </c>
      <c r="J239" s="8">
        <f>VPI!R239</f>
        <v>60494.301475743108</v>
      </c>
      <c r="K239" s="239">
        <f t="shared" si="20"/>
        <v>78240.92490716184</v>
      </c>
      <c r="L239" s="347">
        <f t="shared" si="18"/>
        <v>187101.38395875233</v>
      </c>
      <c r="M239" s="132"/>
      <c r="N239" s="133"/>
      <c r="O239" s="130"/>
      <c r="P239" s="130"/>
      <c r="Q239" s="134"/>
    </row>
    <row r="240" spans="1:17" s="129" customFormat="1" x14ac:dyDescent="0.25">
      <c r="A240" s="178">
        <f>Données!A240</f>
        <v>5817</v>
      </c>
      <c r="B240" s="358" t="str">
        <f>Données!B240</f>
        <v>Grandcour</v>
      </c>
      <c r="C240" s="178">
        <f>Données!AR240</f>
        <v>0</v>
      </c>
      <c r="D240" s="359">
        <f>Données!Z240</f>
        <v>967</v>
      </c>
      <c r="E240" s="131">
        <f>Données!X240</f>
        <v>73.5</v>
      </c>
      <c r="F240" s="31">
        <f>VPI!L240</f>
        <v>1465432.7179501196</v>
      </c>
      <c r="G240" s="8">
        <f t="shared" si="19"/>
        <v>39875.720216329784</v>
      </c>
      <c r="H240" s="26">
        <f t="shared" si="16"/>
        <v>82205.296847375692</v>
      </c>
      <c r="I240" s="8">
        <f t="shared" si="17"/>
        <v>39875.720216329784</v>
      </c>
      <c r="J240" s="8">
        <f>VPI!R240</f>
        <v>21852.23221700843</v>
      </c>
      <c r="K240" s="239">
        <f t="shared" si="20"/>
        <v>28262.808532972103</v>
      </c>
      <c r="L240" s="347">
        <f t="shared" si="18"/>
        <v>68138.528749301884</v>
      </c>
      <c r="M240" s="132"/>
      <c r="N240" s="133"/>
      <c r="O240" s="130"/>
      <c r="P240" s="130"/>
      <c r="Q240" s="134"/>
    </row>
    <row r="241" spans="1:17" s="129" customFormat="1" x14ac:dyDescent="0.25">
      <c r="A241" s="178">
        <f>Données!A241</f>
        <v>5819</v>
      </c>
      <c r="B241" s="358" t="str">
        <f>Données!B241</f>
        <v>Henniez</v>
      </c>
      <c r="C241" s="178">
        <f>Données!AR241</f>
        <v>0</v>
      </c>
      <c r="D241" s="359">
        <f>Données!Z241</f>
        <v>396</v>
      </c>
      <c r="E241" s="131">
        <f>Données!X241</f>
        <v>69</v>
      </c>
      <c r="F241" s="31">
        <f>VPI!L241</f>
        <v>703196.47079304582</v>
      </c>
      <c r="G241" s="8">
        <f t="shared" si="19"/>
        <v>20382.506399798429</v>
      </c>
      <c r="H241" s="26">
        <f t="shared" si="16"/>
        <v>33664.216702751575</v>
      </c>
      <c r="I241" s="8">
        <f t="shared" si="17"/>
        <v>20382.506399798429</v>
      </c>
      <c r="J241" s="8">
        <f>VPI!R241</f>
        <v>11442.507547725303</v>
      </c>
      <c r="K241" s="239">
        <f t="shared" si="20"/>
        <v>14799.284427644689</v>
      </c>
      <c r="L241" s="347">
        <f t="shared" si="18"/>
        <v>35181.790827443117</v>
      </c>
      <c r="M241" s="132"/>
      <c r="N241" s="133"/>
      <c r="O241" s="130"/>
      <c r="P241" s="130"/>
      <c r="Q241" s="134"/>
    </row>
    <row r="242" spans="1:17" s="129" customFormat="1" x14ac:dyDescent="0.25">
      <c r="A242" s="178">
        <f>Données!A242</f>
        <v>5821</v>
      </c>
      <c r="B242" s="358" t="str">
        <f>Données!B242</f>
        <v>Missy</v>
      </c>
      <c r="C242" s="178">
        <f>Données!AR242</f>
        <v>0</v>
      </c>
      <c r="D242" s="359">
        <f>Données!Z242</f>
        <v>368</v>
      </c>
      <c r="E242" s="131">
        <f>Données!X242</f>
        <v>72</v>
      </c>
      <c r="F242" s="31">
        <f>VPI!L242</f>
        <v>513736.81180775299</v>
      </c>
      <c r="G242" s="8">
        <f t="shared" si="19"/>
        <v>14270.466994659806</v>
      </c>
      <c r="H242" s="26">
        <f t="shared" si="16"/>
        <v>31283.918552051971</v>
      </c>
      <c r="I242" s="8">
        <f t="shared" si="17"/>
        <v>14270.466994659806</v>
      </c>
      <c r="J242" s="8">
        <f>VPI!R242</f>
        <v>7871.5501639965696</v>
      </c>
      <c r="K242" s="239">
        <f t="shared" si="20"/>
        <v>10180.750091496906</v>
      </c>
      <c r="L242" s="347">
        <f t="shared" si="18"/>
        <v>24451.217086156714</v>
      </c>
      <c r="M242" s="132"/>
      <c r="N242" s="133"/>
      <c r="O242" s="130"/>
      <c r="P242" s="130"/>
      <c r="Q242" s="134"/>
    </row>
    <row r="243" spans="1:17" s="129" customFormat="1" x14ac:dyDescent="0.25">
      <c r="A243" s="178">
        <f>Données!A243</f>
        <v>5822</v>
      </c>
      <c r="B243" s="358" t="str">
        <f>Données!B243</f>
        <v>Payerne</v>
      </c>
      <c r="C243" s="178">
        <f>Données!AR243</f>
        <v>0</v>
      </c>
      <c r="D243" s="359">
        <f>Données!Z243</f>
        <v>10108</v>
      </c>
      <c r="E243" s="131">
        <f>Données!X243</f>
        <v>73</v>
      </c>
      <c r="F243" s="31">
        <f>VPI!L243</f>
        <v>15708853.642442031</v>
      </c>
      <c r="G243" s="8">
        <f t="shared" si="19"/>
        <v>430379.55184772686</v>
      </c>
      <c r="H243" s="26">
        <f t="shared" si="16"/>
        <v>859287.632402558</v>
      </c>
      <c r="I243" s="8">
        <f t="shared" si="17"/>
        <v>430379.55184772686</v>
      </c>
      <c r="J243" s="8">
        <f>VPI!R243</f>
        <v>237529.8930471511</v>
      </c>
      <c r="K243" s="239">
        <f t="shared" si="20"/>
        <v>307211.72195963509</v>
      </c>
      <c r="L243" s="347">
        <f t="shared" si="18"/>
        <v>737591.27380736195</v>
      </c>
      <c r="M243" s="132"/>
      <c r="N243" s="133"/>
      <c r="O243" s="130"/>
      <c r="P243" s="130"/>
      <c r="Q243" s="134"/>
    </row>
    <row r="244" spans="1:17" s="129" customFormat="1" x14ac:dyDescent="0.25">
      <c r="A244" s="178">
        <f>Données!A244</f>
        <v>5827</v>
      </c>
      <c r="B244" s="358" t="str">
        <f>Données!B244</f>
        <v>Trey</v>
      </c>
      <c r="C244" s="178">
        <f>Données!AR244</f>
        <v>0</v>
      </c>
      <c r="D244" s="359">
        <f>Données!Z244</f>
        <v>302</v>
      </c>
      <c r="E244" s="131">
        <f>Données!X244</f>
        <v>78</v>
      </c>
      <c r="F244" s="31">
        <f>VPI!L244</f>
        <v>440863.22250509245</v>
      </c>
      <c r="G244" s="8">
        <f t="shared" si="19"/>
        <v>11304.185192438268</v>
      </c>
      <c r="H244" s="26">
        <f t="shared" si="16"/>
        <v>25673.215768260041</v>
      </c>
      <c r="I244" s="8">
        <f t="shared" si="17"/>
        <v>11304.185192438268</v>
      </c>
      <c r="J244" s="8">
        <f>VPI!R244</f>
        <v>6158.3041346806722</v>
      </c>
      <c r="K244" s="239">
        <f t="shared" si="20"/>
        <v>7964.9057779470122</v>
      </c>
      <c r="L244" s="347">
        <f t="shared" si="18"/>
        <v>19269.090970385281</v>
      </c>
      <c r="M244" s="132"/>
      <c r="N244" s="133"/>
      <c r="O244" s="130"/>
      <c r="P244" s="130"/>
      <c r="Q244" s="134"/>
    </row>
    <row r="245" spans="1:17" s="129" customFormat="1" x14ac:dyDescent="0.25">
      <c r="A245" s="178">
        <f>Données!A245</f>
        <v>5828</v>
      </c>
      <c r="B245" s="358" t="str">
        <f>Données!B245</f>
        <v>Treytorrens (Payerne)</v>
      </c>
      <c r="C245" s="178">
        <f>Données!AR245</f>
        <v>0</v>
      </c>
      <c r="D245" s="359">
        <f>Données!Z245</f>
        <v>114</v>
      </c>
      <c r="E245" s="131">
        <f>Données!X245</f>
        <v>84</v>
      </c>
      <c r="F245" s="31">
        <f>VPI!L245</f>
        <v>175814.5</v>
      </c>
      <c r="G245" s="8">
        <f t="shared" si="19"/>
        <v>4186.0595238095239</v>
      </c>
      <c r="H245" s="26">
        <f t="shared" si="16"/>
        <v>9691.2138992769687</v>
      </c>
      <c r="I245" s="8">
        <f t="shared" si="17"/>
        <v>4186.0595238095239</v>
      </c>
      <c r="J245" s="8">
        <f>VPI!R245</f>
        <v>2288.504365079365</v>
      </c>
      <c r="K245" s="239">
        <f t="shared" si="20"/>
        <v>2959.8605787635006</v>
      </c>
      <c r="L245" s="347">
        <f t="shared" si="18"/>
        <v>7145.9201025730245</v>
      </c>
      <c r="M245" s="132"/>
      <c r="N245" s="133"/>
      <c r="O245" s="130"/>
      <c r="P245" s="130"/>
      <c r="Q245" s="134"/>
    </row>
    <row r="246" spans="1:17" s="129" customFormat="1" x14ac:dyDescent="0.25">
      <c r="A246" s="178">
        <f>Données!A246</f>
        <v>5830</v>
      </c>
      <c r="B246" s="358" t="str">
        <f>Données!B246</f>
        <v>Villarzel</v>
      </c>
      <c r="C246" s="178">
        <f>Données!AR246</f>
        <v>0</v>
      </c>
      <c r="D246" s="359">
        <f>Données!Z246</f>
        <v>477</v>
      </c>
      <c r="E246" s="131">
        <f>Données!X246</f>
        <v>77</v>
      </c>
      <c r="F246" s="31">
        <f>VPI!L246</f>
        <v>900637.04379184521</v>
      </c>
      <c r="G246" s="8">
        <f t="shared" si="19"/>
        <v>23393.169968619357</v>
      </c>
      <c r="H246" s="26">
        <f t="shared" si="16"/>
        <v>40550.079210132579</v>
      </c>
      <c r="I246" s="8">
        <f t="shared" si="17"/>
        <v>23393.169968619357</v>
      </c>
      <c r="J246" s="8">
        <f>VPI!R246</f>
        <v>12469.37329599799</v>
      </c>
      <c r="K246" s="239">
        <f t="shared" si="20"/>
        <v>16127.391769004033</v>
      </c>
      <c r="L246" s="347">
        <f t="shared" si="18"/>
        <v>39520.561737623386</v>
      </c>
      <c r="M246" s="132"/>
      <c r="N246" s="133"/>
      <c r="O246" s="130"/>
      <c r="P246" s="130"/>
      <c r="Q246" s="134"/>
    </row>
    <row r="247" spans="1:17" s="129" customFormat="1" x14ac:dyDescent="0.25">
      <c r="A247" s="178">
        <f>Données!A247</f>
        <v>5831</v>
      </c>
      <c r="B247" s="358" t="str">
        <f>Données!B247</f>
        <v>Valbroye</v>
      </c>
      <c r="C247" s="178">
        <f>Données!AR247</f>
        <v>0</v>
      </c>
      <c r="D247" s="359">
        <f>Données!Z247</f>
        <v>3373</v>
      </c>
      <c r="E247" s="131">
        <f>Données!X247</f>
        <v>70.5</v>
      </c>
      <c r="F247" s="31">
        <f>VPI!L247</f>
        <v>5386448.2172449175</v>
      </c>
      <c r="G247" s="8">
        <f t="shared" si="19"/>
        <v>152807.0416239693</v>
      </c>
      <c r="H247" s="26">
        <f t="shared" si="16"/>
        <v>286740.91651106329</v>
      </c>
      <c r="I247" s="8">
        <f t="shared" si="17"/>
        <v>152807.0416239693</v>
      </c>
      <c r="J247" s="8">
        <f>VPI!R247</f>
        <v>83737.262655956278</v>
      </c>
      <c r="K247" s="239">
        <f t="shared" si="20"/>
        <v>108302.44700028554</v>
      </c>
      <c r="L247" s="347">
        <f t="shared" si="18"/>
        <v>261109.48862425482</v>
      </c>
      <c r="M247" s="132"/>
      <c r="N247" s="133"/>
      <c r="O247" s="130"/>
      <c r="P247" s="130"/>
      <c r="Q247" s="134"/>
    </row>
    <row r="248" spans="1:17" s="129" customFormat="1" x14ac:dyDescent="0.25">
      <c r="A248" s="178">
        <f>Données!A248</f>
        <v>5841</v>
      </c>
      <c r="B248" s="358" t="str">
        <f>Données!B248</f>
        <v>Château-d'Oex</v>
      </c>
      <c r="C248" s="178">
        <f>Données!AR248</f>
        <v>0</v>
      </c>
      <c r="D248" s="359">
        <f>Données!Z248</f>
        <v>3494</v>
      </c>
      <c r="E248" s="131">
        <f>Données!X248</f>
        <v>81.5</v>
      </c>
      <c r="F248" s="31">
        <f>VPI!L248</f>
        <v>7829760.6226599244</v>
      </c>
      <c r="G248" s="8">
        <f t="shared" si="19"/>
        <v>192141.36497324967</v>
      </c>
      <c r="H248" s="26">
        <f t="shared" si="16"/>
        <v>297027.20494801516</v>
      </c>
      <c r="I248" s="8">
        <f t="shared" si="17"/>
        <v>192141.36497324967</v>
      </c>
      <c r="J248" s="8">
        <f>VPI!R248</f>
        <v>108627.58984858803</v>
      </c>
      <c r="K248" s="239">
        <f t="shared" si="20"/>
        <v>140494.60681180548</v>
      </c>
      <c r="L248" s="347">
        <f t="shared" si="18"/>
        <v>332635.97178505512</v>
      </c>
      <c r="M248" s="132"/>
      <c r="N248" s="133"/>
      <c r="O248" s="130"/>
      <c r="P248" s="130"/>
      <c r="Q248" s="134"/>
    </row>
    <row r="249" spans="1:17" s="129" customFormat="1" x14ac:dyDescent="0.25">
      <c r="A249" s="178">
        <f>Données!A249</f>
        <v>5842</v>
      </c>
      <c r="B249" s="358" t="str">
        <f>Données!B249</f>
        <v>Rossinière</v>
      </c>
      <c r="C249" s="178">
        <f>Données!AR249</f>
        <v>0</v>
      </c>
      <c r="D249" s="359">
        <f>Données!Z249</f>
        <v>537</v>
      </c>
      <c r="E249" s="131">
        <f>Données!X249</f>
        <v>81</v>
      </c>
      <c r="F249" s="31">
        <f>VPI!L249</f>
        <v>1077116.7565149302</v>
      </c>
      <c r="G249" s="8">
        <f t="shared" si="19"/>
        <v>26595.47546950445</v>
      </c>
      <c r="H249" s="26">
        <f t="shared" si="16"/>
        <v>45650.718104488878</v>
      </c>
      <c r="I249" s="8">
        <f t="shared" si="17"/>
        <v>26595.47546950445</v>
      </c>
      <c r="J249" s="8">
        <f>VPI!R249</f>
        <v>14504.788146274859</v>
      </c>
      <c r="K249" s="239">
        <f t="shared" si="20"/>
        <v>18759.916429517576</v>
      </c>
      <c r="L249" s="347">
        <f t="shared" si="18"/>
        <v>45355.391899022026</v>
      </c>
      <c r="M249" s="132"/>
      <c r="N249" s="133"/>
      <c r="O249" s="130"/>
      <c r="P249" s="130"/>
      <c r="Q249" s="134"/>
    </row>
    <row r="250" spans="1:17" s="129" customFormat="1" x14ac:dyDescent="0.25">
      <c r="A250" s="178">
        <f>Données!A250</f>
        <v>5843</v>
      </c>
      <c r="B250" s="358" t="str">
        <f>Données!B250</f>
        <v>Rougemont</v>
      </c>
      <c r="C250" s="178">
        <f>Données!AR250</f>
        <v>0</v>
      </c>
      <c r="D250" s="359">
        <f>Données!Z250</f>
        <v>863</v>
      </c>
      <c r="E250" s="131">
        <f>Données!X250</f>
        <v>74</v>
      </c>
      <c r="F250" s="31">
        <f>VPI!L250</f>
        <v>6605342.9582413416</v>
      </c>
      <c r="G250" s="8">
        <f t="shared" si="19"/>
        <v>178522.78265517141</v>
      </c>
      <c r="H250" s="26">
        <f t="shared" si="16"/>
        <v>73364.189430491446</v>
      </c>
      <c r="I250" s="8">
        <f t="shared" si="17"/>
        <v>73364.189430491446</v>
      </c>
      <c r="J250" s="8">
        <f>VPI!R250</f>
        <v>100453.05146272083</v>
      </c>
      <c r="K250" s="239">
        <f t="shared" si="20"/>
        <v>129921.9837977881</v>
      </c>
      <c r="L250" s="347">
        <f t="shared" si="18"/>
        <v>203286.17322827954</v>
      </c>
      <c r="M250" s="132"/>
      <c r="N250" s="133"/>
      <c r="O250" s="130"/>
      <c r="P250" s="130"/>
      <c r="Q250" s="134"/>
    </row>
    <row r="251" spans="1:17" s="129" customFormat="1" x14ac:dyDescent="0.25">
      <c r="A251" s="178">
        <f>Données!A251</f>
        <v>5851</v>
      </c>
      <c r="B251" s="358" t="str">
        <f>Données!B251</f>
        <v>Allaman</v>
      </c>
      <c r="C251" s="178">
        <f>Données!AR251</f>
        <v>0</v>
      </c>
      <c r="D251" s="359">
        <f>Données!Z251</f>
        <v>443</v>
      </c>
      <c r="E251" s="131">
        <f>Données!X251</f>
        <v>60</v>
      </c>
      <c r="F251" s="31">
        <f>VPI!L251</f>
        <v>1205335.5275064367</v>
      </c>
      <c r="G251" s="8">
        <f t="shared" si="19"/>
        <v>40177.850916881223</v>
      </c>
      <c r="H251" s="26">
        <f t="shared" si="16"/>
        <v>37659.717169997348</v>
      </c>
      <c r="I251" s="8">
        <f t="shared" si="17"/>
        <v>37659.717169997348</v>
      </c>
      <c r="J251" s="8">
        <f>VPI!R251</f>
        <v>24279.81507965273</v>
      </c>
      <c r="K251" s="239">
        <f t="shared" si="20"/>
        <v>31402.547712177704</v>
      </c>
      <c r="L251" s="347">
        <f t="shared" si="18"/>
        <v>69062.264882175048</v>
      </c>
      <c r="M251" s="132"/>
      <c r="N251" s="133"/>
      <c r="O251" s="130"/>
      <c r="P251" s="130"/>
      <c r="Q251" s="134"/>
    </row>
    <row r="252" spans="1:17" s="129" customFormat="1" x14ac:dyDescent="0.25">
      <c r="A252" s="178">
        <f>Données!A252</f>
        <v>5852</v>
      </c>
      <c r="B252" s="358" t="str">
        <f>Données!B252</f>
        <v>Bursinel</v>
      </c>
      <c r="C252" s="178">
        <f>Données!AR252</f>
        <v>0</v>
      </c>
      <c r="D252" s="359">
        <f>Données!Z252</f>
        <v>491</v>
      </c>
      <c r="E252" s="131">
        <f>Données!X252</f>
        <v>65.5</v>
      </c>
      <c r="F252" s="31">
        <f>VPI!L252</f>
        <v>2472655.0587449288</v>
      </c>
      <c r="G252" s="8">
        <f t="shared" si="19"/>
        <v>75500.917824272634</v>
      </c>
      <c r="H252" s="26">
        <f t="shared" si="16"/>
        <v>41740.228285482386</v>
      </c>
      <c r="I252" s="8">
        <f t="shared" si="17"/>
        <v>41740.228285482386</v>
      </c>
      <c r="J252" s="8">
        <f>VPI!R252</f>
        <v>40701.690718752099</v>
      </c>
      <c r="K252" s="239">
        <f t="shared" si="20"/>
        <v>52641.948901539748</v>
      </c>
      <c r="L252" s="347">
        <f t="shared" si="18"/>
        <v>94382.177187022142</v>
      </c>
      <c r="M252" s="132"/>
      <c r="N252" s="133"/>
      <c r="O252" s="130"/>
      <c r="P252" s="130"/>
      <c r="Q252" s="134"/>
    </row>
    <row r="253" spans="1:17" s="129" customFormat="1" x14ac:dyDescent="0.25">
      <c r="A253" s="178">
        <f>Données!A253</f>
        <v>5853</v>
      </c>
      <c r="B253" s="358" t="str">
        <f>Données!B253</f>
        <v>Bursins</v>
      </c>
      <c r="C253" s="178">
        <f>Données!AR253</f>
        <v>0</v>
      </c>
      <c r="D253" s="359">
        <f>Données!Z253</f>
        <v>773</v>
      </c>
      <c r="E253" s="131">
        <f>Données!X253</f>
        <v>71</v>
      </c>
      <c r="F253" s="31">
        <f>VPI!L253</f>
        <v>2755417.9237296842</v>
      </c>
      <c r="G253" s="8">
        <f t="shared" si="19"/>
        <v>77617.406302244621</v>
      </c>
      <c r="H253" s="26">
        <f t="shared" si="16"/>
        <v>65713.231088956993</v>
      </c>
      <c r="I253" s="8">
        <f t="shared" si="17"/>
        <v>65713.231088956993</v>
      </c>
      <c r="J253" s="8">
        <f>VPI!R253</f>
        <v>41997.209489150475</v>
      </c>
      <c r="K253" s="239">
        <f t="shared" si="20"/>
        <v>54317.521382878374</v>
      </c>
      <c r="L253" s="347">
        <f t="shared" si="18"/>
        <v>120030.75247183537</v>
      </c>
      <c r="M253" s="132"/>
      <c r="N253" s="133"/>
      <c r="O253" s="130"/>
      <c r="P253" s="130"/>
      <c r="Q253" s="134"/>
    </row>
    <row r="254" spans="1:17" s="129" customFormat="1" x14ac:dyDescent="0.25">
      <c r="A254" s="178">
        <f>Données!A254</f>
        <v>5854</v>
      </c>
      <c r="B254" s="358" t="str">
        <f>Données!B254</f>
        <v>Burtigny</v>
      </c>
      <c r="C254" s="178">
        <f>Données!AR254</f>
        <v>0</v>
      </c>
      <c r="D254" s="359">
        <f>Données!Z254</f>
        <v>404</v>
      </c>
      <c r="E254" s="131">
        <f>Données!X254</f>
        <v>80</v>
      </c>
      <c r="F254" s="31">
        <f>VPI!L254</f>
        <v>785896.70733179036</v>
      </c>
      <c r="G254" s="8">
        <f t="shared" si="19"/>
        <v>19647.41768329476</v>
      </c>
      <c r="H254" s="26">
        <f t="shared" si="16"/>
        <v>34344.301888665752</v>
      </c>
      <c r="I254" s="8">
        <f t="shared" si="17"/>
        <v>19647.41768329476</v>
      </c>
      <c r="J254" s="8">
        <f>VPI!R254</f>
        <v>10782.892174980714</v>
      </c>
      <c r="K254" s="239">
        <f t="shared" si="20"/>
        <v>13946.164123954381</v>
      </c>
      <c r="L254" s="347">
        <f t="shared" si="18"/>
        <v>33593.581807249138</v>
      </c>
      <c r="M254" s="132"/>
      <c r="N254" s="133"/>
      <c r="O254" s="130"/>
      <c r="P254" s="130"/>
      <c r="Q254" s="134"/>
    </row>
    <row r="255" spans="1:17" s="129" customFormat="1" x14ac:dyDescent="0.25">
      <c r="A255" s="178">
        <f>Données!A255</f>
        <v>5855</v>
      </c>
      <c r="B255" s="358" t="str">
        <f>Données!B255</f>
        <v>Dully</v>
      </c>
      <c r="C255" s="178">
        <f>Données!AR255</f>
        <v>0</v>
      </c>
      <c r="D255" s="359">
        <f>Données!Z255</f>
        <v>628</v>
      </c>
      <c r="E255" s="131">
        <f>Données!X255</f>
        <v>49</v>
      </c>
      <c r="F255" s="31">
        <f>VPI!L255</f>
        <v>4085074.0084453495</v>
      </c>
      <c r="G255" s="8">
        <f t="shared" si="19"/>
        <v>166737.71463042242</v>
      </c>
      <c r="H255" s="26">
        <f t="shared" si="16"/>
        <v>53386.687094262605</v>
      </c>
      <c r="I255" s="8">
        <f t="shared" si="17"/>
        <v>53386.687094262605</v>
      </c>
      <c r="J255" s="8">
        <f>VPI!R255</f>
        <v>98130.783845823462</v>
      </c>
      <c r="K255" s="239">
        <f t="shared" si="20"/>
        <v>126918.45517119742</v>
      </c>
      <c r="L255" s="347">
        <f t="shared" si="18"/>
        <v>180305.14226546002</v>
      </c>
      <c r="M255" s="132"/>
      <c r="N255" s="133"/>
      <c r="O255" s="130"/>
      <c r="P255" s="130"/>
      <c r="Q255" s="134"/>
    </row>
    <row r="256" spans="1:17" s="129" customFormat="1" x14ac:dyDescent="0.25">
      <c r="A256" s="178">
        <f>Données!A256</f>
        <v>5856</v>
      </c>
      <c r="B256" s="358" t="str">
        <f>Données!B256</f>
        <v>Essertines-sur-Rolle</v>
      </c>
      <c r="C256" s="178">
        <f>Données!AR256</f>
        <v>0</v>
      </c>
      <c r="D256" s="359">
        <f>Données!Z256</f>
        <v>740</v>
      </c>
      <c r="E256" s="131">
        <f>Données!X256</f>
        <v>66.5</v>
      </c>
      <c r="F256" s="31">
        <f>VPI!L256</f>
        <v>2185042.3190136757</v>
      </c>
      <c r="G256" s="8">
        <f t="shared" si="19"/>
        <v>65715.558466576709</v>
      </c>
      <c r="H256" s="26">
        <f t="shared" si="16"/>
        <v>62907.879697061027</v>
      </c>
      <c r="I256" s="8">
        <f t="shared" si="17"/>
        <v>62907.879697061027</v>
      </c>
      <c r="J256" s="8">
        <f>VPI!R256</f>
        <v>35711.178597082457</v>
      </c>
      <c r="K256" s="239">
        <f t="shared" si="20"/>
        <v>46187.41889400834</v>
      </c>
      <c r="L256" s="347">
        <f t="shared" si="18"/>
        <v>109095.29859106937</v>
      </c>
      <c r="M256" s="132"/>
      <c r="N256" s="133"/>
      <c r="O256" s="130"/>
      <c r="P256" s="130"/>
      <c r="Q256" s="134"/>
    </row>
    <row r="257" spans="1:17" s="129" customFormat="1" x14ac:dyDescent="0.25">
      <c r="A257" s="178">
        <f>Données!A257</f>
        <v>5857</v>
      </c>
      <c r="B257" s="358" t="str">
        <f>Données!B257</f>
        <v>Gilly</v>
      </c>
      <c r="C257" s="178">
        <f>Données!AR257</f>
        <v>0</v>
      </c>
      <c r="D257" s="359">
        <f>Données!Z257</f>
        <v>1428</v>
      </c>
      <c r="E257" s="131">
        <f>Données!X257</f>
        <v>64.5</v>
      </c>
      <c r="F257" s="31">
        <f>VPI!L257</f>
        <v>4869140</v>
      </c>
      <c r="G257" s="8">
        <f t="shared" si="19"/>
        <v>150981.08527131783</v>
      </c>
      <c r="H257" s="26">
        <f t="shared" si="16"/>
        <v>121395.20568567993</v>
      </c>
      <c r="I257" s="8">
        <f t="shared" si="17"/>
        <v>121395.20568567993</v>
      </c>
      <c r="J257" s="8">
        <f>VPI!R257</f>
        <v>82138.568992248052</v>
      </c>
      <c r="K257" s="239">
        <f t="shared" si="20"/>
        <v>106234.76016300704</v>
      </c>
      <c r="L257" s="347">
        <f t="shared" si="18"/>
        <v>227629.96584868699</v>
      </c>
      <c r="M257" s="132"/>
      <c r="N257" s="133"/>
      <c r="O257" s="130"/>
      <c r="P257" s="130"/>
      <c r="Q257" s="134"/>
    </row>
    <row r="258" spans="1:17" s="129" customFormat="1" x14ac:dyDescent="0.25">
      <c r="A258" s="178">
        <f>Données!A258</f>
        <v>5858</v>
      </c>
      <c r="B258" s="358" t="str">
        <f>Données!B258</f>
        <v>Luins</v>
      </c>
      <c r="C258" s="178">
        <f>Données!AR258</f>
        <v>0</v>
      </c>
      <c r="D258" s="359">
        <f>Données!Z258</f>
        <v>619</v>
      </c>
      <c r="E258" s="131">
        <f>Données!X258</f>
        <v>58.5</v>
      </c>
      <c r="F258" s="31">
        <f>VPI!L258</f>
        <v>2199479.2318927799</v>
      </c>
      <c r="G258" s="8">
        <f t="shared" si="19"/>
        <v>75195.871175821536</v>
      </c>
      <c r="H258" s="26">
        <f t="shared" si="16"/>
        <v>52621.591260109155</v>
      </c>
      <c r="I258" s="8">
        <f t="shared" si="17"/>
        <v>52621.591260109155</v>
      </c>
      <c r="J258" s="8">
        <f>VPI!R258</f>
        <v>40277.440146315326</v>
      </c>
      <c r="K258" s="239">
        <f t="shared" si="20"/>
        <v>52093.240074921494</v>
      </c>
      <c r="L258" s="347">
        <f t="shared" si="18"/>
        <v>104714.83133503064</v>
      </c>
      <c r="M258" s="132"/>
      <c r="N258" s="133"/>
      <c r="O258" s="130"/>
      <c r="P258" s="130"/>
      <c r="Q258" s="134"/>
    </row>
    <row r="259" spans="1:17" s="129" customFormat="1" x14ac:dyDescent="0.25">
      <c r="A259" s="178">
        <f>Données!A259</f>
        <v>5859</v>
      </c>
      <c r="B259" s="358" t="str">
        <f>Données!B259</f>
        <v>Mont-sur-Rolle</v>
      </c>
      <c r="C259" s="178">
        <f>Données!AR259</f>
        <v>0</v>
      </c>
      <c r="D259" s="359">
        <f>Données!Z259</f>
        <v>2646</v>
      </c>
      <c r="E259" s="131">
        <f>Données!X259</f>
        <v>63.5</v>
      </c>
      <c r="F259" s="31">
        <f>VPI!L259</f>
        <v>8611088.4141815156</v>
      </c>
      <c r="G259" s="8">
        <f t="shared" si="19"/>
        <v>271215.38312382728</v>
      </c>
      <c r="H259" s="26">
        <f t="shared" si="16"/>
        <v>224938.17524111283</v>
      </c>
      <c r="I259" s="8">
        <f t="shared" si="17"/>
        <v>224938.17524111283</v>
      </c>
      <c r="J259" s="8">
        <f>VPI!R259</f>
        <v>146440.66164065379</v>
      </c>
      <c r="K259" s="239">
        <f t="shared" si="20"/>
        <v>189400.53081488606</v>
      </c>
      <c r="L259" s="347">
        <f t="shared" si="18"/>
        <v>414338.70605599892</v>
      </c>
      <c r="M259" s="132"/>
      <c r="N259" s="133"/>
      <c r="O259" s="130"/>
      <c r="P259" s="130"/>
      <c r="Q259" s="134"/>
    </row>
    <row r="260" spans="1:17" s="129" customFormat="1" x14ac:dyDescent="0.25">
      <c r="A260" s="178">
        <f>Données!A260</f>
        <v>5860</v>
      </c>
      <c r="B260" s="358" t="str">
        <f>Données!B260</f>
        <v>Perroy</v>
      </c>
      <c r="C260" s="178">
        <f>Données!AR260</f>
        <v>0</v>
      </c>
      <c r="D260" s="359">
        <f>Données!Z260</f>
        <v>1518</v>
      </c>
      <c r="E260" s="131">
        <f>Données!X260</f>
        <v>58.5</v>
      </c>
      <c r="F260" s="31">
        <f>VPI!L260</f>
        <v>5899484.1481237905</v>
      </c>
      <c r="G260" s="8">
        <f t="shared" si="19"/>
        <v>201691.76574782189</v>
      </c>
      <c r="H260" s="26">
        <f t="shared" si="16"/>
        <v>129046.16402721438</v>
      </c>
      <c r="I260" s="8">
        <f t="shared" si="17"/>
        <v>129046.16402721438</v>
      </c>
      <c r="J260" s="8">
        <f>VPI!R260</f>
        <v>110194.28576674461</v>
      </c>
      <c r="K260" s="239">
        <f t="shared" si="20"/>
        <v>142520.90903688362</v>
      </c>
      <c r="L260" s="347">
        <f t="shared" si="18"/>
        <v>271567.07306409802</v>
      </c>
      <c r="M260" s="132"/>
      <c r="N260" s="133"/>
      <c r="O260" s="130"/>
      <c r="P260" s="130"/>
      <c r="Q260" s="134"/>
    </row>
    <row r="261" spans="1:17" s="129" customFormat="1" x14ac:dyDescent="0.25">
      <c r="A261" s="178">
        <f>Données!A261</f>
        <v>5861</v>
      </c>
      <c r="B261" s="358" t="str">
        <f>Données!B261</f>
        <v>Rolle</v>
      </c>
      <c r="C261" s="178">
        <f>Données!AR261</f>
        <v>0</v>
      </c>
      <c r="D261" s="359">
        <f>Données!Z261</f>
        <v>6259</v>
      </c>
      <c r="E261" s="131">
        <f>Données!X261</f>
        <v>59.5</v>
      </c>
      <c r="F261" s="31">
        <f>VPI!L261</f>
        <v>37505491.506216779</v>
      </c>
      <c r="G261" s="8">
        <f t="shared" si="19"/>
        <v>1260688.7901249337</v>
      </c>
      <c r="H261" s="26">
        <f t="shared" si="16"/>
        <v>532081.64732960134</v>
      </c>
      <c r="I261" s="8">
        <f t="shared" si="17"/>
        <v>532081.64732960134</v>
      </c>
      <c r="J261" s="8">
        <f>VPI!R261</f>
        <v>663825.23287759279</v>
      </c>
      <c r="K261" s="239">
        <f t="shared" si="20"/>
        <v>858565.1694462673</v>
      </c>
      <c r="L261" s="347">
        <f t="shared" si="18"/>
        <v>1390646.8167758686</v>
      </c>
      <c r="M261" s="132"/>
      <c r="N261" s="133"/>
      <c r="O261" s="130"/>
      <c r="P261" s="130"/>
      <c r="Q261" s="134"/>
    </row>
    <row r="262" spans="1:17" s="129" customFormat="1" x14ac:dyDescent="0.25">
      <c r="A262" s="178">
        <f>Données!A262</f>
        <v>5862</v>
      </c>
      <c r="B262" s="358" t="str">
        <f>Données!B262</f>
        <v>Tartegnin</v>
      </c>
      <c r="C262" s="178">
        <f>Données!AR262</f>
        <v>0</v>
      </c>
      <c r="D262" s="359">
        <f>Données!Z262</f>
        <v>236</v>
      </c>
      <c r="E262" s="131">
        <f>Données!X262</f>
        <v>79</v>
      </c>
      <c r="F262" s="31">
        <f>VPI!L262</f>
        <v>589765.20405384607</v>
      </c>
      <c r="G262" s="8">
        <f t="shared" si="19"/>
        <v>14930.764659591039</v>
      </c>
      <c r="H262" s="26">
        <f t="shared" ref="H262:H305" si="21">+$G$306/$D$306*D262</f>
        <v>20062.512984468111</v>
      </c>
      <c r="I262" s="8">
        <f t="shared" ref="I262:I305" si="22">IF(C262=1,0,IF(H262&gt;G262,G262,H262))</f>
        <v>14930.764659591039</v>
      </c>
      <c r="J262" s="8">
        <f>VPI!R262</f>
        <v>8093.970937390457</v>
      </c>
      <c r="K262" s="239">
        <f t="shared" si="20"/>
        <v>10468.420278677793</v>
      </c>
      <c r="L262" s="347">
        <f t="shared" ref="L262:L305" si="23">+K262+I262</f>
        <v>25399.184938268831</v>
      </c>
      <c r="M262" s="132"/>
      <c r="N262" s="133"/>
      <c r="O262" s="130"/>
      <c r="P262" s="130"/>
      <c r="Q262" s="134"/>
    </row>
    <row r="263" spans="1:17" s="129" customFormat="1" x14ac:dyDescent="0.25">
      <c r="A263" s="178">
        <f>Données!A263</f>
        <v>5863</v>
      </c>
      <c r="B263" s="358" t="str">
        <f>Données!B263</f>
        <v>Vinzel</v>
      </c>
      <c r="C263" s="178">
        <f>Données!AR263</f>
        <v>0</v>
      </c>
      <c r="D263" s="359">
        <f>Données!Z263</f>
        <v>385</v>
      </c>
      <c r="E263" s="131">
        <f>Données!X263</f>
        <v>67</v>
      </c>
      <c r="F263" s="31">
        <f>VPI!L263</f>
        <v>1381959.1633058719</v>
      </c>
      <c r="G263" s="8">
        <f t="shared" ref="G263:G305" si="24">F263/E263*2</f>
        <v>41252.512337488712</v>
      </c>
      <c r="H263" s="26">
        <f t="shared" si="21"/>
        <v>32729.09957211959</v>
      </c>
      <c r="I263" s="8">
        <f t="shared" si="22"/>
        <v>32729.09957211959</v>
      </c>
      <c r="J263" s="8">
        <f>VPI!R263</f>
        <v>21922.221840386148</v>
      </c>
      <c r="K263" s="239">
        <f t="shared" ref="K263:K305" si="25">+$K$5*J263</f>
        <v>28353.330329792461</v>
      </c>
      <c r="L263" s="347">
        <f t="shared" si="23"/>
        <v>61082.429901912052</v>
      </c>
      <c r="M263" s="132"/>
      <c r="N263" s="133"/>
      <c r="O263" s="130"/>
      <c r="P263" s="130"/>
      <c r="Q263" s="134"/>
    </row>
    <row r="264" spans="1:17" s="129" customFormat="1" x14ac:dyDescent="0.25">
      <c r="A264" s="178">
        <f>Données!A264</f>
        <v>5871</v>
      </c>
      <c r="B264" s="358" t="str">
        <f>Données!B264</f>
        <v>L'Abbaye</v>
      </c>
      <c r="C264" s="178">
        <f>Données!AR264</f>
        <v>0</v>
      </c>
      <c r="D264" s="359">
        <f>Données!Z264</f>
        <v>1473</v>
      </c>
      <c r="E264" s="131">
        <f>Données!X264</f>
        <v>77.56</v>
      </c>
      <c r="F264" s="31">
        <f>VPI!L264</f>
        <v>3561586.6697765593</v>
      </c>
      <c r="G264" s="8">
        <f t="shared" si="24"/>
        <v>91840.811495011847</v>
      </c>
      <c r="H264" s="26">
        <f t="shared" si="21"/>
        <v>125220.68485644716</v>
      </c>
      <c r="I264" s="8">
        <f t="shared" si="22"/>
        <v>91840.811495011847</v>
      </c>
      <c r="J264" s="8">
        <f>VPI!R264</f>
        <v>49484.284679945325</v>
      </c>
      <c r="K264" s="239">
        <f t="shared" si="25"/>
        <v>64001.006826745273</v>
      </c>
      <c r="L264" s="347">
        <f t="shared" si="23"/>
        <v>155841.81832175713</v>
      </c>
      <c r="M264" s="132"/>
      <c r="N264" s="133"/>
      <c r="O264" s="130"/>
      <c r="P264" s="130"/>
      <c r="Q264" s="134"/>
    </row>
    <row r="265" spans="1:17" s="129" customFormat="1" x14ac:dyDescent="0.25">
      <c r="A265" s="178">
        <f>Données!A265</f>
        <v>5872</v>
      </c>
      <c r="B265" s="358" t="str">
        <f>Données!B265</f>
        <v>Le Chenit</v>
      </c>
      <c r="C265" s="178">
        <f>Données!AR265</f>
        <v>0</v>
      </c>
      <c r="D265" s="359">
        <f>Données!Z265</f>
        <v>4600</v>
      </c>
      <c r="E265" s="131">
        <f>Données!X265</f>
        <v>66.95</v>
      </c>
      <c r="F265" s="31">
        <f>VPI!L265</f>
        <v>14858396.049322316</v>
      </c>
      <c r="G265" s="8">
        <f t="shared" si="24"/>
        <v>443865.45330313116</v>
      </c>
      <c r="H265" s="26">
        <f t="shared" si="21"/>
        <v>391048.98190064961</v>
      </c>
      <c r="I265" s="8">
        <f t="shared" si="22"/>
        <v>391048.98190064961</v>
      </c>
      <c r="J265" s="8">
        <f>VPI!R265</f>
        <v>234098.82523259622</v>
      </c>
      <c r="K265" s="239">
        <f t="shared" si="25"/>
        <v>302774.11523170862</v>
      </c>
      <c r="L265" s="347">
        <f t="shared" si="23"/>
        <v>693823.09713235823</v>
      </c>
      <c r="M265" s="132"/>
      <c r="N265" s="133"/>
      <c r="O265" s="130"/>
      <c r="P265" s="130"/>
      <c r="Q265" s="134"/>
    </row>
    <row r="266" spans="1:17" s="129" customFormat="1" x14ac:dyDescent="0.25">
      <c r="A266" s="178">
        <f>Données!A266</f>
        <v>5873</v>
      </c>
      <c r="B266" s="358" t="str">
        <f>Données!B266</f>
        <v>Le Lieu</v>
      </c>
      <c r="C266" s="178">
        <f>Données!AR266</f>
        <v>0</v>
      </c>
      <c r="D266" s="359">
        <f>Données!Z266</f>
        <v>888</v>
      </c>
      <c r="E266" s="131">
        <f>Données!X266</f>
        <v>70</v>
      </c>
      <c r="F266" s="31">
        <f>VPI!L266</f>
        <v>1984741.3382957126</v>
      </c>
      <c r="G266" s="8">
        <f t="shared" si="24"/>
        <v>56706.895379877504</v>
      </c>
      <c r="H266" s="26">
        <f t="shared" si="21"/>
        <v>75489.455636473227</v>
      </c>
      <c r="I266" s="8">
        <f t="shared" si="22"/>
        <v>56706.895379877504</v>
      </c>
      <c r="J266" s="8">
        <f>VPI!R266</f>
        <v>30412.639654224466</v>
      </c>
      <c r="K266" s="239">
        <f t="shared" si="25"/>
        <v>39334.499239880992</v>
      </c>
      <c r="L266" s="347">
        <f t="shared" si="23"/>
        <v>96041.394619758503</v>
      </c>
      <c r="M266" s="132"/>
      <c r="N266" s="133"/>
      <c r="O266" s="130"/>
      <c r="P266" s="130"/>
      <c r="Q266" s="134"/>
    </row>
    <row r="267" spans="1:17" s="129" customFormat="1" x14ac:dyDescent="0.25">
      <c r="A267" s="178">
        <f>Données!A267</f>
        <v>5882</v>
      </c>
      <c r="B267" s="358" t="str">
        <f>Données!B267</f>
        <v>Chardonne</v>
      </c>
      <c r="C267" s="178">
        <f>Données!AR267</f>
        <v>1</v>
      </c>
      <c r="D267" s="359">
        <f>Données!Z267</f>
        <v>3093</v>
      </c>
      <c r="E267" s="131">
        <f>Données!X267</f>
        <v>68</v>
      </c>
      <c r="F267" s="31">
        <f>VPI!L267</f>
        <v>11116735.54261991</v>
      </c>
      <c r="G267" s="8">
        <f t="shared" si="24"/>
        <v>326962.81007705617</v>
      </c>
      <c r="H267" s="26">
        <f t="shared" si="21"/>
        <v>262937.93500406726</v>
      </c>
      <c r="I267" s="8">
        <f t="shared" si="22"/>
        <v>0</v>
      </c>
      <c r="J267" s="8">
        <f>VPI!R267</f>
        <v>178990.25503852809</v>
      </c>
      <c r="K267" s="239">
        <f t="shared" si="25"/>
        <v>231498.88108384336</v>
      </c>
      <c r="L267" s="347">
        <f t="shared" si="23"/>
        <v>231498.88108384336</v>
      </c>
      <c r="M267" s="132"/>
      <c r="N267" s="133"/>
      <c r="O267" s="130"/>
      <c r="P267" s="130"/>
      <c r="Q267" s="134"/>
    </row>
    <row r="268" spans="1:17" s="129" customFormat="1" x14ac:dyDescent="0.25">
      <c r="A268" s="178">
        <f>Données!A268</f>
        <v>5883</v>
      </c>
      <c r="B268" s="358" t="str">
        <f>Données!B268</f>
        <v>Corseaux</v>
      </c>
      <c r="C268" s="178">
        <f>Données!AR268</f>
        <v>1</v>
      </c>
      <c r="D268" s="359">
        <f>Données!Z268</f>
        <v>2311</v>
      </c>
      <c r="E268" s="131">
        <f>Données!X268</f>
        <v>67.5</v>
      </c>
      <c r="F268" s="31">
        <f>VPI!L268</f>
        <v>10650445.860946877</v>
      </c>
      <c r="G268" s="8">
        <f t="shared" si="24"/>
        <v>315568.76625027781</v>
      </c>
      <c r="H268" s="26">
        <f t="shared" si="21"/>
        <v>196459.60808095679</v>
      </c>
      <c r="I268" s="8">
        <f t="shared" si="22"/>
        <v>0</v>
      </c>
      <c r="J268" s="8">
        <f>VPI!R268</f>
        <v>167834.94979180559</v>
      </c>
      <c r="K268" s="239">
        <f t="shared" si="25"/>
        <v>217071.05269615201</v>
      </c>
      <c r="L268" s="347">
        <f t="shared" si="23"/>
        <v>217071.05269615201</v>
      </c>
      <c r="M268" s="132"/>
      <c r="N268" s="133"/>
      <c r="O268" s="130"/>
      <c r="P268" s="130"/>
      <c r="Q268" s="134"/>
    </row>
    <row r="269" spans="1:17" s="129" customFormat="1" x14ac:dyDescent="0.25">
      <c r="A269" s="178">
        <f>Données!A269</f>
        <v>5884</v>
      </c>
      <c r="B269" s="358" t="str">
        <f>Données!B269</f>
        <v>Corsier-sur-Vevey</v>
      </c>
      <c r="C269" s="178">
        <f>Données!AR269</f>
        <v>1</v>
      </c>
      <c r="D269" s="359">
        <f>Données!Z269</f>
        <v>3420</v>
      </c>
      <c r="E269" s="131">
        <f>Données!X269</f>
        <v>66</v>
      </c>
      <c r="F269" s="31">
        <f>VPI!L269</f>
        <v>7064081.2389918109</v>
      </c>
      <c r="G269" s="8">
        <f t="shared" si="24"/>
        <v>214063.06784823671</v>
      </c>
      <c r="H269" s="26">
        <f t="shared" si="21"/>
        <v>290736.41697830911</v>
      </c>
      <c r="I269" s="8">
        <f t="shared" si="22"/>
        <v>0</v>
      </c>
      <c r="J269" s="8">
        <f>VPI!R269</f>
        <v>122060.78000997694</v>
      </c>
      <c r="K269" s="239">
        <f t="shared" si="25"/>
        <v>157868.56100321462</v>
      </c>
      <c r="L269" s="347">
        <f t="shared" si="23"/>
        <v>157868.56100321462</v>
      </c>
      <c r="M269" s="132"/>
      <c r="N269" s="133"/>
      <c r="O269" s="130"/>
      <c r="P269" s="130"/>
      <c r="Q269" s="134"/>
    </row>
    <row r="270" spans="1:17" s="129" customFormat="1" x14ac:dyDescent="0.25">
      <c r="A270" s="178">
        <f>Données!A270</f>
        <v>5885</v>
      </c>
      <c r="B270" s="358" t="str">
        <f>Données!B270</f>
        <v>Jongny</v>
      </c>
      <c r="C270" s="178">
        <f>Données!AR270</f>
        <v>1</v>
      </c>
      <c r="D270" s="359">
        <f>Données!Z270</f>
        <v>1670</v>
      </c>
      <c r="E270" s="131">
        <f>Données!X270</f>
        <v>69.5</v>
      </c>
      <c r="F270" s="31">
        <f>VPI!L270</f>
        <v>5502956.0627476312</v>
      </c>
      <c r="G270" s="8">
        <f t="shared" si="24"/>
        <v>158358.44784885269</v>
      </c>
      <c r="H270" s="26">
        <f t="shared" si="21"/>
        <v>141967.78255958366</v>
      </c>
      <c r="I270" s="8">
        <f t="shared" si="22"/>
        <v>0</v>
      </c>
      <c r="J270" s="8">
        <f>VPI!R270</f>
        <v>85101.147065913159</v>
      </c>
      <c r="K270" s="239">
        <f t="shared" si="25"/>
        <v>110066.44088232538</v>
      </c>
      <c r="L270" s="347">
        <f t="shared" si="23"/>
        <v>110066.44088232538</v>
      </c>
      <c r="M270" s="132"/>
      <c r="N270" s="133"/>
      <c r="O270" s="130"/>
      <c r="P270" s="130"/>
      <c r="Q270" s="134"/>
    </row>
    <row r="271" spans="1:17" s="129" customFormat="1" x14ac:dyDescent="0.25">
      <c r="A271" s="178">
        <f>Données!A271</f>
        <v>5886</v>
      </c>
      <c r="B271" s="358" t="str">
        <f>Données!B271</f>
        <v>Montreux</v>
      </c>
      <c r="C271" s="178">
        <f>Données!AR271</f>
        <v>1</v>
      </c>
      <c r="D271" s="359">
        <f>Données!Z271</f>
        <v>26180</v>
      </c>
      <c r="E271" s="131">
        <f>Données!X271</f>
        <v>65</v>
      </c>
      <c r="F271" s="31">
        <f>VPI!L271</f>
        <v>62990232.454310805</v>
      </c>
      <c r="G271" s="8">
        <f t="shared" si="24"/>
        <v>1938160.9985941786</v>
      </c>
      <c r="H271" s="26">
        <f t="shared" si="21"/>
        <v>2225578.7709041322</v>
      </c>
      <c r="I271" s="8">
        <f t="shared" si="22"/>
        <v>0</v>
      </c>
      <c r="J271" s="8">
        <f>VPI!R271</f>
        <v>1096049.6436560636</v>
      </c>
      <c r="K271" s="239">
        <f t="shared" si="25"/>
        <v>1417587.0416191486</v>
      </c>
      <c r="L271" s="347">
        <f t="shared" si="23"/>
        <v>1417587.0416191486</v>
      </c>
      <c r="M271" s="132"/>
      <c r="N271" s="133"/>
      <c r="O271" s="130"/>
      <c r="P271" s="130"/>
      <c r="Q271" s="134"/>
    </row>
    <row r="272" spans="1:17" s="129" customFormat="1" x14ac:dyDescent="0.25">
      <c r="A272" s="178">
        <f>Données!A272</f>
        <v>5889</v>
      </c>
      <c r="B272" s="358" t="str">
        <f>Données!B272</f>
        <v>La Tour-de-Peilz</v>
      </c>
      <c r="C272" s="178">
        <f>Données!AR272</f>
        <v>1</v>
      </c>
      <c r="D272" s="359">
        <f>Données!Z272</f>
        <v>12088</v>
      </c>
      <c r="E272" s="131">
        <f>Données!X272</f>
        <v>64</v>
      </c>
      <c r="F272" s="31">
        <f>VPI!L272</f>
        <v>40464525.508064561</v>
      </c>
      <c r="G272" s="8">
        <f t="shared" si="24"/>
        <v>1264516.4221270175</v>
      </c>
      <c r="H272" s="26">
        <f t="shared" si="21"/>
        <v>1027608.7159163158</v>
      </c>
      <c r="I272" s="8">
        <f t="shared" si="22"/>
        <v>0</v>
      </c>
      <c r="J272" s="8">
        <f>VPI!R272</f>
        <v>674464.00637600874</v>
      </c>
      <c r="K272" s="239">
        <f t="shared" si="25"/>
        <v>872324.93620260607</v>
      </c>
      <c r="L272" s="347">
        <f t="shared" si="23"/>
        <v>872324.93620260607</v>
      </c>
      <c r="M272" s="132"/>
      <c r="N272" s="133"/>
      <c r="O272" s="130"/>
      <c r="P272" s="130"/>
      <c r="Q272" s="134"/>
    </row>
    <row r="273" spans="1:17" s="129" customFormat="1" x14ac:dyDescent="0.25">
      <c r="A273" s="178">
        <f>Données!A273</f>
        <v>5890</v>
      </c>
      <c r="B273" s="358" t="str">
        <f>Données!B273</f>
        <v>Vevey</v>
      </c>
      <c r="C273" s="178">
        <f>Données!AR273</f>
        <v>1</v>
      </c>
      <c r="D273" s="359">
        <f>Données!Z273</f>
        <v>19780</v>
      </c>
      <c r="E273" s="131">
        <f>Données!X273</f>
        <v>74.5</v>
      </c>
      <c r="F273" s="31">
        <f>VPI!L273</f>
        <v>59453810.967185237</v>
      </c>
      <c r="G273" s="8">
        <f t="shared" si="24"/>
        <v>1596075.462206315</v>
      </c>
      <c r="H273" s="26">
        <f t="shared" si="21"/>
        <v>1681510.6221727934</v>
      </c>
      <c r="I273" s="8">
        <f t="shared" si="22"/>
        <v>0</v>
      </c>
      <c r="J273" s="8">
        <f>VPI!R273</f>
        <v>858874.45047675935</v>
      </c>
      <c r="K273" s="239">
        <f t="shared" si="25"/>
        <v>1110834.0743694247</v>
      </c>
      <c r="L273" s="347">
        <f t="shared" si="23"/>
        <v>1110834.0743694247</v>
      </c>
      <c r="M273" s="132"/>
      <c r="N273" s="133"/>
      <c r="O273" s="130"/>
      <c r="P273" s="130"/>
      <c r="Q273" s="134"/>
    </row>
    <row r="274" spans="1:17" s="129" customFormat="1" x14ac:dyDescent="0.25">
      <c r="A274" s="178">
        <f>Données!A274</f>
        <v>5891</v>
      </c>
      <c r="B274" s="358" t="str">
        <f>Données!B274</f>
        <v>Veytaux</v>
      </c>
      <c r="C274" s="178">
        <f>Données!AR274</f>
        <v>1</v>
      </c>
      <c r="D274" s="359">
        <f>Données!Z274</f>
        <v>956</v>
      </c>
      <c r="E274" s="131">
        <f>Données!X274</f>
        <v>69.5</v>
      </c>
      <c r="F274" s="31">
        <f>VPI!L274</f>
        <v>2741751.6579176495</v>
      </c>
      <c r="G274" s="8">
        <f t="shared" si="24"/>
        <v>78899.328285399984</v>
      </c>
      <c r="H274" s="26">
        <f t="shared" si="21"/>
        <v>81270.179716743703</v>
      </c>
      <c r="I274" s="8">
        <f t="shared" si="22"/>
        <v>0</v>
      </c>
      <c r="J274" s="8">
        <f>VPI!R274</f>
        <v>43940.417859726374</v>
      </c>
      <c r="K274" s="239">
        <f t="shared" si="25"/>
        <v>56830.789847713218</v>
      </c>
      <c r="L274" s="347">
        <f t="shared" si="23"/>
        <v>56830.789847713218</v>
      </c>
      <c r="M274" s="132"/>
      <c r="N274" s="133"/>
      <c r="O274" s="130"/>
      <c r="P274" s="130"/>
      <c r="Q274" s="134"/>
    </row>
    <row r="275" spans="1:17" s="129" customFormat="1" x14ac:dyDescent="0.25">
      <c r="A275" s="178">
        <v>5892</v>
      </c>
      <c r="B275" s="358" t="s">
        <v>400</v>
      </c>
      <c r="C275" s="178">
        <f>Données!AR275</f>
        <v>1</v>
      </c>
      <c r="D275" s="359">
        <f>Données!Z275</f>
        <v>11737</v>
      </c>
      <c r="E275" s="131">
        <f>Données!X275</f>
        <v>68.5</v>
      </c>
      <c r="F275" s="31">
        <f>VPI!L275</f>
        <v>43789003.23746974</v>
      </c>
      <c r="G275" s="8">
        <f t="shared" si="24"/>
        <v>1278511.0434297735</v>
      </c>
      <c r="H275" s="216">
        <f t="shared" si="21"/>
        <v>997769.97838433145</v>
      </c>
      <c r="I275" s="8">
        <f t="shared" si="22"/>
        <v>0</v>
      </c>
      <c r="J275" s="8">
        <f>VPI!R275</f>
        <v>693176.17061999615</v>
      </c>
      <c r="K275" s="239">
        <f t="shared" si="25"/>
        <v>896526.50563557749</v>
      </c>
      <c r="L275" s="347">
        <f t="shared" si="23"/>
        <v>896526.50563557749</v>
      </c>
      <c r="M275" s="132"/>
      <c r="N275" s="133"/>
      <c r="O275" s="130"/>
      <c r="P275" s="130"/>
      <c r="Q275" s="134"/>
    </row>
    <row r="276" spans="1:17" s="129" customFormat="1" x14ac:dyDescent="0.25">
      <c r="A276" s="178">
        <f>Données!A276</f>
        <v>5902</v>
      </c>
      <c r="B276" s="358" t="str">
        <f>Données!B276</f>
        <v>Belmont-sur-Yverdon</v>
      </c>
      <c r="C276" s="178">
        <f>Données!AR276</f>
        <v>0</v>
      </c>
      <c r="D276" s="359">
        <f>Données!Z276</f>
        <v>396</v>
      </c>
      <c r="E276" s="131">
        <f>Données!X276</f>
        <v>70</v>
      </c>
      <c r="F276" s="31">
        <f>VPI!L276</f>
        <v>763709.10474750027</v>
      </c>
      <c r="G276" s="8">
        <f t="shared" si="24"/>
        <v>21820.260135642864</v>
      </c>
      <c r="H276" s="26">
        <f t="shared" si="21"/>
        <v>33664.216702751575</v>
      </c>
      <c r="I276" s="8">
        <f t="shared" si="22"/>
        <v>21820.260135642864</v>
      </c>
      <c r="J276" s="8">
        <f>VPI!R276</f>
        <v>11718.07192496429</v>
      </c>
      <c r="K276" s="239">
        <f t="shared" si="25"/>
        <v>15155.688439604222</v>
      </c>
      <c r="L276" s="347">
        <f t="shared" si="23"/>
        <v>36975.948575247086</v>
      </c>
      <c r="M276" s="132"/>
      <c r="N276" s="133"/>
      <c r="O276" s="130"/>
      <c r="P276" s="130"/>
      <c r="Q276" s="134"/>
    </row>
    <row r="277" spans="1:17" s="129" customFormat="1" x14ac:dyDescent="0.25">
      <c r="A277" s="178">
        <f>Données!A277</f>
        <v>5903</v>
      </c>
      <c r="B277" s="358" t="str">
        <f>Données!B277</f>
        <v>Bioley-Magnoux</v>
      </c>
      <c r="C277" s="178">
        <f>Données!AR277</f>
        <v>0</v>
      </c>
      <c r="D277" s="359">
        <f>Données!Z277</f>
        <v>230</v>
      </c>
      <c r="E277" s="131">
        <f>Données!X277</f>
        <v>72</v>
      </c>
      <c r="F277" s="31">
        <f>VPI!L277</f>
        <v>325068.18999999994</v>
      </c>
      <c r="G277" s="8">
        <f t="shared" si="24"/>
        <v>9029.6719444444425</v>
      </c>
      <c r="H277" s="26">
        <f t="shared" si="21"/>
        <v>19552.449095032483</v>
      </c>
      <c r="I277" s="8">
        <f t="shared" si="22"/>
        <v>9029.6719444444425</v>
      </c>
      <c r="J277" s="8">
        <f>VPI!R277</f>
        <v>5023.7843849206347</v>
      </c>
      <c r="K277" s="239">
        <f t="shared" si="25"/>
        <v>6497.5630302625832</v>
      </c>
      <c r="L277" s="347">
        <f t="shared" si="23"/>
        <v>15527.234974707026</v>
      </c>
      <c r="M277" s="132"/>
      <c r="N277" s="133"/>
      <c r="O277" s="130"/>
      <c r="P277" s="130"/>
      <c r="Q277" s="134"/>
    </row>
    <row r="278" spans="1:17" s="129" customFormat="1" x14ac:dyDescent="0.25">
      <c r="A278" s="178">
        <f>Données!A278</f>
        <v>5904</v>
      </c>
      <c r="B278" s="358" t="str">
        <f>Données!B278</f>
        <v>Chamblon</v>
      </c>
      <c r="C278" s="178">
        <f>Données!AR278</f>
        <v>1</v>
      </c>
      <c r="D278" s="359">
        <f>Données!Z278</f>
        <v>559</v>
      </c>
      <c r="E278" s="131">
        <f>Données!X278</f>
        <v>66</v>
      </c>
      <c r="F278" s="31">
        <f>VPI!L278</f>
        <v>1331902.3295997225</v>
      </c>
      <c r="G278" s="8">
        <f t="shared" si="24"/>
        <v>40360.676654537048</v>
      </c>
      <c r="H278" s="26">
        <f t="shared" si="21"/>
        <v>47520.952365752855</v>
      </c>
      <c r="I278" s="8">
        <f t="shared" si="22"/>
        <v>0</v>
      </c>
      <c r="J278" s="8">
        <f>VPI!R278</f>
        <v>21692.89514545034</v>
      </c>
      <c r="K278" s="239">
        <f t="shared" si="25"/>
        <v>28056.728298196562</v>
      </c>
      <c r="L278" s="347">
        <f t="shared" si="23"/>
        <v>28056.728298196562</v>
      </c>
      <c r="M278" s="132"/>
      <c r="N278" s="133"/>
      <c r="O278" s="130"/>
      <c r="P278" s="130"/>
      <c r="Q278" s="134"/>
    </row>
    <row r="279" spans="1:17" s="129" customFormat="1" x14ac:dyDescent="0.25">
      <c r="A279" s="178">
        <f>Données!A279</f>
        <v>5905</v>
      </c>
      <c r="B279" s="358" t="str">
        <f>Données!B279</f>
        <v>Champvent</v>
      </c>
      <c r="C279" s="178">
        <f>Données!AR279</f>
        <v>0</v>
      </c>
      <c r="D279" s="359">
        <f>Données!Z279</f>
        <v>696</v>
      </c>
      <c r="E279" s="131">
        <f>Données!X279</f>
        <v>71</v>
      </c>
      <c r="F279" s="31">
        <f>VPI!L279</f>
        <v>1435568.6789206595</v>
      </c>
      <c r="G279" s="8">
        <f t="shared" si="24"/>
        <v>40438.554335793226</v>
      </c>
      <c r="H279" s="26">
        <f t="shared" si="21"/>
        <v>59167.411174533074</v>
      </c>
      <c r="I279" s="8">
        <f t="shared" si="22"/>
        <v>40438.554335793226</v>
      </c>
      <c r="J279" s="8">
        <f>VPI!R279</f>
        <v>21633.757449586756</v>
      </c>
      <c r="K279" s="239">
        <f t="shared" si="25"/>
        <v>27980.241953063698</v>
      </c>
      <c r="L279" s="347">
        <f t="shared" si="23"/>
        <v>68418.796288856916</v>
      </c>
      <c r="M279" s="132"/>
      <c r="N279" s="133"/>
      <c r="O279" s="130"/>
      <c r="P279" s="130"/>
      <c r="Q279" s="134"/>
    </row>
    <row r="280" spans="1:17" s="129" customFormat="1" x14ac:dyDescent="0.25">
      <c r="A280" s="178">
        <f>Données!A280</f>
        <v>5907</v>
      </c>
      <c r="B280" s="358" t="str">
        <f>Données!B280</f>
        <v>Chavannes-le-Chêne</v>
      </c>
      <c r="C280" s="178">
        <f>Données!AR280</f>
        <v>0</v>
      </c>
      <c r="D280" s="359">
        <f>Données!Z280</f>
        <v>324</v>
      </c>
      <c r="E280" s="131">
        <f>Données!X280</f>
        <v>75</v>
      </c>
      <c r="F280" s="31">
        <f>VPI!L280</f>
        <v>694687.79390669265</v>
      </c>
      <c r="G280" s="8">
        <f t="shared" si="24"/>
        <v>18525.007837511803</v>
      </c>
      <c r="H280" s="26">
        <f t="shared" si="21"/>
        <v>27543.450029524018</v>
      </c>
      <c r="I280" s="8">
        <f t="shared" si="22"/>
        <v>18525.007837511803</v>
      </c>
      <c r="J280" s="8">
        <f>VPI!R280</f>
        <v>9890.8899187559018</v>
      </c>
      <c r="K280" s="239">
        <f t="shared" si="25"/>
        <v>12792.483862445961</v>
      </c>
      <c r="L280" s="347">
        <f t="shared" si="23"/>
        <v>31317.491699957762</v>
      </c>
      <c r="M280" s="132"/>
      <c r="N280" s="133"/>
      <c r="O280" s="130"/>
      <c r="P280" s="130"/>
      <c r="Q280" s="134"/>
    </row>
    <row r="281" spans="1:17" s="129" customFormat="1" x14ac:dyDescent="0.25">
      <c r="A281" s="178">
        <f>Données!A281</f>
        <v>5908</v>
      </c>
      <c r="B281" s="358" t="str">
        <f>Données!B281</f>
        <v>Chêne-Pâquier</v>
      </c>
      <c r="C281" s="178">
        <f>Données!AR281</f>
        <v>0</v>
      </c>
      <c r="D281" s="359">
        <f>Données!Z281</f>
        <v>144</v>
      </c>
      <c r="E281" s="131">
        <f>Données!X281</f>
        <v>79</v>
      </c>
      <c r="F281" s="31">
        <f>VPI!L281</f>
        <v>492264.14099761483</v>
      </c>
      <c r="G281" s="8">
        <f t="shared" si="24"/>
        <v>12462.383316395311</v>
      </c>
      <c r="H281" s="26">
        <f t="shared" si="21"/>
        <v>12241.533346455119</v>
      </c>
      <c r="I281" s="8">
        <f t="shared" si="22"/>
        <v>12241.533346455119</v>
      </c>
      <c r="J281" s="8">
        <f>VPI!R281</f>
        <v>6502.346088577403</v>
      </c>
      <c r="K281" s="239">
        <f t="shared" si="25"/>
        <v>8409.8759656024722</v>
      </c>
      <c r="L281" s="347">
        <f t="shared" si="23"/>
        <v>20651.409312057593</v>
      </c>
      <c r="M281" s="132"/>
      <c r="N281" s="133"/>
      <c r="O281" s="130"/>
      <c r="P281" s="130"/>
      <c r="Q281" s="134"/>
    </row>
    <row r="282" spans="1:17" s="129" customFormat="1" x14ac:dyDescent="0.25">
      <c r="A282" s="178">
        <f>Données!A282</f>
        <v>5909</v>
      </c>
      <c r="B282" s="358" t="str">
        <f>Données!B282</f>
        <v>Cheseaux-Noréaz</v>
      </c>
      <c r="C282" s="178">
        <f>Données!AR282</f>
        <v>1</v>
      </c>
      <c r="D282" s="359">
        <f>Données!Z282</f>
        <v>741</v>
      </c>
      <c r="E282" s="131">
        <f>Données!X282</f>
        <v>67</v>
      </c>
      <c r="F282" s="31">
        <f>VPI!L282</f>
        <v>2469438.5382040446</v>
      </c>
      <c r="G282" s="8">
        <f t="shared" si="24"/>
        <v>73714.583229971482</v>
      </c>
      <c r="H282" s="26">
        <f t="shared" si="21"/>
        <v>62992.8903453003</v>
      </c>
      <c r="I282" s="8">
        <f t="shared" si="22"/>
        <v>0</v>
      </c>
      <c r="J282" s="8">
        <f>VPI!R282</f>
        <v>39252.843107523055</v>
      </c>
      <c r="K282" s="239">
        <f t="shared" si="25"/>
        <v>50768.066992223925</v>
      </c>
      <c r="L282" s="347">
        <f t="shared" si="23"/>
        <v>50768.066992223925</v>
      </c>
      <c r="M282" s="132"/>
      <c r="N282" s="133"/>
      <c r="O282" s="130"/>
      <c r="P282" s="130"/>
      <c r="Q282" s="134"/>
    </row>
    <row r="283" spans="1:17" s="129" customFormat="1" x14ac:dyDescent="0.25">
      <c r="A283" s="178">
        <f>Données!A283</f>
        <v>5910</v>
      </c>
      <c r="B283" s="358" t="str">
        <f>Données!B283</f>
        <v>Cronay</v>
      </c>
      <c r="C283" s="178">
        <f>Données!AR283</f>
        <v>0</v>
      </c>
      <c r="D283" s="359">
        <f>Données!Z283</f>
        <v>393</v>
      </c>
      <c r="E283" s="131">
        <f>Données!X283</f>
        <v>77</v>
      </c>
      <c r="F283" s="31">
        <f>VPI!L283</f>
        <v>709240.97379849677</v>
      </c>
      <c r="G283" s="8">
        <f t="shared" si="24"/>
        <v>18421.84347528563</v>
      </c>
      <c r="H283" s="26">
        <f t="shared" si="21"/>
        <v>33409.184758033764</v>
      </c>
      <c r="I283" s="8">
        <f t="shared" si="22"/>
        <v>18421.84347528563</v>
      </c>
      <c r="J283" s="8">
        <f>VPI!R283</f>
        <v>9974.6879714090483</v>
      </c>
      <c r="K283" s="239">
        <f t="shared" si="25"/>
        <v>12900.864932812237</v>
      </c>
      <c r="L283" s="347">
        <f t="shared" si="23"/>
        <v>31322.708408097868</v>
      </c>
      <c r="M283" s="132"/>
      <c r="N283" s="275"/>
      <c r="O283" s="130"/>
      <c r="P283" s="130"/>
      <c r="Q283" s="134"/>
    </row>
    <row r="284" spans="1:17" s="129" customFormat="1" x14ac:dyDescent="0.25">
      <c r="A284" s="178">
        <f>Données!A284</f>
        <v>5911</v>
      </c>
      <c r="B284" s="358" t="str">
        <f>Données!B284</f>
        <v>Cuarny</v>
      </c>
      <c r="C284" s="178">
        <f>Données!AR284</f>
        <v>0</v>
      </c>
      <c r="D284" s="359">
        <f>Données!Z284</f>
        <v>234</v>
      </c>
      <c r="E284" s="131">
        <f>Données!X284</f>
        <v>77</v>
      </c>
      <c r="F284" s="31">
        <f>VPI!L284</f>
        <v>498128.88263175997</v>
      </c>
      <c r="G284" s="8">
        <f t="shared" si="24"/>
        <v>12938.412535889869</v>
      </c>
      <c r="H284" s="26">
        <f t="shared" si="21"/>
        <v>19892.491687989568</v>
      </c>
      <c r="I284" s="8">
        <f t="shared" si="22"/>
        <v>12938.412535889869</v>
      </c>
      <c r="J284" s="8">
        <f>VPI!R284</f>
        <v>6938.982891321557</v>
      </c>
      <c r="K284" s="239">
        <f t="shared" si="25"/>
        <v>8974.6046501531509</v>
      </c>
      <c r="L284" s="347">
        <f t="shared" si="23"/>
        <v>21913.01718604302</v>
      </c>
      <c r="M284" s="132"/>
      <c r="N284" s="133"/>
      <c r="O284" s="130"/>
      <c r="P284" s="130"/>
      <c r="Q284" s="134"/>
    </row>
    <row r="285" spans="1:17" s="129" customFormat="1" x14ac:dyDescent="0.25">
      <c r="A285" s="178">
        <f>Données!A285</f>
        <v>5912</v>
      </c>
      <c r="B285" s="358" t="str">
        <f>Données!B285</f>
        <v>Démoret</v>
      </c>
      <c r="C285" s="178">
        <f>Données!AR285</f>
        <v>0</v>
      </c>
      <c r="D285" s="359">
        <f>Données!Z285</f>
        <v>158</v>
      </c>
      <c r="E285" s="131">
        <f>Données!X285</f>
        <v>81</v>
      </c>
      <c r="F285" s="31">
        <f>VPI!L285</f>
        <v>307585.01790976088</v>
      </c>
      <c r="G285" s="8">
        <f t="shared" si="24"/>
        <v>7594.6918002410093</v>
      </c>
      <c r="H285" s="26">
        <f t="shared" si="21"/>
        <v>13431.682421804922</v>
      </c>
      <c r="I285" s="8">
        <f t="shared" si="22"/>
        <v>7594.6918002410093</v>
      </c>
      <c r="J285" s="8">
        <f>VPI!R285</f>
        <v>4068.1026902439612</v>
      </c>
      <c r="K285" s="239">
        <f t="shared" si="25"/>
        <v>5261.5223142898676</v>
      </c>
      <c r="L285" s="347">
        <f t="shared" si="23"/>
        <v>12856.214114530878</v>
      </c>
      <c r="M285" s="132"/>
      <c r="N285" s="133"/>
      <c r="O285" s="130"/>
      <c r="P285" s="130"/>
      <c r="Q285" s="134"/>
    </row>
    <row r="286" spans="1:17" s="129" customFormat="1" x14ac:dyDescent="0.25">
      <c r="A286" s="178">
        <f>Données!A286</f>
        <v>5913</v>
      </c>
      <c r="B286" s="358" t="str">
        <f>Données!B286</f>
        <v>Donneloye</v>
      </c>
      <c r="C286" s="178">
        <f>Données!AR286</f>
        <v>0</v>
      </c>
      <c r="D286" s="359">
        <f>Données!Z286</f>
        <v>829</v>
      </c>
      <c r="E286" s="131">
        <f>Données!X286</f>
        <v>73</v>
      </c>
      <c r="F286" s="31">
        <f>VPI!L286</f>
        <v>1331929.1637266215</v>
      </c>
      <c r="G286" s="8">
        <f t="shared" si="24"/>
        <v>36491.209965112917</v>
      </c>
      <c r="H286" s="26">
        <f t="shared" si="21"/>
        <v>70473.827390356208</v>
      </c>
      <c r="I286" s="8">
        <f t="shared" si="22"/>
        <v>36491.209965112917</v>
      </c>
      <c r="J286" s="8">
        <f>VPI!R286</f>
        <v>19877.397448309883</v>
      </c>
      <c r="K286" s="239">
        <f t="shared" si="25"/>
        <v>25708.635741940678</v>
      </c>
      <c r="L286" s="347">
        <f t="shared" si="23"/>
        <v>62199.845707053595</v>
      </c>
      <c r="M286" s="132"/>
      <c r="N286" s="133"/>
      <c r="O286" s="130"/>
      <c r="P286" s="130"/>
      <c r="Q286" s="134"/>
    </row>
    <row r="287" spans="1:17" s="129" customFormat="1" x14ac:dyDescent="0.25">
      <c r="A287" s="178">
        <f>Données!A287</f>
        <v>5914</v>
      </c>
      <c r="B287" s="358" t="str">
        <f>Données!B287</f>
        <v>Ependes</v>
      </c>
      <c r="C287" s="178">
        <f>Données!AR287</f>
        <v>1</v>
      </c>
      <c r="D287" s="359">
        <f>Données!Z287</f>
        <v>388</v>
      </c>
      <c r="E287" s="131">
        <f>Données!X287</f>
        <v>73.5</v>
      </c>
      <c r="F287" s="31">
        <f>VPI!L287</f>
        <v>715624.60330120893</v>
      </c>
      <c r="G287" s="8">
        <f t="shared" si="24"/>
        <v>19472.778321121332</v>
      </c>
      <c r="H287" s="26">
        <f t="shared" si="21"/>
        <v>32984.131516837406</v>
      </c>
      <c r="I287" s="8">
        <f t="shared" si="22"/>
        <v>0</v>
      </c>
      <c r="J287" s="8">
        <f>VPI!R287</f>
        <v>10654.485759200121</v>
      </c>
      <c r="K287" s="239">
        <f t="shared" si="25"/>
        <v>13780.088369881649</v>
      </c>
      <c r="L287" s="347">
        <f t="shared" si="23"/>
        <v>13780.088369881649</v>
      </c>
      <c r="M287" s="132"/>
      <c r="N287" s="133"/>
      <c r="O287" s="130"/>
      <c r="P287" s="130"/>
      <c r="Q287" s="134"/>
    </row>
    <row r="288" spans="1:17" s="129" customFormat="1" x14ac:dyDescent="0.25">
      <c r="A288" s="178">
        <f>Données!A288</f>
        <v>5919</v>
      </c>
      <c r="B288" s="358" t="str">
        <f>Données!B288</f>
        <v>Mathod</v>
      </c>
      <c r="C288" s="178">
        <f>Données!AR288</f>
        <v>1</v>
      </c>
      <c r="D288" s="359">
        <f>Données!Z288</f>
        <v>651</v>
      </c>
      <c r="E288" s="131">
        <f>Données!X288</f>
        <v>72</v>
      </c>
      <c r="F288" s="31">
        <f>VPI!L288</f>
        <v>1423696.7379779175</v>
      </c>
      <c r="G288" s="8">
        <f t="shared" si="24"/>
        <v>39547.131610497709</v>
      </c>
      <c r="H288" s="26">
        <f t="shared" si="21"/>
        <v>55341.932003765847</v>
      </c>
      <c r="I288" s="8">
        <f t="shared" si="22"/>
        <v>0</v>
      </c>
      <c r="J288" s="8">
        <f>VPI!R288</f>
        <v>21548.298328397002</v>
      </c>
      <c r="K288" s="239">
        <f t="shared" si="25"/>
        <v>27869.71252267891</v>
      </c>
      <c r="L288" s="347">
        <f t="shared" si="23"/>
        <v>27869.71252267891</v>
      </c>
      <c r="M288" s="132"/>
      <c r="N288" s="133"/>
      <c r="O288" s="130"/>
      <c r="P288" s="130"/>
      <c r="Q288" s="134"/>
    </row>
    <row r="289" spans="1:17" s="129" customFormat="1" x14ac:dyDescent="0.25">
      <c r="A289" s="178">
        <f>Données!A289</f>
        <v>5921</v>
      </c>
      <c r="B289" s="358" t="str">
        <f>Données!B289</f>
        <v>Molondin</v>
      </c>
      <c r="C289" s="178">
        <f>Données!AR289</f>
        <v>0</v>
      </c>
      <c r="D289" s="359">
        <f>Données!Z289</f>
        <v>252</v>
      </c>
      <c r="E289" s="131">
        <f>Données!X289</f>
        <v>81</v>
      </c>
      <c r="F289" s="31">
        <f>VPI!L289</f>
        <v>426438.17</v>
      </c>
      <c r="G289" s="8">
        <f t="shared" si="24"/>
        <v>10529.337530864197</v>
      </c>
      <c r="H289" s="26">
        <f t="shared" si="21"/>
        <v>21422.683356296457</v>
      </c>
      <c r="I289" s="8">
        <f t="shared" si="22"/>
        <v>10529.337530864197</v>
      </c>
      <c r="J289" s="8">
        <f>VPI!R289</f>
        <v>5680.8817283950611</v>
      </c>
      <c r="K289" s="239">
        <f t="shared" si="25"/>
        <v>7347.4266149854047</v>
      </c>
      <c r="L289" s="347">
        <f t="shared" si="23"/>
        <v>17876.7641458496</v>
      </c>
      <c r="M289" s="132"/>
      <c r="N289" s="133"/>
      <c r="O289" s="130"/>
      <c r="P289" s="130"/>
      <c r="Q289" s="134"/>
    </row>
    <row r="290" spans="1:17" s="129" customFormat="1" x14ac:dyDescent="0.25">
      <c r="A290" s="178">
        <f>Données!A290</f>
        <v>5922</v>
      </c>
      <c r="B290" s="358" t="str">
        <f>Données!B290</f>
        <v>Montagny-près-Yverdon</v>
      </c>
      <c r="C290" s="178">
        <f>Données!AR290</f>
        <v>0</v>
      </c>
      <c r="D290" s="359">
        <f>Données!Z290</f>
        <v>737</v>
      </c>
      <c r="E290" s="131">
        <f>Données!X290</f>
        <v>63.5</v>
      </c>
      <c r="F290" s="31">
        <f>VPI!L290</f>
        <v>1784015.6135448308</v>
      </c>
      <c r="G290" s="8">
        <f t="shared" si="24"/>
        <v>56189.46814314428</v>
      </c>
      <c r="H290" s="26">
        <f t="shared" si="21"/>
        <v>62652.847752343216</v>
      </c>
      <c r="I290" s="8">
        <f t="shared" si="22"/>
        <v>56189.46814314428</v>
      </c>
      <c r="J290" s="8">
        <f>VPI!R290</f>
        <v>33186.709071572135</v>
      </c>
      <c r="K290" s="239">
        <f t="shared" si="25"/>
        <v>42922.370356253567</v>
      </c>
      <c r="L290" s="347">
        <f t="shared" si="23"/>
        <v>99111.838499397854</v>
      </c>
      <c r="M290" s="132"/>
      <c r="N290" s="133"/>
      <c r="O290" s="130"/>
      <c r="P290" s="130"/>
      <c r="Q290" s="134"/>
    </row>
    <row r="291" spans="1:17" s="129" customFormat="1" x14ac:dyDescent="0.25">
      <c r="A291" s="178">
        <f>Données!A291</f>
        <v>5923</v>
      </c>
      <c r="B291" s="358" t="str">
        <f>Données!B291</f>
        <v>Oppens</v>
      </c>
      <c r="C291" s="178">
        <f>Données!AR291</f>
        <v>0</v>
      </c>
      <c r="D291" s="359">
        <f>Données!Z291</f>
        <v>201</v>
      </c>
      <c r="E291" s="131">
        <f>Données!X291</f>
        <v>81</v>
      </c>
      <c r="F291" s="31">
        <f>VPI!L291</f>
        <v>362837.70545664761</v>
      </c>
      <c r="G291" s="8">
        <f t="shared" si="24"/>
        <v>8958.9556902875956</v>
      </c>
      <c r="H291" s="26">
        <f t="shared" si="21"/>
        <v>17087.140296093603</v>
      </c>
      <c r="I291" s="8">
        <f t="shared" si="22"/>
        <v>8958.9556902875956</v>
      </c>
      <c r="J291" s="8">
        <f>VPI!R291</f>
        <v>4798.3716723042917</v>
      </c>
      <c r="K291" s="239">
        <f t="shared" si="25"/>
        <v>6206.0231878196246</v>
      </c>
      <c r="L291" s="347">
        <f t="shared" si="23"/>
        <v>15164.97887810722</v>
      </c>
      <c r="M291" s="132"/>
      <c r="N291" s="133"/>
      <c r="O291" s="130"/>
      <c r="P291" s="130"/>
      <c r="Q291" s="134"/>
    </row>
    <row r="292" spans="1:17" s="129" customFormat="1" x14ac:dyDescent="0.25">
      <c r="A292" s="178">
        <f>Données!A292</f>
        <v>5924</v>
      </c>
      <c r="B292" s="358" t="str">
        <f>Données!B292</f>
        <v>Orges</v>
      </c>
      <c r="C292" s="178">
        <f>Données!AR292</f>
        <v>0</v>
      </c>
      <c r="D292" s="359">
        <f>Données!Z292</f>
        <v>343</v>
      </c>
      <c r="E292" s="131">
        <f>Données!X292</f>
        <v>74</v>
      </c>
      <c r="F292" s="31">
        <f>VPI!L292</f>
        <v>867637.90753732785</v>
      </c>
      <c r="G292" s="8">
        <f t="shared" si="24"/>
        <v>23449.673176684537</v>
      </c>
      <c r="H292" s="26">
        <f t="shared" si="21"/>
        <v>29158.652346070179</v>
      </c>
      <c r="I292" s="8">
        <f t="shared" si="22"/>
        <v>23449.673176684537</v>
      </c>
      <c r="J292" s="8">
        <f>VPI!R292</f>
        <v>12515.741993747673</v>
      </c>
      <c r="K292" s="239">
        <f t="shared" si="25"/>
        <v>16187.363199538371</v>
      </c>
      <c r="L292" s="347">
        <f t="shared" si="23"/>
        <v>39637.03637622291</v>
      </c>
      <c r="M292" s="132"/>
      <c r="N292" s="133"/>
      <c r="O292" s="130"/>
      <c r="P292" s="130"/>
      <c r="Q292" s="134"/>
    </row>
    <row r="293" spans="1:17" s="129" customFormat="1" x14ac:dyDescent="0.25">
      <c r="A293" s="178">
        <f>Données!A293</f>
        <v>5925</v>
      </c>
      <c r="B293" s="358" t="str">
        <f>Données!B293</f>
        <v>Orzens</v>
      </c>
      <c r="C293" s="178">
        <f>Données!AR293</f>
        <v>0</v>
      </c>
      <c r="D293" s="359">
        <f>Données!Z293</f>
        <v>201</v>
      </c>
      <c r="E293" s="131">
        <f>Données!X293</f>
        <v>79</v>
      </c>
      <c r="F293" s="31">
        <f>VPI!L293</f>
        <v>431910.95</v>
      </c>
      <c r="G293" s="8">
        <f t="shared" si="24"/>
        <v>10934.454430379747</v>
      </c>
      <c r="H293" s="26">
        <f t="shared" si="21"/>
        <v>17087.140296093603</v>
      </c>
      <c r="I293" s="8">
        <f t="shared" si="22"/>
        <v>10934.454430379747</v>
      </c>
      <c r="J293" s="8">
        <f>VPI!R293</f>
        <v>5885.1778481012652</v>
      </c>
      <c r="K293" s="239">
        <f t="shared" si="25"/>
        <v>7611.6550955335606</v>
      </c>
      <c r="L293" s="347">
        <f t="shared" si="23"/>
        <v>18546.109525913307</v>
      </c>
      <c r="M293" s="132"/>
      <c r="N293" s="133"/>
      <c r="O293" s="130"/>
      <c r="P293" s="130"/>
      <c r="Q293" s="134"/>
    </row>
    <row r="294" spans="1:17" s="129" customFormat="1" x14ac:dyDescent="0.25">
      <c r="A294" s="178">
        <f>Données!A294</f>
        <v>5926</v>
      </c>
      <c r="B294" s="358" t="str">
        <f>Données!B294</f>
        <v>Pomy</v>
      </c>
      <c r="C294" s="178">
        <f>Données!AR294</f>
        <v>1</v>
      </c>
      <c r="D294" s="359">
        <f>Données!Z294</f>
        <v>803</v>
      </c>
      <c r="E294" s="131">
        <f>Données!X294</f>
        <v>71</v>
      </c>
      <c r="F294" s="31">
        <f>VPI!L294</f>
        <v>1819737.4891418626</v>
      </c>
      <c r="G294" s="8">
        <f t="shared" si="24"/>
        <v>51260.21096174261</v>
      </c>
      <c r="H294" s="26">
        <f t="shared" si="21"/>
        <v>68263.550536135139</v>
      </c>
      <c r="I294" s="8">
        <f t="shared" si="22"/>
        <v>0</v>
      </c>
      <c r="J294" s="8">
        <f>VPI!R294</f>
        <v>27361.56181889947</v>
      </c>
      <c r="K294" s="239">
        <f t="shared" si="25"/>
        <v>35388.356446657897</v>
      </c>
      <c r="L294" s="347">
        <f t="shared" si="23"/>
        <v>35388.356446657897</v>
      </c>
      <c r="M294" s="132"/>
      <c r="N294" s="133"/>
      <c r="O294" s="130"/>
      <c r="P294" s="130"/>
      <c r="Q294" s="134"/>
    </row>
    <row r="295" spans="1:17" s="129" customFormat="1" x14ac:dyDescent="0.25">
      <c r="A295" s="178">
        <f>Données!A295</f>
        <v>5928</v>
      </c>
      <c r="B295" s="358" t="str">
        <f>Données!B295</f>
        <v>Rovray</v>
      </c>
      <c r="C295" s="178">
        <f>Données!AR295</f>
        <v>0</v>
      </c>
      <c r="D295" s="359">
        <f>Données!Z295</f>
        <v>204</v>
      </c>
      <c r="E295" s="131">
        <f>Données!X295</f>
        <v>71.5</v>
      </c>
      <c r="F295" s="31">
        <f>VPI!L295</f>
        <v>375066.03619183751</v>
      </c>
      <c r="G295" s="8">
        <f t="shared" si="24"/>
        <v>10491.357655715734</v>
      </c>
      <c r="H295" s="26">
        <f t="shared" si="21"/>
        <v>17342.172240811418</v>
      </c>
      <c r="I295" s="8">
        <f t="shared" si="22"/>
        <v>10491.357655715734</v>
      </c>
      <c r="J295" s="8">
        <f>VPI!R295</f>
        <v>5562.4200865991261</v>
      </c>
      <c r="K295" s="239">
        <f t="shared" si="25"/>
        <v>7194.2130362840899</v>
      </c>
      <c r="L295" s="347">
        <f t="shared" si="23"/>
        <v>17685.570691999823</v>
      </c>
      <c r="M295" s="132"/>
      <c r="N295" s="133"/>
      <c r="O295" s="130"/>
      <c r="P295" s="130"/>
      <c r="Q295" s="134"/>
    </row>
    <row r="296" spans="1:17" s="129" customFormat="1" x14ac:dyDescent="0.25">
      <c r="A296" s="178">
        <f>Données!A296</f>
        <v>5929</v>
      </c>
      <c r="B296" s="358" t="str">
        <f>Données!B296</f>
        <v>Suchy</v>
      </c>
      <c r="C296" s="178">
        <f>Données!AR296</f>
        <v>1</v>
      </c>
      <c r="D296" s="359">
        <f>Données!Z296</f>
        <v>656</v>
      </c>
      <c r="E296" s="131">
        <f>Données!X296</f>
        <v>70</v>
      </c>
      <c r="F296" s="31">
        <f>VPI!L296</f>
        <v>1273430.9138707733</v>
      </c>
      <c r="G296" s="8">
        <f t="shared" si="24"/>
        <v>36383.74039630781</v>
      </c>
      <c r="H296" s="26">
        <f t="shared" si="21"/>
        <v>55766.985244962212</v>
      </c>
      <c r="I296" s="8">
        <f t="shared" si="22"/>
        <v>0</v>
      </c>
      <c r="J296" s="8">
        <f>VPI!R296</f>
        <v>19817.928233868191</v>
      </c>
      <c r="K296" s="239">
        <f t="shared" si="25"/>
        <v>25631.720623856607</v>
      </c>
      <c r="L296" s="347">
        <f t="shared" si="23"/>
        <v>25631.720623856607</v>
      </c>
      <c r="M296" s="132"/>
      <c r="N296" s="133"/>
      <c r="O296" s="130"/>
      <c r="P296" s="130"/>
      <c r="Q296" s="134"/>
    </row>
    <row r="297" spans="1:17" s="129" customFormat="1" x14ac:dyDescent="0.25">
      <c r="A297" s="178">
        <f>Données!A297</f>
        <v>5930</v>
      </c>
      <c r="B297" s="358" t="str">
        <f>Données!B297</f>
        <v>Suscévaz</v>
      </c>
      <c r="C297" s="178">
        <f>Données!AR297</f>
        <v>1</v>
      </c>
      <c r="D297" s="359">
        <f>Données!Z297</f>
        <v>204</v>
      </c>
      <c r="E297" s="131">
        <f>Données!X297</f>
        <v>72</v>
      </c>
      <c r="F297" s="31">
        <f>VPI!L297</f>
        <v>383910.60952464497</v>
      </c>
      <c r="G297" s="8">
        <f t="shared" si="24"/>
        <v>10664.183597906806</v>
      </c>
      <c r="H297" s="26">
        <f t="shared" si="21"/>
        <v>17342.172240811418</v>
      </c>
      <c r="I297" s="8">
        <f t="shared" si="22"/>
        <v>0</v>
      </c>
      <c r="J297" s="8">
        <f>VPI!R297</f>
        <v>5767.7688822867358</v>
      </c>
      <c r="K297" s="239">
        <f t="shared" si="25"/>
        <v>7459.8030061031932</v>
      </c>
      <c r="L297" s="347">
        <f t="shared" si="23"/>
        <v>7459.8030061031932</v>
      </c>
      <c r="M297" s="132"/>
      <c r="N297" s="133"/>
      <c r="O297" s="130"/>
      <c r="P297" s="130"/>
      <c r="Q297" s="134"/>
    </row>
    <row r="298" spans="1:17" s="129" customFormat="1" x14ac:dyDescent="0.25">
      <c r="A298" s="178">
        <f>Données!A298</f>
        <v>5931</v>
      </c>
      <c r="B298" s="358" t="str">
        <f>Données!B298</f>
        <v>Treycovagnes</v>
      </c>
      <c r="C298" s="178">
        <f>Données!AR298</f>
        <v>1</v>
      </c>
      <c r="D298" s="359">
        <f>Données!Z298</f>
        <v>485</v>
      </c>
      <c r="E298" s="131">
        <f>Données!X298</f>
        <v>75</v>
      </c>
      <c r="F298" s="31">
        <f>VPI!L298</f>
        <v>1073873.7274283429</v>
      </c>
      <c r="G298" s="8">
        <f t="shared" si="24"/>
        <v>28636.632731422476</v>
      </c>
      <c r="H298" s="26">
        <f t="shared" si="21"/>
        <v>41230.164396046755</v>
      </c>
      <c r="I298" s="8">
        <f t="shared" si="22"/>
        <v>0</v>
      </c>
      <c r="J298" s="8">
        <f>VPI!R298</f>
        <v>15378.452365711239</v>
      </c>
      <c r="K298" s="239">
        <f t="shared" si="25"/>
        <v>19889.879003172638</v>
      </c>
      <c r="L298" s="347">
        <f t="shared" si="23"/>
        <v>19889.879003172638</v>
      </c>
      <c r="M298" s="132"/>
      <c r="N298" s="133"/>
      <c r="O298" s="130"/>
      <c r="P298" s="130"/>
      <c r="Q298" s="134"/>
    </row>
    <row r="299" spans="1:17" s="129" customFormat="1" x14ac:dyDescent="0.25">
      <c r="A299" s="178">
        <f>Données!A299</f>
        <v>5932</v>
      </c>
      <c r="B299" s="358" t="str">
        <f>Données!B299</f>
        <v>Ursins</v>
      </c>
      <c r="C299" s="178">
        <f>Données!AR299</f>
        <v>0</v>
      </c>
      <c r="D299" s="359">
        <f>Données!Z299</f>
        <v>238</v>
      </c>
      <c r="E299" s="131">
        <f>Données!X299</f>
        <v>75</v>
      </c>
      <c r="F299" s="31">
        <f>VPI!L299</f>
        <v>476169.34578893462</v>
      </c>
      <c r="G299" s="8">
        <f t="shared" si="24"/>
        <v>12697.849221038256</v>
      </c>
      <c r="H299" s="26">
        <f t="shared" si="21"/>
        <v>20232.534280946657</v>
      </c>
      <c r="I299" s="8">
        <f t="shared" si="22"/>
        <v>12697.849221038256</v>
      </c>
      <c r="J299" s="8">
        <f>VPI!R299</f>
        <v>6819.2739438524613</v>
      </c>
      <c r="K299" s="239">
        <f t="shared" si="25"/>
        <v>8819.7778558740156</v>
      </c>
      <c r="L299" s="347">
        <f t="shared" si="23"/>
        <v>21517.627076912271</v>
      </c>
      <c r="M299" s="132"/>
      <c r="N299" s="133"/>
      <c r="O299" s="130"/>
      <c r="P299" s="130"/>
      <c r="Q299" s="134"/>
    </row>
    <row r="300" spans="1:17" s="129" customFormat="1" x14ac:dyDescent="0.25">
      <c r="A300" s="178">
        <f>Données!A300</f>
        <v>5933</v>
      </c>
      <c r="B300" s="358" t="str">
        <f>Données!B300</f>
        <v>Valeyres-sous-Montagny</v>
      </c>
      <c r="C300" s="178">
        <f>Données!AR300</f>
        <v>0</v>
      </c>
      <c r="D300" s="359">
        <f>Données!Z300</f>
        <v>714</v>
      </c>
      <c r="E300" s="131">
        <f>Données!X300</f>
        <v>70.5</v>
      </c>
      <c r="F300" s="31">
        <f>VPI!L300</f>
        <v>1468260.6919258861</v>
      </c>
      <c r="G300" s="8">
        <f t="shared" si="24"/>
        <v>41652.785586549959</v>
      </c>
      <c r="H300" s="26">
        <f t="shared" si="21"/>
        <v>60697.602842839966</v>
      </c>
      <c r="I300" s="8">
        <f t="shared" si="22"/>
        <v>41652.785586549959</v>
      </c>
      <c r="J300" s="8">
        <f>VPI!R300</f>
        <v>22563.405559232429</v>
      </c>
      <c r="K300" s="239">
        <f t="shared" si="25"/>
        <v>29182.611864980739</v>
      </c>
      <c r="L300" s="347">
        <f t="shared" si="23"/>
        <v>70835.397451530705</v>
      </c>
      <c r="M300" s="132"/>
      <c r="N300" s="133"/>
      <c r="O300" s="130"/>
      <c r="P300" s="130"/>
      <c r="Q300" s="134"/>
    </row>
    <row r="301" spans="1:17" s="129" customFormat="1" x14ac:dyDescent="0.25">
      <c r="A301" s="178">
        <f>Données!A301</f>
        <v>5934</v>
      </c>
      <c r="B301" s="358" t="str">
        <f>Données!B301</f>
        <v>Valeyres-sous-Ursins</v>
      </c>
      <c r="C301" s="178">
        <f>Données!AR301</f>
        <v>0</v>
      </c>
      <c r="D301" s="359">
        <f>Données!Z301</f>
        <v>241</v>
      </c>
      <c r="E301" s="131">
        <f>Données!X301</f>
        <v>79</v>
      </c>
      <c r="F301" s="31">
        <f>VPI!L301</f>
        <v>569140.41999999993</v>
      </c>
      <c r="G301" s="8">
        <f t="shared" si="24"/>
        <v>14408.618227848099</v>
      </c>
      <c r="H301" s="26">
        <f t="shared" si="21"/>
        <v>20487.566225664472</v>
      </c>
      <c r="I301" s="8">
        <f t="shared" si="22"/>
        <v>14408.618227848099</v>
      </c>
      <c r="J301" s="8">
        <f>VPI!R301</f>
        <v>7577.6382278481005</v>
      </c>
      <c r="K301" s="239">
        <f t="shared" si="25"/>
        <v>9800.616076151151</v>
      </c>
      <c r="L301" s="347">
        <f t="shared" si="23"/>
        <v>24209.234303999248</v>
      </c>
      <c r="M301" s="132"/>
      <c r="N301" s="133"/>
      <c r="O301" s="130"/>
      <c r="P301" s="130"/>
      <c r="Q301" s="134"/>
    </row>
    <row r="302" spans="1:17" s="129" customFormat="1" x14ac:dyDescent="0.25">
      <c r="A302" s="178">
        <f>Données!A302</f>
        <v>5935</v>
      </c>
      <c r="B302" s="358" t="str">
        <f>Données!B302</f>
        <v>Villars-Epeney</v>
      </c>
      <c r="C302" s="178">
        <f>Données!AR302</f>
        <v>0</v>
      </c>
      <c r="D302" s="359">
        <f>Données!Z302</f>
        <v>101</v>
      </c>
      <c r="E302" s="131">
        <f>Données!X302</f>
        <v>60</v>
      </c>
      <c r="F302" s="31">
        <f>VPI!L302</f>
        <v>216044.72128275016</v>
      </c>
      <c r="G302" s="8">
        <f t="shared" si="24"/>
        <v>7201.4907094250057</v>
      </c>
      <c r="H302" s="26">
        <f t="shared" si="21"/>
        <v>8586.075472166438</v>
      </c>
      <c r="I302" s="8">
        <f t="shared" si="22"/>
        <v>7201.4907094250057</v>
      </c>
      <c r="J302" s="8">
        <f>VPI!R302</f>
        <v>3928.0620213791694</v>
      </c>
      <c r="K302" s="239">
        <f t="shared" si="25"/>
        <v>5080.3992797344172</v>
      </c>
      <c r="L302" s="347">
        <f t="shared" si="23"/>
        <v>12281.889989159423</v>
      </c>
      <c r="M302" s="132"/>
      <c r="N302" s="133"/>
      <c r="O302" s="130"/>
      <c r="P302" s="130"/>
      <c r="Q302" s="134"/>
    </row>
    <row r="303" spans="1:17" s="129" customFormat="1" x14ac:dyDescent="0.25">
      <c r="A303" s="178">
        <f>Données!A303</f>
        <v>5937</v>
      </c>
      <c r="B303" s="358" t="str">
        <f>Données!B303</f>
        <v>Vugelles-La Mothe</v>
      </c>
      <c r="C303" s="178">
        <f>Données!AR303</f>
        <v>0</v>
      </c>
      <c r="D303" s="359">
        <f>Données!Z303</f>
        <v>138</v>
      </c>
      <c r="E303" s="131">
        <f>Données!X303</f>
        <v>70</v>
      </c>
      <c r="F303" s="31">
        <f>VPI!L303</f>
        <v>207012.54492226167</v>
      </c>
      <c r="G303" s="8">
        <f t="shared" si="24"/>
        <v>5914.6441406360482</v>
      </c>
      <c r="H303" s="26">
        <f t="shared" si="21"/>
        <v>11731.46945701949</v>
      </c>
      <c r="I303" s="8">
        <f t="shared" si="22"/>
        <v>5914.6441406360482</v>
      </c>
      <c r="J303" s="8">
        <f>VPI!R303</f>
        <v>3185.9394172567995</v>
      </c>
      <c r="K303" s="239">
        <f t="shared" si="25"/>
        <v>4120.5674026058205</v>
      </c>
      <c r="L303" s="347">
        <f t="shared" si="23"/>
        <v>10035.211543241869</v>
      </c>
      <c r="M303" s="132"/>
      <c r="N303" s="133"/>
      <c r="O303" s="130"/>
      <c r="P303" s="130"/>
      <c r="Q303" s="134"/>
    </row>
    <row r="304" spans="1:17" s="129" customFormat="1" x14ac:dyDescent="0.25">
      <c r="A304" s="178">
        <f>Données!A304</f>
        <v>5938</v>
      </c>
      <c r="B304" s="358" t="str">
        <f>Données!B304</f>
        <v>Yverdon-les-Bains</v>
      </c>
      <c r="C304" s="178">
        <f>Données!AR304</f>
        <v>1</v>
      </c>
      <c r="D304" s="359">
        <f>Données!Z304</f>
        <v>29981</v>
      </c>
      <c r="E304" s="131">
        <f>Données!X304</f>
        <v>75</v>
      </c>
      <c r="F304" s="31">
        <f>VPI!L304</f>
        <v>54641232.535546809</v>
      </c>
      <c r="G304" s="8">
        <f t="shared" si="24"/>
        <v>1457099.5342812482</v>
      </c>
      <c r="H304" s="26">
        <f t="shared" si="21"/>
        <v>2548704.2448616037</v>
      </c>
      <c r="I304" s="8">
        <f t="shared" si="22"/>
        <v>0</v>
      </c>
      <c r="J304" s="8">
        <f>VPI!R304</f>
        <v>794891.37980729085</v>
      </c>
      <c r="K304" s="239">
        <f t="shared" si="25"/>
        <v>1028080.9140641214</v>
      </c>
      <c r="L304" s="347">
        <f t="shared" si="23"/>
        <v>1028080.9140641214</v>
      </c>
      <c r="M304" s="132"/>
      <c r="N304" s="133"/>
      <c r="O304" s="130"/>
      <c r="P304" s="130"/>
      <c r="Q304" s="134"/>
    </row>
    <row r="305" spans="1:17" s="129" customFormat="1" x14ac:dyDescent="0.25">
      <c r="A305" s="179">
        <f>Données!A305</f>
        <v>5939</v>
      </c>
      <c r="B305" s="358" t="str">
        <f>Données!B305</f>
        <v>Yvonand</v>
      </c>
      <c r="C305" s="179">
        <f>Données!AR305</f>
        <v>0</v>
      </c>
      <c r="D305" s="359">
        <f>Données!Z305</f>
        <v>3467</v>
      </c>
      <c r="E305" s="131">
        <f>Données!X305</f>
        <v>71.5</v>
      </c>
      <c r="F305" s="31">
        <f>VPI!L305</f>
        <v>6065336.1796420654</v>
      </c>
      <c r="G305" s="228">
        <f t="shared" si="24"/>
        <v>169659.75327670114</v>
      </c>
      <c r="H305" s="70">
        <f t="shared" si="21"/>
        <v>294731.91744555486</v>
      </c>
      <c r="I305" s="8">
        <f t="shared" si="22"/>
        <v>169659.75327670114</v>
      </c>
      <c r="J305" s="228">
        <f>VPI!R305</f>
        <v>92828.645169819079</v>
      </c>
      <c r="K305" s="51">
        <f t="shared" si="25"/>
        <v>120060.87976530632</v>
      </c>
      <c r="L305" s="348">
        <f t="shared" si="23"/>
        <v>289720.63304200745</v>
      </c>
      <c r="M305" s="132"/>
      <c r="N305" s="133"/>
      <c r="O305" s="130"/>
      <c r="P305" s="130"/>
      <c r="Q305" s="134"/>
    </row>
    <row r="306" spans="1:17" s="129" customFormat="1" x14ac:dyDescent="0.25">
      <c r="A306" s="25"/>
      <c r="B306" s="74">
        <f>COUNTA(B6:B305)</f>
        <v>300</v>
      </c>
      <c r="C306" s="179">
        <f>SUM(C6:C305)</f>
        <v>51</v>
      </c>
      <c r="D306" s="140">
        <f>SUM(D6:D305)</f>
        <v>815300</v>
      </c>
      <c r="E306" s="140"/>
      <c r="F306" s="140">
        <f t="shared" ref="F306:J306" si="26">SUM(F6:F305)</f>
        <v>2340963181.0500002</v>
      </c>
      <c r="G306" s="144">
        <f>SUM(G6:G305)</f>
        <v>69309181.509478182</v>
      </c>
      <c r="H306" s="140">
        <f t="shared" si="26"/>
        <v>69309181.509478182</v>
      </c>
      <c r="I306" s="140">
        <f t="shared" si="26"/>
        <v>22338522.50503115</v>
      </c>
      <c r="J306" s="144">
        <f t="shared" si="26"/>
        <v>37643741.933631986</v>
      </c>
      <c r="K306" s="144">
        <f>SUM(K4:K305)</f>
        <v>48686920.788329147</v>
      </c>
      <c r="L306" s="417">
        <f>SUM(L6:L305)</f>
        <v>71025442.000000045</v>
      </c>
      <c r="M306" s="130"/>
      <c r="N306" s="270"/>
      <c r="O306" s="130"/>
      <c r="P306" s="130"/>
    </row>
    <row r="307" spans="1:17" s="129" customFormat="1" x14ac:dyDescent="0.25">
      <c r="A307" s="128"/>
      <c r="B307" s="128"/>
      <c r="C307" s="128"/>
      <c r="D307" s="128"/>
      <c r="E307" s="128"/>
      <c r="F307" s="128"/>
      <c r="G307" s="128"/>
      <c r="H307" s="143"/>
      <c r="I307" s="128"/>
      <c r="J307" s="135"/>
      <c r="K307" s="128"/>
      <c r="L307" s="135"/>
      <c r="M307" s="128"/>
      <c r="N307" s="130"/>
      <c r="P307" s="130"/>
      <c r="Q307" s="130"/>
    </row>
    <row r="308" spans="1:17" x14ac:dyDescent="0.25">
      <c r="H308" s="143"/>
      <c r="I308" s="143"/>
      <c r="J308" s="143"/>
      <c r="K308" s="143"/>
      <c r="L308" s="233"/>
      <c r="M308" s="143"/>
    </row>
  </sheetData>
  <sheetProtection sheet="1" objects="1" scenarios="1"/>
  <protectedRanges>
    <protectedRange sqref="C6:C305" name="Plage1"/>
  </protectedRanges>
  <mergeCells count="11">
    <mergeCell ref="E1:F1"/>
    <mergeCell ref="L4:L5"/>
    <mergeCell ref="B4:B5"/>
    <mergeCell ref="A4:A5"/>
    <mergeCell ref="J4:J5"/>
    <mergeCell ref="I4:I5"/>
    <mergeCell ref="H4:H5"/>
    <mergeCell ref="F4:F5"/>
    <mergeCell ref="E4:E5"/>
    <mergeCell ref="C4:C5"/>
    <mergeCell ref="G4:G5"/>
  </mergeCells>
  <hyperlinks>
    <hyperlink ref="C1" location="Taux!A1" display="← Précédent" xr:uid="{C8901635-E034-47DD-93A2-BAA21240173B}"/>
    <hyperlink ref="E1:F1" location="Synthèse!A1" display="Suivant →" xr:uid="{E0670AFE-D86B-4F7C-A3A7-5583CCD7E9BB}"/>
    <hyperlink ref="D1" location="'Table des matières'!A1" display="Table des             matières" xr:uid="{47FAC582-202D-4B6D-B66A-647C53FD6C30}"/>
  </hyperlink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theme="3" tint="0.59999389629810485"/>
  </sheetPr>
  <dimension ref="A1:J308"/>
  <sheetViews>
    <sheetView topLeftCell="A275" workbookViewId="0">
      <selection activeCell="I278" sqref="I278"/>
    </sheetView>
  </sheetViews>
  <sheetFormatPr baseColWidth="10" defaultColWidth="10.75" defaultRowHeight="15" x14ac:dyDescent="0.25"/>
  <cols>
    <col min="1" max="1" width="7.5" style="11" customWidth="1"/>
    <col min="2" max="2" width="20.875" style="11" customWidth="1"/>
    <col min="3" max="3" width="7.5" style="13" customWidth="1"/>
    <col min="4" max="4" width="10.5" style="85" customWidth="1"/>
    <col min="5" max="5" width="16.125" style="85" customWidth="1"/>
    <col min="6" max="6" width="12.5" style="11" customWidth="1"/>
    <col min="7" max="7" width="15.625" style="11" customWidth="1"/>
    <col min="8" max="8" width="10.25" style="220" customWidth="1"/>
    <col min="9" max="9" width="11.5" style="11" customWidth="1"/>
    <col min="10" max="10" width="10.75" style="11" customWidth="1"/>
    <col min="11" max="16384" width="10.75" style="11"/>
  </cols>
  <sheetData>
    <row r="1" spans="1:10" s="33" customFormat="1" ht="26.25" x14ac:dyDescent="0.2">
      <c r="A1" s="299" t="s">
        <v>432</v>
      </c>
      <c r="B1" s="300"/>
      <c r="C1" s="415" t="s">
        <v>409</v>
      </c>
      <c r="D1" s="312" t="s">
        <v>401</v>
      </c>
      <c r="E1" s="307" t="s">
        <v>410</v>
      </c>
      <c r="F1" s="302"/>
      <c r="G1" s="49"/>
      <c r="H1" s="222"/>
      <c r="I1" s="49"/>
    </row>
    <row r="2" spans="1:10" s="33" customFormat="1" ht="15.75" x14ac:dyDescent="0.2">
      <c r="A2" s="361" t="str">
        <f>Paramètres!B4</f>
        <v>Acomptes 2022</v>
      </c>
      <c r="C2" s="80"/>
      <c r="D2" s="167"/>
      <c r="E2" s="167"/>
      <c r="F2" s="49"/>
      <c r="G2" s="49"/>
      <c r="H2" s="222"/>
      <c r="I2" s="49"/>
      <c r="J2" s="49"/>
    </row>
    <row r="3" spans="1:10" x14ac:dyDescent="0.25">
      <c r="D3" s="11"/>
      <c r="E3" s="11"/>
    </row>
    <row r="4" spans="1:10" ht="53.25" customHeight="1" x14ac:dyDescent="0.25">
      <c r="A4" s="606" t="s">
        <v>44</v>
      </c>
      <c r="B4" s="606" t="s">
        <v>84</v>
      </c>
      <c r="C4" s="601" t="s">
        <v>302</v>
      </c>
      <c r="D4" s="659" t="s">
        <v>258</v>
      </c>
      <c r="E4" s="659" t="s">
        <v>417</v>
      </c>
      <c r="F4" s="661" t="s">
        <v>278</v>
      </c>
      <c r="G4" s="663" t="s">
        <v>397</v>
      </c>
      <c r="H4" s="657" t="s">
        <v>414</v>
      </c>
      <c r="I4" s="659" t="s">
        <v>124</v>
      </c>
    </row>
    <row r="5" spans="1:10" ht="14.25" customHeight="1" x14ac:dyDescent="0.25">
      <c r="A5" s="607"/>
      <c r="B5" s="607"/>
      <c r="C5" s="603"/>
      <c r="D5" s="660"/>
      <c r="E5" s="660"/>
      <c r="F5" s="662"/>
      <c r="G5" s="664"/>
      <c r="H5" s="658"/>
      <c r="I5" s="660"/>
    </row>
    <row r="6" spans="1:10" s="87" customFormat="1" x14ac:dyDescent="0.25">
      <c r="A6" s="404">
        <f>Données!A6</f>
        <v>5401</v>
      </c>
      <c r="B6" s="403" t="str">
        <f>Données!B6</f>
        <v>Aigle</v>
      </c>
      <c r="C6" s="407">
        <f>VPI!Q6</f>
        <v>66</v>
      </c>
      <c r="D6" s="411">
        <f>Données!Z6</f>
        <v>10518</v>
      </c>
      <c r="E6" s="180">
        <f>VPI!R6</f>
        <v>283957.57045177044</v>
      </c>
      <c r="F6" s="336">
        <f>'Péréquation directe'!K12</f>
        <v>-6703272.993908369</v>
      </c>
      <c r="G6" s="526">
        <f>PCS!I12</f>
        <v>5242465.4664148707</v>
      </c>
      <c r="H6" s="346">
        <f>'Facture policière'!L6</f>
        <v>367259.43443525274</v>
      </c>
      <c r="I6" s="489">
        <f>SUM(F6:H6)</f>
        <v>-1093548.0930582455</v>
      </c>
      <c r="J6" s="182"/>
    </row>
    <row r="7" spans="1:10" s="87" customFormat="1" x14ac:dyDescent="0.25">
      <c r="A7" s="405">
        <f>Données!A7</f>
        <v>5402</v>
      </c>
      <c r="B7" s="409" t="str">
        <f>Données!B7</f>
        <v>Bex</v>
      </c>
      <c r="C7" s="407">
        <f>VPI!Q7</f>
        <v>71</v>
      </c>
      <c r="D7" s="412">
        <f>Données!Z7</f>
        <v>7828</v>
      </c>
      <c r="E7" s="180">
        <f>VPI!R7</f>
        <v>178942.44507064961</v>
      </c>
      <c r="F7" s="317">
        <f>'Péréquation directe'!K13</f>
        <v>-5797488.9742594687</v>
      </c>
      <c r="G7" s="330">
        <f>PCS!I13</f>
        <v>3231029.6252428126</v>
      </c>
      <c r="H7" s="347">
        <f>'Facture policière'!L7</f>
        <v>231437.04557181426</v>
      </c>
      <c r="I7" s="464">
        <f t="shared" ref="I7:I70" si="0">SUM(F7:H7)</f>
        <v>-2335022.3034448419</v>
      </c>
      <c r="J7" s="182"/>
    </row>
    <row r="8" spans="1:10" s="87" customFormat="1" x14ac:dyDescent="0.25">
      <c r="A8" s="405">
        <f>Données!A8</f>
        <v>5403</v>
      </c>
      <c r="B8" s="409" t="str">
        <f>Données!B8</f>
        <v>Chessel</v>
      </c>
      <c r="C8" s="407">
        <f>VPI!Q8</f>
        <v>74</v>
      </c>
      <c r="D8" s="412">
        <f>Données!Z8</f>
        <v>444</v>
      </c>
      <c r="E8" s="180">
        <f>VPI!R8</f>
        <v>10796.246764670586</v>
      </c>
      <c r="F8" s="317">
        <f>'Péréquation directe'!K14</f>
        <v>-76698.041396673128</v>
      </c>
      <c r="G8" s="330">
        <f>PCS!I14</f>
        <v>216364.31626166109</v>
      </c>
      <c r="H8" s="347">
        <f>'Facture policière'!L8</f>
        <v>33128.989408220892</v>
      </c>
      <c r="I8" s="464">
        <f t="shared" si="0"/>
        <v>172795.26427320886</v>
      </c>
      <c r="J8" s="182"/>
    </row>
    <row r="9" spans="1:10" s="87" customFormat="1" x14ac:dyDescent="0.25">
      <c r="A9" s="405">
        <f>Données!A9</f>
        <v>5404</v>
      </c>
      <c r="B9" s="409" t="str">
        <f>Données!B9</f>
        <v>Corbeyrier</v>
      </c>
      <c r="C9" s="407">
        <f>VPI!Q9</f>
        <v>74</v>
      </c>
      <c r="D9" s="412">
        <f>Données!Z9</f>
        <v>445</v>
      </c>
      <c r="E9" s="180">
        <f>VPI!R9</f>
        <v>11266.447111519699</v>
      </c>
      <c r="F9" s="317">
        <f>'Péréquation directe'!K15</f>
        <v>-174946.23227387224</v>
      </c>
      <c r="G9" s="330">
        <f>PCS!I15</f>
        <v>224900.53210058011</v>
      </c>
      <c r="H9" s="347">
        <f>'Facture policière'!L9</f>
        <v>34631.765026765701</v>
      </c>
      <c r="I9" s="464">
        <f t="shared" si="0"/>
        <v>84586.064853473566</v>
      </c>
      <c r="J9" s="182"/>
    </row>
    <row r="10" spans="1:10" s="87" customFormat="1" x14ac:dyDescent="0.25">
      <c r="A10" s="405">
        <f>Données!A10</f>
        <v>5405</v>
      </c>
      <c r="B10" s="409" t="str">
        <f>Données!B10</f>
        <v>Gryon</v>
      </c>
      <c r="C10" s="407">
        <f>VPI!Q10</f>
        <v>73.5</v>
      </c>
      <c r="D10" s="412">
        <f>Données!Z10</f>
        <v>1378</v>
      </c>
      <c r="E10" s="180">
        <f>VPI!R10</f>
        <v>68176.099678718238</v>
      </c>
      <c r="F10" s="317">
        <f>'Péréquation directe'!K16</f>
        <v>192392.73232259462</v>
      </c>
      <c r="G10" s="330">
        <f>PCS!I16</f>
        <v>1485066.8139834227</v>
      </c>
      <c r="H10" s="347">
        <f>'Facture policière'!L10</f>
        <v>205320.93062854599</v>
      </c>
      <c r="I10" s="464">
        <f t="shared" si="0"/>
        <v>1882780.4769345634</v>
      </c>
      <c r="J10" s="182"/>
    </row>
    <row r="11" spans="1:10" s="87" customFormat="1" x14ac:dyDescent="0.25">
      <c r="A11" s="405">
        <f>Données!A11</f>
        <v>5406</v>
      </c>
      <c r="B11" s="409" t="str">
        <f>Données!B11</f>
        <v>Lavey-Morcles</v>
      </c>
      <c r="C11" s="407">
        <f>VPI!Q11</f>
        <v>71.5</v>
      </c>
      <c r="D11" s="412">
        <f>Données!Z11</f>
        <v>944</v>
      </c>
      <c r="E11" s="180">
        <f>VPI!R11</f>
        <v>21824.791081856485</v>
      </c>
      <c r="F11" s="317">
        <f>'Péréquation directe'!K17</f>
        <v>-319956.52392409765</v>
      </c>
      <c r="G11" s="330">
        <f>PCS!I17</f>
        <v>423883.55151723477</v>
      </c>
      <c r="H11" s="347">
        <f>'Facture policière'!L11</f>
        <v>67397.577960100229</v>
      </c>
      <c r="I11" s="464">
        <f t="shared" si="0"/>
        <v>171324.60555323734</v>
      </c>
      <c r="J11" s="182"/>
    </row>
    <row r="12" spans="1:10" s="87" customFormat="1" x14ac:dyDescent="0.25">
      <c r="A12" s="405">
        <f>Données!A12</f>
        <v>5407</v>
      </c>
      <c r="B12" s="409" t="str">
        <f>Données!B12</f>
        <v>Leysin</v>
      </c>
      <c r="C12" s="407">
        <f>VPI!Q12</f>
        <v>78</v>
      </c>
      <c r="D12" s="412">
        <f>Données!Z12</f>
        <v>3645</v>
      </c>
      <c r="E12" s="180">
        <f>VPI!R12</f>
        <v>90748.112777121743</v>
      </c>
      <c r="F12" s="317">
        <f>'Péréquation directe'!K18</f>
        <v>-3002707.9744373988</v>
      </c>
      <c r="G12" s="330">
        <f>PCS!I18</f>
        <v>1719121.0059753601</v>
      </c>
      <c r="H12" s="347">
        <f>'Facture policière'!L12</f>
        <v>275880.78468802915</v>
      </c>
      <c r="I12" s="464">
        <f t="shared" si="0"/>
        <v>-1007706.1837740096</v>
      </c>
      <c r="J12" s="182"/>
    </row>
    <row r="13" spans="1:10" s="87" customFormat="1" x14ac:dyDescent="0.25">
      <c r="A13" s="405">
        <f>Données!A13</f>
        <v>5408</v>
      </c>
      <c r="B13" s="409" t="str">
        <f>Données!B13</f>
        <v>Noville</v>
      </c>
      <c r="C13" s="407">
        <f>VPI!Q13</f>
        <v>78.5</v>
      </c>
      <c r="D13" s="412">
        <f>Données!Z13</f>
        <v>1170</v>
      </c>
      <c r="E13" s="180">
        <f>VPI!R13</f>
        <v>43666.640444665623</v>
      </c>
      <c r="F13" s="317">
        <f>'Péréquation directe'!K19</f>
        <v>247902.80634150456</v>
      </c>
      <c r="G13" s="330">
        <f>PCS!I19</f>
        <v>791520.62295515393</v>
      </c>
      <c r="H13" s="347">
        <f>'Facture policière'!L13</f>
        <v>134401.1745139077</v>
      </c>
      <c r="I13" s="464">
        <f t="shared" si="0"/>
        <v>1173824.6038105662</v>
      </c>
      <c r="J13" s="182"/>
    </row>
    <row r="14" spans="1:10" s="87" customFormat="1" x14ac:dyDescent="0.25">
      <c r="A14" s="405">
        <f>Données!A14</f>
        <v>5409</v>
      </c>
      <c r="B14" s="409" t="str">
        <f>Données!B14</f>
        <v>Ollon</v>
      </c>
      <c r="C14" s="407">
        <f>VPI!Q14</f>
        <v>68</v>
      </c>
      <c r="D14" s="412">
        <f>Données!Z14</f>
        <v>7634</v>
      </c>
      <c r="E14" s="180">
        <f>VPI!R14</f>
        <v>388986.52146492567</v>
      </c>
      <c r="F14" s="317">
        <f>'Péréquation directe'!K20</f>
        <v>1296358.9685021555</v>
      </c>
      <c r="G14" s="330">
        <f>PCS!I20</f>
        <v>7924303.2060555108</v>
      </c>
      <c r="H14" s="347">
        <f>'Facture policière'!L14</f>
        <v>503099.7048216018</v>
      </c>
      <c r="I14" s="464">
        <f t="shared" si="0"/>
        <v>9723761.8793792687</v>
      </c>
      <c r="J14" s="182"/>
    </row>
    <row r="15" spans="1:10" s="87" customFormat="1" x14ac:dyDescent="0.25">
      <c r="A15" s="405">
        <f>Données!A15</f>
        <v>5410</v>
      </c>
      <c r="B15" s="409" t="str">
        <f>Données!B15</f>
        <v>Ormont-Dessous</v>
      </c>
      <c r="C15" s="407">
        <f>VPI!Q15</f>
        <v>77</v>
      </c>
      <c r="D15" s="412">
        <f>Données!Z15</f>
        <v>1180</v>
      </c>
      <c r="E15" s="180">
        <f>VPI!R15</f>
        <v>39516.146697267235</v>
      </c>
      <c r="F15" s="317">
        <f>'Péréquation directe'!K21</f>
        <v>-585574.93709300272</v>
      </c>
      <c r="G15" s="330">
        <f>PCS!I21</f>
        <v>796542.14642458828</v>
      </c>
      <c r="H15" s="347">
        <f>'Facture policière'!L15</f>
        <v>119910.12020344642</v>
      </c>
      <c r="I15" s="464">
        <f t="shared" si="0"/>
        <v>330877.32953503198</v>
      </c>
      <c r="J15" s="182"/>
    </row>
    <row r="16" spans="1:10" s="87" customFormat="1" x14ac:dyDescent="0.25">
      <c r="A16" s="405">
        <f>Données!A16</f>
        <v>5411</v>
      </c>
      <c r="B16" s="409" t="str">
        <f>Données!B16</f>
        <v>Ormont-Dessus</v>
      </c>
      <c r="C16" s="407">
        <f>VPI!Q16</f>
        <v>76</v>
      </c>
      <c r="D16" s="412">
        <f>Données!Z16</f>
        <v>1466</v>
      </c>
      <c r="E16" s="180">
        <f>VPI!R16</f>
        <v>68020.566453850552</v>
      </c>
      <c r="F16" s="317">
        <f>'Péréquation directe'!K22</f>
        <v>88591.652901988942</v>
      </c>
      <c r="G16" s="330">
        <f>PCS!I22</f>
        <v>1461467.5269063266</v>
      </c>
      <c r="H16" s="347">
        <f>'Facture policière'!L16</f>
        <v>202068.40214028442</v>
      </c>
      <c r="I16" s="464">
        <f t="shared" si="0"/>
        <v>1752127.5819486</v>
      </c>
      <c r="J16" s="182"/>
    </row>
    <row r="17" spans="1:10" s="87" customFormat="1" x14ac:dyDescent="0.25">
      <c r="A17" s="405">
        <f>Données!A17</f>
        <v>5412</v>
      </c>
      <c r="B17" s="409" t="str">
        <f>Données!B17</f>
        <v>Rennaz</v>
      </c>
      <c r="C17" s="407">
        <f>VPI!Q17</f>
        <v>69</v>
      </c>
      <c r="D17" s="412">
        <f>Données!Z17</f>
        <v>889</v>
      </c>
      <c r="E17" s="180">
        <f>VPI!R17</f>
        <v>24252.718750309756</v>
      </c>
      <c r="F17" s="317">
        <f>'Péréquation directe'!K23</f>
        <v>-54307.997738743725</v>
      </c>
      <c r="G17" s="330">
        <f>PCS!I23</f>
        <v>657071.50747431221</v>
      </c>
      <c r="H17" s="347">
        <f>'Facture policière'!L17</f>
        <v>72381.703665607987</v>
      </c>
      <c r="I17" s="464">
        <f t="shared" si="0"/>
        <v>675145.21340117638</v>
      </c>
      <c r="J17" s="182"/>
    </row>
    <row r="18" spans="1:10" s="87" customFormat="1" x14ac:dyDescent="0.25">
      <c r="A18" s="405">
        <f>Données!A18</f>
        <v>5413</v>
      </c>
      <c r="B18" s="409" t="str">
        <f>Données!B18</f>
        <v>Roche</v>
      </c>
      <c r="C18" s="407">
        <f>VPI!Q18</f>
        <v>68</v>
      </c>
      <c r="D18" s="412">
        <f>Données!Z18</f>
        <v>1868</v>
      </c>
      <c r="E18" s="180">
        <f>VPI!R18</f>
        <v>47951.627432220594</v>
      </c>
      <c r="F18" s="317">
        <f>'Péréquation directe'!K24</f>
        <v>-214387.67361201195</v>
      </c>
      <c r="G18" s="330">
        <f>PCS!I24</f>
        <v>922903.41247738898</v>
      </c>
      <c r="H18" s="347">
        <f>'Facture policière'!L18</f>
        <v>148118.73348432482</v>
      </c>
      <c r="I18" s="464">
        <f t="shared" si="0"/>
        <v>856634.47234970191</v>
      </c>
      <c r="J18" s="182"/>
    </row>
    <row r="19" spans="1:10" s="87" customFormat="1" x14ac:dyDescent="0.25">
      <c r="A19" s="405">
        <f>Données!A19</f>
        <v>5414</v>
      </c>
      <c r="B19" s="409" t="str">
        <f>Données!B19</f>
        <v>Villeneuve</v>
      </c>
      <c r="C19" s="407">
        <f>VPI!Q19</f>
        <v>67.5</v>
      </c>
      <c r="D19" s="412">
        <f>Données!Z19</f>
        <v>5837</v>
      </c>
      <c r="E19" s="180">
        <f>VPI!R19</f>
        <v>159309.32612133506</v>
      </c>
      <c r="F19" s="317">
        <f>'Péréquation directe'!K25</f>
        <v>-3705109.2820544061</v>
      </c>
      <c r="G19" s="330">
        <f>PCS!I25</f>
        <v>3206008.0831986954</v>
      </c>
      <c r="H19" s="347">
        <f>'Facture policière'!L19</f>
        <v>483082.67921021965</v>
      </c>
      <c r="I19" s="464">
        <f t="shared" si="0"/>
        <v>-16018.519645491033</v>
      </c>
      <c r="J19" s="182"/>
    </row>
    <row r="20" spans="1:10" s="87" customFormat="1" x14ac:dyDescent="0.25">
      <c r="A20" s="405">
        <f>Données!A20</f>
        <v>5415</v>
      </c>
      <c r="B20" s="409" t="str">
        <f>Données!B20</f>
        <v>Yvorne</v>
      </c>
      <c r="C20" s="407">
        <f>VPI!Q20</f>
        <v>71.5</v>
      </c>
      <c r="D20" s="412">
        <f>Données!Z20</f>
        <v>1070</v>
      </c>
      <c r="E20" s="180">
        <f>VPI!R20</f>
        <v>38141.091526902295</v>
      </c>
      <c r="F20" s="317">
        <f>'Péréquation directe'!K26</f>
        <v>174261.76155256515</v>
      </c>
      <c r="G20" s="330">
        <f>PCS!I26</f>
        <v>740169.38698677777</v>
      </c>
      <c r="H20" s="347">
        <f>'Facture policière'!L20</f>
        <v>118591.9081232376</v>
      </c>
      <c r="I20" s="464">
        <f t="shared" si="0"/>
        <v>1033023.0566625805</v>
      </c>
      <c r="J20" s="182"/>
    </row>
    <row r="21" spans="1:10" s="87" customFormat="1" x14ac:dyDescent="0.25">
      <c r="A21" s="405">
        <f>Données!A21</f>
        <v>5422</v>
      </c>
      <c r="B21" s="409" t="str">
        <f>Données!B21</f>
        <v>Aubonne</v>
      </c>
      <c r="C21" s="407">
        <f>VPI!Q21</f>
        <v>68.92</v>
      </c>
      <c r="D21" s="412">
        <f>Données!Z21</f>
        <v>3764</v>
      </c>
      <c r="E21" s="180">
        <f>VPI!R21</f>
        <v>257139.62131053992</v>
      </c>
      <c r="F21" s="317">
        <f>'Péréquation directe'!K27</f>
        <v>3728559.8654237133</v>
      </c>
      <c r="G21" s="330">
        <f>PCS!I27</f>
        <v>6122289.0859540235</v>
      </c>
      <c r="H21" s="347">
        <f>'Facture policière'!L21</f>
        <v>652554.24499014835</v>
      </c>
      <c r="I21" s="464">
        <f t="shared" si="0"/>
        <v>10503403.196367884</v>
      </c>
      <c r="J21" s="182"/>
    </row>
    <row r="22" spans="1:10" s="87" customFormat="1" x14ac:dyDescent="0.25">
      <c r="A22" s="405">
        <f>Données!A22</f>
        <v>5423</v>
      </c>
      <c r="B22" s="409" t="str">
        <f>Données!B22</f>
        <v>Ballens</v>
      </c>
      <c r="C22" s="407">
        <f>VPI!Q22</f>
        <v>73</v>
      </c>
      <c r="D22" s="412">
        <f>Données!Z22</f>
        <v>562</v>
      </c>
      <c r="E22" s="180">
        <f>VPI!R22</f>
        <v>17113.568875479887</v>
      </c>
      <c r="F22" s="317">
        <f>'Péréquation directe'!K28</f>
        <v>-69632.45977488911</v>
      </c>
      <c r="G22" s="330">
        <f>PCS!I28</f>
        <v>288667.18738306605</v>
      </c>
      <c r="H22" s="347">
        <f>'Facture policière'!L22</f>
        <v>54023.329669538842</v>
      </c>
      <c r="I22" s="464">
        <f t="shared" si="0"/>
        <v>273058.05727771576</v>
      </c>
      <c r="J22" s="182"/>
    </row>
    <row r="23" spans="1:10" s="87" customFormat="1" x14ac:dyDescent="0.25">
      <c r="A23" s="405">
        <f>Données!A23</f>
        <v>5424</v>
      </c>
      <c r="B23" s="409" t="str">
        <f>Données!B23</f>
        <v>Berolle</v>
      </c>
      <c r="C23" s="407">
        <f>VPI!Q23</f>
        <v>75.5</v>
      </c>
      <c r="D23" s="412">
        <f>Données!Z23</f>
        <v>313</v>
      </c>
      <c r="E23" s="180">
        <f>VPI!R23</f>
        <v>9114.6527235419599</v>
      </c>
      <c r="F23" s="317">
        <f>'Péréquation directe'!K29</f>
        <v>-32348.374050904415</v>
      </c>
      <c r="G23" s="330">
        <f>PCS!I29</f>
        <v>155035.42709293289</v>
      </c>
      <c r="H23" s="347">
        <f>'Facture policière'!L23</f>
        <v>28661.82438029677</v>
      </c>
      <c r="I23" s="464">
        <f t="shared" si="0"/>
        <v>151348.87742232525</v>
      </c>
      <c r="J23" s="182"/>
    </row>
    <row r="24" spans="1:10" s="87" customFormat="1" x14ac:dyDescent="0.25">
      <c r="A24" s="405">
        <f>Données!A24</f>
        <v>5425</v>
      </c>
      <c r="B24" s="409" t="str">
        <f>Données!B24</f>
        <v>Bière</v>
      </c>
      <c r="C24" s="407">
        <f>VPI!Q24</f>
        <v>69</v>
      </c>
      <c r="D24" s="412">
        <f>Données!Z24</f>
        <v>1627</v>
      </c>
      <c r="E24" s="180">
        <f>VPI!R24</f>
        <v>40150.134165172873</v>
      </c>
      <c r="F24" s="317">
        <f>'Péréquation directe'!K30</f>
        <v>-834062.21192575817</v>
      </c>
      <c r="G24" s="330">
        <f>PCS!I30</f>
        <v>729791.27281768748</v>
      </c>
      <c r="H24" s="347">
        <f>'Facture policière'!L24</f>
        <v>126557.00923295201</v>
      </c>
      <c r="I24" s="464">
        <f t="shared" si="0"/>
        <v>22286.070124881328</v>
      </c>
      <c r="J24" s="182"/>
    </row>
    <row r="25" spans="1:10" s="87" customFormat="1" x14ac:dyDescent="0.25">
      <c r="A25" s="405">
        <f>Données!A25</f>
        <v>5426</v>
      </c>
      <c r="B25" s="409" t="str">
        <f>Données!B25</f>
        <v>Bougy-Villars</v>
      </c>
      <c r="C25" s="407">
        <f>VPI!Q25</f>
        <v>64.5</v>
      </c>
      <c r="D25" s="412">
        <f>Données!Z25</f>
        <v>477</v>
      </c>
      <c r="E25" s="180">
        <f>VPI!R25</f>
        <v>55602.19681468232</v>
      </c>
      <c r="F25" s="317">
        <f>'Péréquation directe'!K31</f>
        <v>1005987.6425808088</v>
      </c>
      <c r="G25" s="330">
        <f>PCS!I31</f>
        <v>1797524.0274296328</v>
      </c>
      <c r="H25" s="347">
        <f>'Facture policière'!L25</f>
        <v>112463.75040766173</v>
      </c>
      <c r="I25" s="464">
        <f t="shared" si="0"/>
        <v>2915975.4204181037</v>
      </c>
      <c r="J25" s="182"/>
    </row>
    <row r="26" spans="1:10" s="87" customFormat="1" x14ac:dyDescent="0.25">
      <c r="A26" s="405">
        <f>Données!A26</f>
        <v>5427</v>
      </c>
      <c r="B26" s="409" t="str">
        <f>Données!B26</f>
        <v>Féchy</v>
      </c>
      <c r="C26" s="407">
        <f>VPI!Q26</f>
        <v>64</v>
      </c>
      <c r="D26" s="412">
        <f>Données!Z26</f>
        <v>869</v>
      </c>
      <c r="E26" s="180">
        <f>VPI!R26</f>
        <v>77005.502299275147</v>
      </c>
      <c r="F26" s="317">
        <f>'Péréquation directe'!K32</f>
        <v>1367390.303785661</v>
      </c>
      <c r="G26" s="330">
        <f>PCS!I32</f>
        <v>1991124.6538460574</v>
      </c>
      <c r="H26" s="347">
        <f>'Facture policière'!L26</f>
        <v>173470.10905935982</v>
      </c>
      <c r="I26" s="464">
        <f t="shared" si="0"/>
        <v>3531985.0666910782</v>
      </c>
      <c r="J26" s="182"/>
    </row>
    <row r="27" spans="1:10" s="87" customFormat="1" x14ac:dyDescent="0.25">
      <c r="A27" s="405">
        <f>Données!A27</f>
        <v>5428</v>
      </c>
      <c r="B27" s="409" t="str">
        <f>Données!B27</f>
        <v>Gimel</v>
      </c>
      <c r="C27" s="407">
        <f>VPI!Q27</f>
        <v>74.5</v>
      </c>
      <c r="D27" s="412">
        <f>Données!Z27</f>
        <v>2307</v>
      </c>
      <c r="E27" s="180">
        <f>VPI!R27</f>
        <v>70160.017528660552</v>
      </c>
      <c r="F27" s="317">
        <f>'Péréquation directe'!K33</f>
        <v>-291406.38345688232</v>
      </c>
      <c r="G27" s="330">
        <f>PCS!I33</f>
        <v>1517092.4699799786</v>
      </c>
      <c r="H27" s="347">
        <f>'Facture policière'!L27</f>
        <v>220404.90305601398</v>
      </c>
      <c r="I27" s="464">
        <f t="shared" si="0"/>
        <v>1446090.9895791104</v>
      </c>
      <c r="J27" s="182"/>
    </row>
    <row r="28" spans="1:10" s="87" customFormat="1" x14ac:dyDescent="0.25">
      <c r="A28" s="405">
        <f>Données!A28</f>
        <v>5429</v>
      </c>
      <c r="B28" s="409" t="str">
        <f>Données!B28</f>
        <v>Longirod</v>
      </c>
      <c r="C28" s="407">
        <f>VPI!Q28</f>
        <v>77.5</v>
      </c>
      <c r="D28" s="412">
        <f>Données!Z28</f>
        <v>494</v>
      </c>
      <c r="E28" s="180">
        <f>VPI!R28</f>
        <v>16136.097907481106</v>
      </c>
      <c r="F28" s="317">
        <f>'Péréquation directe'!K34</f>
        <v>-35055.121151518193</v>
      </c>
      <c r="G28" s="330">
        <f>PCS!I34</f>
        <v>282272.58096702071</v>
      </c>
      <c r="H28" s="347">
        <f>'Facture policière'!L28</f>
        <v>50414.881510302985</v>
      </c>
      <c r="I28" s="464">
        <f t="shared" si="0"/>
        <v>297632.34132580552</v>
      </c>
      <c r="J28" s="182"/>
    </row>
    <row r="29" spans="1:10" s="87" customFormat="1" x14ac:dyDescent="0.25">
      <c r="A29" s="405">
        <f>Données!A29</f>
        <v>5430</v>
      </c>
      <c r="B29" s="409" t="str">
        <f>Données!B29</f>
        <v>Marchissy</v>
      </c>
      <c r="C29" s="407">
        <f>VPI!Q29</f>
        <v>77.5</v>
      </c>
      <c r="D29" s="412">
        <f>Données!Z29</f>
        <v>481</v>
      </c>
      <c r="E29" s="180">
        <f>VPI!R29</f>
        <v>14848.61677419355</v>
      </c>
      <c r="F29" s="317">
        <f>'Péréquation directe'!K35</f>
        <v>-319837.57184691541</v>
      </c>
      <c r="G29" s="330">
        <f>PCS!I35</f>
        <v>260750.61810218601</v>
      </c>
      <c r="H29" s="347">
        <f>'Facture policière'!L29</f>
        <v>46452.486838864905</v>
      </c>
      <c r="I29" s="464">
        <f t="shared" si="0"/>
        <v>-12634.466905864494</v>
      </c>
      <c r="J29" s="182"/>
    </row>
    <row r="30" spans="1:10" s="87" customFormat="1" x14ac:dyDescent="0.25">
      <c r="A30" s="405">
        <f>Données!A30</f>
        <v>5431</v>
      </c>
      <c r="B30" s="409" t="str">
        <f>Données!B30</f>
        <v>Mollens</v>
      </c>
      <c r="C30" s="407">
        <f>VPI!Q30</f>
        <v>74</v>
      </c>
      <c r="D30" s="412">
        <f>Données!Z30</f>
        <v>330</v>
      </c>
      <c r="E30" s="180">
        <f>VPI!R30</f>
        <v>9333.1487396041775</v>
      </c>
      <c r="F30" s="317">
        <f>'Péréquation directe'!K36</f>
        <v>-65470.344534831587</v>
      </c>
      <c r="G30" s="330">
        <f>PCS!I36</f>
        <v>222922.95040311391</v>
      </c>
      <c r="H30" s="347">
        <f>'Facture policière'!L30</f>
        <v>29328.741340773428</v>
      </c>
      <c r="I30" s="464">
        <f t="shared" si="0"/>
        <v>186781.34720905573</v>
      </c>
      <c r="J30" s="182"/>
    </row>
    <row r="31" spans="1:10" s="87" customFormat="1" x14ac:dyDescent="0.25">
      <c r="A31" s="405">
        <f>Données!A31</f>
        <v>5434</v>
      </c>
      <c r="B31" s="409" t="str">
        <f>Données!B31</f>
        <v>Saint-George</v>
      </c>
      <c r="C31" s="407">
        <f>VPI!Q31</f>
        <v>69.5</v>
      </c>
      <c r="D31" s="412">
        <f>Données!Z31</f>
        <v>1074</v>
      </c>
      <c r="E31" s="180">
        <f>VPI!R31</f>
        <v>40791.515913403804</v>
      </c>
      <c r="F31" s="317">
        <f>'Péréquation directe'!K37</f>
        <v>406978.94625167584</v>
      </c>
      <c r="G31" s="330">
        <f>PCS!I37</f>
        <v>710604.82244556118</v>
      </c>
      <c r="H31" s="347">
        <f>'Facture policière'!L31</f>
        <v>127508.55538594126</v>
      </c>
      <c r="I31" s="464">
        <f t="shared" si="0"/>
        <v>1245092.3240831783</v>
      </c>
      <c r="J31" s="182"/>
    </row>
    <row r="32" spans="1:10" s="87" customFormat="1" x14ac:dyDescent="0.25">
      <c r="A32" s="405">
        <f>Données!A32</f>
        <v>5435</v>
      </c>
      <c r="B32" s="409" t="str">
        <f>Données!B32</f>
        <v>Saint-Livres</v>
      </c>
      <c r="C32" s="407">
        <f>VPI!Q32</f>
        <v>69</v>
      </c>
      <c r="D32" s="412">
        <f>Données!Z32</f>
        <v>683</v>
      </c>
      <c r="E32" s="180">
        <f>VPI!R32</f>
        <v>26337.98545829628</v>
      </c>
      <c r="F32" s="317">
        <f>'Péréquation directe'!K38</f>
        <v>280432.95334485662</v>
      </c>
      <c r="G32" s="330">
        <f>PCS!I38</f>
        <v>454252.25768077187</v>
      </c>
      <c r="H32" s="347">
        <f>'Facture policière'!L32</f>
        <v>83092.100472107675</v>
      </c>
      <c r="I32" s="464">
        <f t="shared" si="0"/>
        <v>817777.31149773614</v>
      </c>
      <c r="J32" s="182"/>
    </row>
    <row r="33" spans="1:10" s="87" customFormat="1" x14ac:dyDescent="0.25">
      <c r="A33" s="405">
        <f>Données!A33</f>
        <v>5436</v>
      </c>
      <c r="B33" s="409" t="str">
        <f>Données!B33</f>
        <v>Saint-Oyens</v>
      </c>
      <c r="C33" s="407">
        <f>VPI!Q33</f>
        <v>81</v>
      </c>
      <c r="D33" s="412">
        <f>Données!Z33</f>
        <v>461</v>
      </c>
      <c r="E33" s="180">
        <f>VPI!R33</f>
        <v>16753.686386728143</v>
      </c>
      <c r="F33" s="317">
        <f>'Péréquation directe'!K39</f>
        <v>144976.36115026832</v>
      </c>
      <c r="G33" s="330">
        <f>PCS!I39</f>
        <v>275518.99826225184</v>
      </c>
      <c r="H33" s="347">
        <f>'Facture policière'!L33</f>
        <v>53019.228806817497</v>
      </c>
      <c r="I33" s="464">
        <f t="shared" si="0"/>
        <v>473514.58821933769</v>
      </c>
      <c r="J33" s="182"/>
    </row>
    <row r="34" spans="1:10" s="87" customFormat="1" x14ac:dyDescent="0.25">
      <c r="A34" s="405">
        <f>Données!A34</f>
        <v>5437</v>
      </c>
      <c r="B34" s="409" t="str">
        <f>Données!B34</f>
        <v>Saubraz</v>
      </c>
      <c r="C34" s="407">
        <f>VPI!Q34</f>
        <v>80</v>
      </c>
      <c r="D34" s="412">
        <f>Données!Z34</f>
        <v>423</v>
      </c>
      <c r="E34" s="180">
        <f>VPI!R34</f>
        <v>13378.426818540998</v>
      </c>
      <c r="F34" s="317">
        <f>'Péréquation directe'!K40</f>
        <v>31510.625403960265</v>
      </c>
      <c r="G34" s="330">
        <f>PCS!I40</f>
        <v>249107.48338628683</v>
      </c>
      <c r="H34" s="347">
        <f>'Facture policière'!L34</f>
        <v>42316.044097670157</v>
      </c>
      <c r="I34" s="464">
        <f t="shared" si="0"/>
        <v>322934.1528879173</v>
      </c>
      <c r="J34" s="182"/>
    </row>
    <row r="35" spans="1:10" s="87" customFormat="1" x14ac:dyDescent="0.25">
      <c r="A35" s="405">
        <f>Données!A35</f>
        <v>5451</v>
      </c>
      <c r="B35" s="409" t="str">
        <f>Données!B35</f>
        <v>Avenches</v>
      </c>
      <c r="C35" s="407">
        <f>VPI!Q35</f>
        <v>66.5</v>
      </c>
      <c r="D35" s="412">
        <f>Données!Z35</f>
        <v>4482</v>
      </c>
      <c r="E35" s="180">
        <f>VPI!R35</f>
        <v>128992.08671525712</v>
      </c>
      <c r="F35" s="317">
        <f>'Péréquation directe'!K41</f>
        <v>-1833852.434519581</v>
      </c>
      <c r="G35" s="330">
        <f>PCS!I41</f>
        <v>2355854.8104043007</v>
      </c>
      <c r="H35" s="347">
        <f>'Facture policière'!L35</f>
        <v>390274.70574682317</v>
      </c>
      <c r="I35" s="464">
        <f t="shared" si="0"/>
        <v>912277.08163154288</v>
      </c>
      <c r="J35" s="182"/>
    </row>
    <row r="36" spans="1:10" s="87" customFormat="1" x14ac:dyDescent="0.25">
      <c r="A36" s="405">
        <f>Données!A36</f>
        <v>5456</v>
      </c>
      <c r="B36" s="409" t="str">
        <f>Données!B36</f>
        <v>Cudrefin</v>
      </c>
      <c r="C36" s="407">
        <f>VPI!Q36</f>
        <v>59</v>
      </c>
      <c r="D36" s="412">
        <f>Données!Z36</f>
        <v>1780</v>
      </c>
      <c r="E36" s="180">
        <f>VPI!R36</f>
        <v>64212.312252410848</v>
      </c>
      <c r="F36" s="317">
        <f>'Péréquation directe'!K42</f>
        <v>351476.00246037485</v>
      </c>
      <c r="G36" s="330">
        <f>PCS!I42</f>
        <v>1120125.0417215058</v>
      </c>
      <c r="H36" s="347">
        <f>'Facture policière'!L36</f>
        <v>200142.22986859633</v>
      </c>
      <c r="I36" s="464">
        <f t="shared" si="0"/>
        <v>1671743.274050477</v>
      </c>
      <c r="J36" s="182"/>
    </row>
    <row r="37" spans="1:10" s="87" customFormat="1" x14ac:dyDescent="0.25">
      <c r="A37" s="405">
        <f>Données!A37</f>
        <v>5458</v>
      </c>
      <c r="B37" s="409" t="str">
        <f>Données!B37</f>
        <v>Faoug</v>
      </c>
      <c r="C37" s="407">
        <f>VPI!Q37</f>
        <v>66</v>
      </c>
      <c r="D37" s="412">
        <f>Données!Z37</f>
        <v>881</v>
      </c>
      <c r="E37" s="180">
        <f>VPI!R37</f>
        <v>32193.574318729454</v>
      </c>
      <c r="F37" s="317">
        <f>'Péréquation directe'!K43</f>
        <v>254131.60044745239</v>
      </c>
      <c r="G37" s="330">
        <f>PCS!I43</f>
        <v>552624.55956653424</v>
      </c>
      <c r="H37" s="347">
        <f>'Facture policière'!L37</f>
        <v>99166.884950747204</v>
      </c>
      <c r="I37" s="464">
        <f t="shared" si="0"/>
        <v>905923.04496473388</v>
      </c>
      <c r="J37" s="182"/>
    </row>
    <row r="38" spans="1:10" s="87" customFormat="1" x14ac:dyDescent="0.25">
      <c r="A38" s="405">
        <f>Données!A38</f>
        <v>5464</v>
      </c>
      <c r="B38" s="409" t="str">
        <f>Données!B38</f>
        <v>Vully-les-Lacs</v>
      </c>
      <c r="C38" s="407">
        <f>VPI!Q38</f>
        <v>67</v>
      </c>
      <c r="D38" s="412">
        <f>Données!Z38</f>
        <v>3360</v>
      </c>
      <c r="E38" s="180">
        <f>VPI!R38</f>
        <v>111582.51347109246</v>
      </c>
      <c r="F38" s="317">
        <f>'Péréquation directe'!K44</f>
        <v>7773.9499026024714</v>
      </c>
      <c r="G38" s="330">
        <f>PCS!I44</f>
        <v>1861546.754502502</v>
      </c>
      <c r="H38" s="347">
        <f>'Facture policière'!L38</f>
        <v>346660.46824178181</v>
      </c>
      <c r="I38" s="464">
        <f t="shared" si="0"/>
        <v>2215981.1726468862</v>
      </c>
      <c r="J38" s="182"/>
    </row>
    <row r="39" spans="1:10" s="87" customFormat="1" x14ac:dyDescent="0.25">
      <c r="A39" s="405">
        <f>Données!A39</f>
        <v>5471</v>
      </c>
      <c r="B39" s="409" t="str">
        <f>Données!B39</f>
        <v>Bettens</v>
      </c>
      <c r="C39" s="407">
        <f>VPI!Q39</f>
        <v>70</v>
      </c>
      <c r="D39" s="412">
        <f>Données!Z39</f>
        <v>636</v>
      </c>
      <c r="E39" s="180">
        <f>VPI!R39</f>
        <v>20380.173113086941</v>
      </c>
      <c r="F39" s="317">
        <f>'Péréquation directe'!K45</f>
        <v>113519.74783865782</v>
      </c>
      <c r="G39" s="330">
        <f>PCS!I45</f>
        <v>332843.57883435488</v>
      </c>
      <c r="H39" s="347">
        <f>'Facture policière'!L39</f>
        <v>63240.155996082234</v>
      </c>
      <c r="I39" s="464">
        <f t="shared" si="0"/>
        <v>509603.48266909493</v>
      </c>
      <c r="J39" s="182"/>
    </row>
    <row r="40" spans="1:10" s="87" customFormat="1" x14ac:dyDescent="0.25">
      <c r="A40" s="405">
        <f>Données!A40</f>
        <v>5472</v>
      </c>
      <c r="B40" s="409" t="str">
        <f>Données!B40</f>
        <v>Bournens</v>
      </c>
      <c r="C40" s="407">
        <f>VPI!Q40</f>
        <v>72</v>
      </c>
      <c r="D40" s="412">
        <f>Données!Z40</f>
        <v>490</v>
      </c>
      <c r="E40" s="180">
        <f>VPI!R40</f>
        <v>20138.784507874909</v>
      </c>
      <c r="F40" s="317">
        <f>'Péréquation directe'!K46</f>
        <v>257890.77221236259</v>
      </c>
      <c r="G40" s="330">
        <f>PCS!I46</f>
        <v>381210.07332930091</v>
      </c>
      <c r="H40" s="347">
        <f>'Facture policière'!L40</f>
        <v>63749.886279401486</v>
      </c>
      <c r="I40" s="464">
        <f t="shared" si="0"/>
        <v>702850.73182106495</v>
      </c>
      <c r="J40" s="182"/>
    </row>
    <row r="41" spans="1:10" s="87" customFormat="1" x14ac:dyDescent="0.25">
      <c r="A41" s="405">
        <f>Données!A41</f>
        <v>5473</v>
      </c>
      <c r="B41" s="409" t="str">
        <f>Données!B41</f>
        <v>Boussens</v>
      </c>
      <c r="C41" s="407">
        <f>VPI!Q41</f>
        <v>67.5</v>
      </c>
      <c r="D41" s="412">
        <f>Données!Z41</f>
        <v>999</v>
      </c>
      <c r="E41" s="180">
        <f>VPI!R41</f>
        <v>37766.597979852122</v>
      </c>
      <c r="F41" s="317">
        <f>'Péréquation directe'!K47</f>
        <v>447414.33390004694</v>
      </c>
      <c r="G41" s="330">
        <f>PCS!I47</f>
        <v>599926.41297257412</v>
      </c>
      <c r="H41" s="347">
        <f>'Facture policière'!L41</f>
        <v>118674.8318406403</v>
      </c>
      <c r="I41" s="464">
        <f t="shared" si="0"/>
        <v>1166015.5787132615</v>
      </c>
      <c r="J41" s="182"/>
    </row>
    <row r="42" spans="1:10" s="87" customFormat="1" x14ac:dyDescent="0.25">
      <c r="A42" s="405">
        <f>Données!A42</f>
        <v>5474</v>
      </c>
      <c r="B42" s="409" t="str">
        <f>Données!B42</f>
        <v>La Chaux (Cossonay)</v>
      </c>
      <c r="C42" s="407">
        <f>VPI!Q42</f>
        <v>77</v>
      </c>
      <c r="D42" s="412">
        <f>Données!Z42</f>
        <v>391</v>
      </c>
      <c r="E42" s="180">
        <f>VPI!R42</f>
        <v>13181.653644203574</v>
      </c>
      <c r="F42" s="317">
        <f>'Péréquation directe'!K48</f>
        <v>-133917.44749063786</v>
      </c>
      <c r="G42" s="330">
        <f>PCS!I48</f>
        <v>246730.45868299159</v>
      </c>
      <c r="H42" s="347">
        <f>'Facture policière'!L42</f>
        <v>41540.394103663362</v>
      </c>
      <c r="I42" s="464">
        <f t="shared" si="0"/>
        <v>154353.4052960171</v>
      </c>
      <c r="J42" s="182"/>
    </row>
    <row r="43" spans="1:10" s="87" customFormat="1" x14ac:dyDescent="0.25">
      <c r="A43" s="405">
        <f>Données!A43</f>
        <v>5475</v>
      </c>
      <c r="B43" s="409" t="str">
        <f>Données!B43</f>
        <v>Chavannes-le-Veyron</v>
      </c>
      <c r="C43" s="407">
        <f>VPI!Q43</f>
        <v>77</v>
      </c>
      <c r="D43" s="412">
        <f>Données!Z43</f>
        <v>152</v>
      </c>
      <c r="E43" s="180">
        <f>VPI!R43</f>
        <v>3874.542905998469</v>
      </c>
      <c r="F43" s="317">
        <f>'Péréquation directe'!K49</f>
        <v>-50361.131244818665</v>
      </c>
      <c r="G43" s="330">
        <f>PCS!I49</f>
        <v>68333.139234620292</v>
      </c>
      <c r="H43" s="347">
        <f>'Facture policière'!L43</f>
        <v>12168.361699155083</v>
      </c>
      <c r="I43" s="464">
        <f t="shared" si="0"/>
        <v>30140.369688956707</v>
      </c>
      <c r="J43" s="182"/>
    </row>
    <row r="44" spans="1:10" s="87" customFormat="1" x14ac:dyDescent="0.25">
      <c r="A44" s="405">
        <f>Données!A44</f>
        <v>5476</v>
      </c>
      <c r="B44" s="409" t="str">
        <f>Données!B44</f>
        <v>Chevilly</v>
      </c>
      <c r="C44" s="407">
        <f>VPI!Q44</f>
        <v>74</v>
      </c>
      <c r="D44" s="412">
        <f>Données!Z44</f>
        <v>317</v>
      </c>
      <c r="E44" s="180">
        <f>VPI!R44</f>
        <v>11841.851486486486</v>
      </c>
      <c r="F44" s="317">
        <f>'Péréquation directe'!K50</f>
        <v>122028.68988308719</v>
      </c>
      <c r="G44" s="330">
        <f>PCS!I50</f>
        <v>179509.37153512862</v>
      </c>
      <c r="H44" s="347">
        <f>'Facture policière'!L44</f>
        <v>37348.641085375624</v>
      </c>
      <c r="I44" s="464">
        <f t="shared" si="0"/>
        <v>338886.70250359143</v>
      </c>
      <c r="J44" s="182"/>
    </row>
    <row r="45" spans="1:10" s="87" customFormat="1" x14ac:dyDescent="0.25">
      <c r="A45" s="405">
        <f>Données!A45</f>
        <v>5477</v>
      </c>
      <c r="B45" s="409" t="str">
        <f>Données!B45</f>
        <v>Cossonay</v>
      </c>
      <c r="C45" s="407">
        <f>VPI!Q45</f>
        <v>69.5</v>
      </c>
      <c r="D45" s="412">
        <f>Données!Z45</f>
        <v>4222</v>
      </c>
      <c r="E45" s="180">
        <f>VPI!R45</f>
        <v>119044.37813513582</v>
      </c>
      <c r="F45" s="317">
        <f>'Péréquation directe'!K51</f>
        <v>-1463741.761557695</v>
      </c>
      <c r="G45" s="330">
        <f>PCS!I51</f>
        <v>2469795.8665449321</v>
      </c>
      <c r="H45" s="347">
        <f>'Facture policière'!L45</f>
        <v>369982.43018344359</v>
      </c>
      <c r="I45" s="464">
        <f t="shared" si="0"/>
        <v>1376036.5351706808</v>
      </c>
      <c r="J45" s="182"/>
    </row>
    <row r="46" spans="1:10" s="87" customFormat="1" x14ac:dyDescent="0.25">
      <c r="A46" s="405">
        <f>Données!A46</f>
        <v>5479</v>
      </c>
      <c r="B46" s="409" t="str">
        <f>Données!B46</f>
        <v>Cuarnens</v>
      </c>
      <c r="C46" s="407">
        <f>VPI!Q46</f>
        <v>77</v>
      </c>
      <c r="D46" s="412">
        <f>Données!Z46</f>
        <v>527</v>
      </c>
      <c r="E46" s="180">
        <f>VPI!R46</f>
        <v>18064.580944641726</v>
      </c>
      <c r="F46" s="317">
        <f>'Péréquation directe'!K52</f>
        <v>41982.284630210197</v>
      </c>
      <c r="G46" s="330">
        <f>PCS!I52</f>
        <v>347450.57264261629</v>
      </c>
      <c r="H46" s="347">
        <f>'Facture policière'!L46</f>
        <v>57214.26373311998</v>
      </c>
      <c r="I46" s="464">
        <f t="shared" si="0"/>
        <v>446647.12100594648</v>
      </c>
      <c r="J46" s="182"/>
    </row>
    <row r="47" spans="1:10" s="87" customFormat="1" x14ac:dyDescent="0.25">
      <c r="A47" s="405">
        <f>Données!A47</f>
        <v>5480</v>
      </c>
      <c r="B47" s="409" t="str">
        <f>Données!B47</f>
        <v>Daillens</v>
      </c>
      <c r="C47" s="407">
        <f>VPI!Q47</f>
        <v>66</v>
      </c>
      <c r="D47" s="412">
        <f>Données!Z47</f>
        <v>1048</v>
      </c>
      <c r="E47" s="180">
        <f>VPI!R47</f>
        <v>40967.735913324992</v>
      </c>
      <c r="F47" s="317">
        <f>'Péréquation directe'!K53</f>
        <v>80688.149181118119</v>
      </c>
      <c r="G47" s="330">
        <f>PCS!I53</f>
        <v>764641.25096023863</v>
      </c>
      <c r="H47" s="347">
        <f>'Facture policière'!L47</f>
        <v>125278.19785615707</v>
      </c>
      <c r="I47" s="464">
        <f t="shared" si="0"/>
        <v>970607.59799751383</v>
      </c>
      <c r="J47" s="182"/>
    </row>
    <row r="48" spans="1:10" s="87" customFormat="1" x14ac:dyDescent="0.25">
      <c r="A48" s="405">
        <f>Données!A48</f>
        <v>5481</v>
      </c>
      <c r="B48" s="409" t="str">
        <f>Données!B48</f>
        <v>Dizy</v>
      </c>
      <c r="C48" s="407">
        <f>VPI!Q48</f>
        <v>75</v>
      </c>
      <c r="D48" s="412">
        <f>Données!Z48</f>
        <v>224</v>
      </c>
      <c r="E48" s="180">
        <f>VPI!R48</f>
        <v>8106.5312898245948</v>
      </c>
      <c r="F48" s="317">
        <f>'Péréquation directe'!K54</f>
        <v>48304.957214576192</v>
      </c>
      <c r="G48" s="330">
        <f>PCS!I54</f>
        <v>122194.04165642547</v>
      </c>
      <c r="H48" s="347">
        <f>'Facture policière'!L48</f>
        <v>25653.299918896875</v>
      </c>
      <c r="I48" s="464">
        <f t="shared" si="0"/>
        <v>196152.29878989852</v>
      </c>
      <c r="J48" s="182"/>
    </row>
    <row r="49" spans="1:10" s="87" customFormat="1" x14ac:dyDescent="0.25">
      <c r="A49" s="405">
        <f>Données!A49</f>
        <v>5482</v>
      </c>
      <c r="B49" s="409" t="str">
        <f>Données!B49</f>
        <v>Eclépens</v>
      </c>
      <c r="C49" s="407">
        <f>VPI!Q49</f>
        <v>46</v>
      </c>
      <c r="D49" s="412">
        <f>Données!Z49</f>
        <v>1220</v>
      </c>
      <c r="E49" s="180">
        <f>VPI!R49</f>
        <v>70435.439965635131</v>
      </c>
      <c r="F49" s="317">
        <f>'Péréquation directe'!K55</f>
        <v>1148908.6804384768</v>
      </c>
      <c r="G49" s="330">
        <f>PCS!I55</f>
        <v>1325385.1495779678</v>
      </c>
      <c r="H49" s="347">
        <f>'Facture policière'!L49</f>
        <v>194811.38912606833</v>
      </c>
      <c r="I49" s="464">
        <f t="shared" si="0"/>
        <v>2669105.2191425129</v>
      </c>
      <c r="J49" s="182"/>
    </row>
    <row r="50" spans="1:10" s="87" customFormat="1" x14ac:dyDescent="0.25">
      <c r="A50" s="405">
        <f>Données!A50</f>
        <v>5483</v>
      </c>
      <c r="B50" s="409" t="str">
        <f>Données!B50</f>
        <v>Ferreyres</v>
      </c>
      <c r="C50" s="407">
        <f>VPI!Q50</f>
        <v>76</v>
      </c>
      <c r="D50" s="412">
        <f>Données!Z50</f>
        <v>319</v>
      </c>
      <c r="E50" s="180">
        <f>VPI!R50</f>
        <v>10817.678140952161</v>
      </c>
      <c r="F50" s="317">
        <f>'Péréquation directe'!K56</f>
        <v>77403.85930484577</v>
      </c>
      <c r="G50" s="330">
        <f>PCS!I56</f>
        <v>167538.99940440926</v>
      </c>
      <c r="H50" s="347">
        <f>'Facture policière'!L50</f>
        <v>34111.362507308979</v>
      </c>
      <c r="I50" s="464">
        <f t="shared" si="0"/>
        <v>279054.22121656401</v>
      </c>
      <c r="J50" s="182"/>
    </row>
    <row r="51" spans="1:10" s="87" customFormat="1" x14ac:dyDescent="0.25">
      <c r="A51" s="405">
        <f>Données!A51</f>
        <v>5484</v>
      </c>
      <c r="B51" s="409" t="str">
        <f>Données!B51</f>
        <v>Gollion</v>
      </c>
      <c r="C51" s="407">
        <f>VPI!Q51</f>
        <v>74</v>
      </c>
      <c r="D51" s="412">
        <f>Données!Z51</f>
        <v>996</v>
      </c>
      <c r="E51" s="180">
        <f>VPI!R51</f>
        <v>34968.588815884439</v>
      </c>
      <c r="F51" s="317">
        <f>'Péréquation directe'!K57</f>
        <v>87437.943745140336</v>
      </c>
      <c r="G51" s="330">
        <f>PCS!I57</f>
        <v>622932.80999315449</v>
      </c>
      <c r="H51" s="347">
        <f>'Facture policière'!L51</f>
        <v>109995.29555552419</v>
      </c>
      <c r="I51" s="464">
        <f t="shared" si="0"/>
        <v>820366.049293819</v>
      </c>
      <c r="J51" s="182"/>
    </row>
    <row r="52" spans="1:10" s="87" customFormat="1" x14ac:dyDescent="0.25">
      <c r="A52" s="405">
        <f>Données!A52</f>
        <v>5485</v>
      </c>
      <c r="B52" s="409" t="str">
        <f>Données!B52</f>
        <v>Grancy</v>
      </c>
      <c r="C52" s="407">
        <f>VPI!Q52</f>
        <v>70</v>
      </c>
      <c r="D52" s="412">
        <f>Données!Z52</f>
        <v>406</v>
      </c>
      <c r="E52" s="180">
        <f>VPI!R52</f>
        <v>14538.346948228997</v>
      </c>
      <c r="F52" s="317">
        <f>'Péréquation directe'!K58</f>
        <v>104017.2829479221</v>
      </c>
      <c r="G52" s="330">
        <f>PCS!I58</f>
        <v>293580.10554635664</v>
      </c>
      <c r="H52" s="347">
        <f>'Facture policière'!L52</f>
        <v>45693.846803618464</v>
      </c>
      <c r="I52" s="464">
        <f t="shared" si="0"/>
        <v>443291.23529789725</v>
      </c>
      <c r="J52" s="182"/>
    </row>
    <row r="53" spans="1:10" s="87" customFormat="1" x14ac:dyDescent="0.25">
      <c r="A53" s="405">
        <f>Données!A53</f>
        <v>5486</v>
      </c>
      <c r="B53" s="409" t="str">
        <f>Données!B53</f>
        <v>L'Isle</v>
      </c>
      <c r="C53" s="407">
        <f>VPI!Q53</f>
        <v>75</v>
      </c>
      <c r="D53" s="412">
        <f>Données!Z53</f>
        <v>1065</v>
      </c>
      <c r="E53" s="180">
        <f>VPI!R53</f>
        <v>37453.794062170404</v>
      </c>
      <c r="F53" s="317">
        <f>'Péréquation directe'!K59</f>
        <v>36580.652857852401</v>
      </c>
      <c r="G53" s="330">
        <f>PCS!I59</f>
        <v>619068.30208066525</v>
      </c>
      <c r="H53" s="347">
        <f>'Facture policière'!L53</f>
        <v>117944.80725937127</v>
      </c>
      <c r="I53" s="464">
        <f t="shared" si="0"/>
        <v>773593.76219788892</v>
      </c>
      <c r="J53" s="182"/>
    </row>
    <row r="54" spans="1:10" s="87" customFormat="1" x14ac:dyDescent="0.25">
      <c r="A54" s="405">
        <f>Données!A54</f>
        <v>5487</v>
      </c>
      <c r="B54" s="409" t="str">
        <f>Données!B54</f>
        <v>Lussery-Villars</v>
      </c>
      <c r="C54" s="407">
        <f>VPI!Q54</f>
        <v>75</v>
      </c>
      <c r="D54" s="412">
        <f>Données!Z54</f>
        <v>459</v>
      </c>
      <c r="E54" s="180">
        <f>VPI!R54</f>
        <v>12890.529066666668</v>
      </c>
      <c r="F54" s="317">
        <f>'Péréquation directe'!K60</f>
        <v>-30236.783189026115</v>
      </c>
      <c r="G54" s="330">
        <f>PCS!I60</f>
        <v>203720.31126465212</v>
      </c>
      <c r="H54" s="347">
        <f>'Facture policière'!L54</f>
        <v>40319.641368699093</v>
      </c>
      <c r="I54" s="464">
        <f t="shared" si="0"/>
        <v>213803.16944432509</v>
      </c>
      <c r="J54" s="182"/>
    </row>
    <row r="55" spans="1:10" s="87" customFormat="1" x14ac:dyDescent="0.25">
      <c r="A55" s="405">
        <f>Données!A55</f>
        <v>5488</v>
      </c>
      <c r="B55" s="409" t="str">
        <f>Données!B55</f>
        <v>Mauraz</v>
      </c>
      <c r="C55" s="407">
        <f>VPI!Q55</f>
        <v>77</v>
      </c>
      <c r="D55" s="412">
        <f>Données!Z55</f>
        <v>58</v>
      </c>
      <c r="E55" s="180">
        <f>VPI!R55</f>
        <v>1631.9031355919719</v>
      </c>
      <c r="F55" s="317">
        <f>'Péréquation directe'!K61</f>
        <v>-713.14274202151137</v>
      </c>
      <c r="G55" s="330">
        <f>PCS!I61</f>
        <v>23826.170241167987</v>
      </c>
      <c r="H55" s="347">
        <f>'Facture policière'!L55</f>
        <v>5155.587776477998</v>
      </c>
      <c r="I55" s="464">
        <f t="shared" si="0"/>
        <v>28268.615275624474</v>
      </c>
      <c r="J55" s="182"/>
    </row>
    <row r="56" spans="1:10" s="87" customFormat="1" x14ac:dyDescent="0.25">
      <c r="A56" s="405">
        <f>Données!A56</f>
        <v>5489</v>
      </c>
      <c r="B56" s="409" t="str">
        <f>Données!B56</f>
        <v>Mex</v>
      </c>
      <c r="C56" s="407">
        <f>VPI!Q56</f>
        <v>59.5</v>
      </c>
      <c r="D56" s="412">
        <f>Données!Z56</f>
        <v>791</v>
      </c>
      <c r="E56" s="180">
        <f>VPI!R56</f>
        <v>57470.761557418853</v>
      </c>
      <c r="F56" s="317">
        <f>'Péréquation directe'!K62</f>
        <v>999770.90936036594</v>
      </c>
      <c r="G56" s="330">
        <f>PCS!I62</f>
        <v>1491982.4432973568</v>
      </c>
      <c r="H56" s="347">
        <f>'Facture policière'!L56</f>
        <v>141573.82131843144</v>
      </c>
      <c r="I56" s="464">
        <f t="shared" si="0"/>
        <v>2633327.1739761541</v>
      </c>
      <c r="J56" s="182"/>
    </row>
    <row r="57" spans="1:10" s="87" customFormat="1" x14ac:dyDescent="0.25">
      <c r="A57" s="405">
        <f>Données!A57</f>
        <v>5490</v>
      </c>
      <c r="B57" s="409" t="str">
        <f>Données!B57</f>
        <v>Moiry</v>
      </c>
      <c r="C57" s="407">
        <f>VPI!Q57</f>
        <v>77.5</v>
      </c>
      <c r="D57" s="412">
        <f>Données!Z57</f>
        <v>311</v>
      </c>
      <c r="E57" s="180">
        <f>VPI!R57</f>
        <v>8655.6964066779783</v>
      </c>
      <c r="F57" s="317">
        <f>'Péréquation directe'!K63</f>
        <v>-32757.502358003141</v>
      </c>
      <c r="G57" s="330">
        <f>PCS!I63</f>
        <v>146201.38174078791</v>
      </c>
      <c r="H57" s="347">
        <f>'Facture policière'!L57</f>
        <v>27316.642614705044</v>
      </c>
      <c r="I57" s="464">
        <f t="shared" si="0"/>
        <v>140760.52199748982</v>
      </c>
      <c r="J57" s="182"/>
    </row>
    <row r="58" spans="1:10" s="87" customFormat="1" x14ac:dyDescent="0.25">
      <c r="A58" s="405">
        <f>Données!A58</f>
        <v>5491</v>
      </c>
      <c r="B58" s="409" t="str">
        <f>Données!B58</f>
        <v>Mont-la-Ville</v>
      </c>
      <c r="C58" s="407">
        <f>VPI!Q58</f>
        <v>76</v>
      </c>
      <c r="D58" s="412">
        <f>Données!Z58</f>
        <v>490</v>
      </c>
      <c r="E58" s="180">
        <f>VPI!R58</f>
        <v>14318.599966826661</v>
      </c>
      <c r="F58" s="317">
        <f>'Péréquation directe'!K64</f>
        <v>-56661.788072736817</v>
      </c>
      <c r="G58" s="330">
        <f>PCS!I64</f>
        <v>256128.37784749383</v>
      </c>
      <c r="H58" s="347">
        <f>'Facture policière'!L58</f>
        <v>44712.154025401454</v>
      </c>
      <c r="I58" s="464">
        <f t="shared" si="0"/>
        <v>244178.74380015847</v>
      </c>
      <c r="J58" s="182"/>
    </row>
    <row r="59" spans="1:10" s="87" customFormat="1" x14ac:dyDescent="0.25">
      <c r="A59" s="405">
        <f>Données!A59</f>
        <v>5492</v>
      </c>
      <c r="B59" s="409" t="str">
        <f>Données!B59</f>
        <v>Montricher</v>
      </c>
      <c r="C59" s="407">
        <f>VPI!Q59</f>
        <v>64</v>
      </c>
      <c r="D59" s="412">
        <f>Données!Z59</f>
        <v>964</v>
      </c>
      <c r="E59" s="180">
        <f>VPI!R59</f>
        <v>157142.15514628743</v>
      </c>
      <c r="F59" s="317">
        <f>'Péréquation directe'!K65</f>
        <v>1977399.8213895983</v>
      </c>
      <c r="G59" s="330">
        <f>PCS!I65</f>
        <v>5727423.480632199</v>
      </c>
      <c r="H59" s="347">
        <f>'Facture policière'!L59</f>
        <v>285191.6820381257</v>
      </c>
      <c r="I59" s="464">
        <f t="shared" si="0"/>
        <v>7990014.9840599233</v>
      </c>
      <c r="J59" s="182"/>
    </row>
    <row r="60" spans="1:10" s="87" customFormat="1" x14ac:dyDescent="0.25">
      <c r="A60" s="405">
        <f>Données!A60</f>
        <v>5493</v>
      </c>
      <c r="B60" s="409" t="str">
        <f>Données!B60</f>
        <v>Orny</v>
      </c>
      <c r="C60" s="407">
        <f>VPI!Q60</f>
        <v>73</v>
      </c>
      <c r="D60" s="412">
        <f>Données!Z60</f>
        <v>462</v>
      </c>
      <c r="E60" s="180">
        <f>VPI!R60</f>
        <v>12876.853954456508</v>
      </c>
      <c r="F60" s="317">
        <f>'Péréquation directe'!K66</f>
        <v>9357.6290067354275</v>
      </c>
      <c r="G60" s="330">
        <f>PCS!I66</f>
        <v>271262.82140465186</v>
      </c>
      <c r="H60" s="347">
        <f>'Facture policière'!L60</f>
        <v>40738.365434360836</v>
      </c>
      <c r="I60" s="464">
        <f t="shared" si="0"/>
        <v>321358.81584574806</v>
      </c>
      <c r="J60" s="182"/>
    </row>
    <row r="61" spans="1:10" s="87" customFormat="1" x14ac:dyDescent="0.25">
      <c r="A61" s="405">
        <f>Données!A61</f>
        <v>5495</v>
      </c>
      <c r="B61" s="409" t="str">
        <f>Données!B61</f>
        <v>Penthalaz</v>
      </c>
      <c r="C61" s="407">
        <f>VPI!Q61</f>
        <v>74</v>
      </c>
      <c r="D61" s="412">
        <f>Données!Z61</f>
        <v>3207</v>
      </c>
      <c r="E61" s="180">
        <f>VPI!R61</f>
        <v>93343.047382121076</v>
      </c>
      <c r="F61" s="317">
        <f>'Péréquation directe'!K67</f>
        <v>-941811.8902204195</v>
      </c>
      <c r="G61" s="330">
        <f>PCS!I67</f>
        <v>1651365.4975513243</v>
      </c>
      <c r="H61" s="347">
        <f>'Facture policière'!L61</f>
        <v>292502.09811989707</v>
      </c>
      <c r="I61" s="464">
        <f t="shared" si="0"/>
        <v>1002055.7054508019</v>
      </c>
      <c r="J61" s="182"/>
    </row>
    <row r="62" spans="1:10" s="87" customFormat="1" x14ac:dyDescent="0.25">
      <c r="A62" s="405">
        <f>Données!A62</f>
        <v>5496</v>
      </c>
      <c r="B62" s="409" t="str">
        <f>Données!B62</f>
        <v>Penthaz</v>
      </c>
      <c r="C62" s="407">
        <f>VPI!Q62</f>
        <v>69.5</v>
      </c>
      <c r="D62" s="412">
        <f>Données!Z62</f>
        <v>1855</v>
      </c>
      <c r="E62" s="180">
        <f>VPI!R62</f>
        <v>60111.570435586618</v>
      </c>
      <c r="F62" s="317">
        <f>'Péréquation directe'!K68</f>
        <v>30711.573861982208</v>
      </c>
      <c r="G62" s="330">
        <f>PCS!I68</f>
        <v>1057709.7100984249</v>
      </c>
      <c r="H62" s="347">
        <f>'Facture policière'!L62</f>
        <v>187663.7242902845</v>
      </c>
      <c r="I62" s="464">
        <f t="shared" si="0"/>
        <v>1276085.0082506917</v>
      </c>
      <c r="J62" s="182"/>
    </row>
    <row r="63" spans="1:10" s="87" customFormat="1" x14ac:dyDescent="0.25">
      <c r="A63" s="405">
        <f>Données!A63</f>
        <v>5497</v>
      </c>
      <c r="B63" s="409" t="str">
        <f>Données!B63</f>
        <v>Pompaples</v>
      </c>
      <c r="C63" s="407">
        <f>VPI!Q63</f>
        <v>66</v>
      </c>
      <c r="D63" s="412">
        <f>Données!Z63</f>
        <v>847</v>
      </c>
      <c r="E63" s="180">
        <f>VPI!R63</f>
        <v>20415.356363636369</v>
      </c>
      <c r="F63" s="317">
        <f>'Péréquation directe'!K69</f>
        <v>-140036.73782008636</v>
      </c>
      <c r="G63" s="330">
        <f>PCS!I69</f>
        <v>378365.91758123005</v>
      </c>
      <c r="H63" s="347">
        <f>'Facture policière'!L63</f>
        <v>62637.965570911605</v>
      </c>
      <c r="I63" s="464">
        <f t="shared" si="0"/>
        <v>300967.14533205528</v>
      </c>
      <c r="J63" s="182"/>
    </row>
    <row r="64" spans="1:10" s="87" customFormat="1" x14ac:dyDescent="0.25">
      <c r="A64" s="405">
        <f>Données!A64</f>
        <v>5498</v>
      </c>
      <c r="B64" s="409" t="str">
        <f>Données!B64</f>
        <v>La Sarraz</v>
      </c>
      <c r="C64" s="407">
        <f>VPI!Q64</f>
        <v>66</v>
      </c>
      <c r="D64" s="412">
        <f>Données!Z64</f>
        <v>2598</v>
      </c>
      <c r="E64" s="180">
        <f>VPI!R64</f>
        <v>77489.743908484481</v>
      </c>
      <c r="F64" s="317">
        <f>'Péréquation directe'!K70</f>
        <v>-359706.65209219488</v>
      </c>
      <c r="G64" s="330">
        <f>PCS!I70</f>
        <v>1301933.4269422281</v>
      </c>
      <c r="H64" s="347">
        <f>'Facture policière'!L64</f>
        <v>242459.73331445552</v>
      </c>
      <c r="I64" s="464">
        <f t="shared" si="0"/>
        <v>1184686.5081644887</v>
      </c>
      <c r="J64" s="182"/>
    </row>
    <row r="65" spans="1:10" s="87" customFormat="1" x14ac:dyDescent="0.25">
      <c r="A65" s="405">
        <f>Données!A65</f>
        <v>5499</v>
      </c>
      <c r="B65" s="409" t="str">
        <f>Données!B65</f>
        <v>Senarclens</v>
      </c>
      <c r="C65" s="407">
        <f>VPI!Q65</f>
        <v>68.5</v>
      </c>
      <c r="D65" s="412">
        <f>Données!Z65</f>
        <v>496</v>
      </c>
      <c r="E65" s="180">
        <f>VPI!R65</f>
        <v>19645.120071728084</v>
      </c>
      <c r="F65" s="317">
        <f>'Péréquation directe'!K71</f>
        <v>36107.190933400474</v>
      </c>
      <c r="G65" s="330">
        <f>PCS!I71</f>
        <v>412311.58625870943</v>
      </c>
      <c r="H65" s="347">
        <f>'Facture policière'!L65</f>
        <v>61798.755369667284</v>
      </c>
      <c r="I65" s="464">
        <f t="shared" si="0"/>
        <v>510217.53256177716</v>
      </c>
      <c r="J65" s="182"/>
    </row>
    <row r="66" spans="1:10" s="87" customFormat="1" x14ac:dyDescent="0.25">
      <c r="A66" s="405">
        <f>Données!A66</f>
        <v>5501</v>
      </c>
      <c r="B66" s="409" t="str">
        <f>Données!B66</f>
        <v>Sullens</v>
      </c>
      <c r="C66" s="407">
        <f>VPI!Q66</f>
        <v>68.5</v>
      </c>
      <c r="D66" s="412">
        <f>Données!Z66</f>
        <v>1041</v>
      </c>
      <c r="E66" s="180">
        <f>VPI!R66</f>
        <v>41909.752277748921</v>
      </c>
      <c r="F66" s="317">
        <f>'Péréquation directe'!K72</f>
        <v>533213.30374915246</v>
      </c>
      <c r="G66" s="330">
        <f>PCS!I72</f>
        <v>874898.70181130921</v>
      </c>
      <c r="H66" s="347">
        <f>'Facture policière'!L66</f>
        <v>131401.75313344708</v>
      </c>
      <c r="I66" s="464">
        <f t="shared" si="0"/>
        <v>1539513.7586939088</v>
      </c>
      <c r="J66" s="182"/>
    </row>
    <row r="67" spans="1:10" s="87" customFormat="1" x14ac:dyDescent="0.25">
      <c r="A67" s="405">
        <f>Données!A67</f>
        <v>5503</v>
      </c>
      <c r="B67" s="409" t="str">
        <f>Données!B67</f>
        <v>Vufflens-la-Ville</v>
      </c>
      <c r="C67" s="407">
        <f>VPI!Q67</f>
        <v>67</v>
      </c>
      <c r="D67" s="412">
        <f>Données!Z67</f>
        <v>1349</v>
      </c>
      <c r="E67" s="180">
        <f>VPI!R67</f>
        <v>67522.299953701979</v>
      </c>
      <c r="F67" s="317">
        <f>'Péréquation directe'!K73</f>
        <v>1048317.0557282452</v>
      </c>
      <c r="G67" s="330">
        <f>PCS!I73</f>
        <v>1202812.2135433648</v>
      </c>
      <c r="H67" s="347">
        <f>'Facture policière'!L67</f>
        <v>202010.0232535192</v>
      </c>
      <c r="I67" s="464">
        <f t="shared" si="0"/>
        <v>2453139.2925251289</v>
      </c>
      <c r="J67" s="182"/>
    </row>
    <row r="68" spans="1:10" s="87" customFormat="1" x14ac:dyDescent="0.25">
      <c r="A68" s="405">
        <f>Données!A68</f>
        <v>5511</v>
      </c>
      <c r="B68" s="409" t="str">
        <f>Données!B68</f>
        <v>Assens</v>
      </c>
      <c r="C68" s="407">
        <f>VPI!Q68</f>
        <v>69.34</v>
      </c>
      <c r="D68" s="412">
        <f>Données!Z68</f>
        <v>1666</v>
      </c>
      <c r="E68" s="180">
        <f>VPI!R68</f>
        <v>66087.783372412887</v>
      </c>
      <c r="F68" s="317">
        <f>'Péréquation directe'!K74</f>
        <v>546182.45467889367</v>
      </c>
      <c r="G68" s="330">
        <f>PCS!I74</f>
        <v>1156767.6719174611</v>
      </c>
      <c r="H68" s="347">
        <f>'Facture policière'!L68</f>
        <v>208179.98465393024</v>
      </c>
      <c r="I68" s="464">
        <f t="shared" si="0"/>
        <v>1911130.1112502851</v>
      </c>
      <c r="J68" s="182"/>
    </row>
    <row r="69" spans="1:10" s="87" customFormat="1" x14ac:dyDescent="0.25">
      <c r="A69" s="405">
        <f>Données!A69</f>
        <v>5512</v>
      </c>
      <c r="B69" s="409" t="str">
        <f>Données!B69</f>
        <v>Bercher</v>
      </c>
      <c r="C69" s="407">
        <f>VPI!Q69</f>
        <v>79</v>
      </c>
      <c r="D69" s="412">
        <f>Données!Z69</f>
        <v>1323</v>
      </c>
      <c r="E69" s="180">
        <f>VPI!R69</f>
        <v>40303.726605085889</v>
      </c>
      <c r="F69" s="317">
        <f>'Péréquation directe'!K75</f>
        <v>-217909.13955927943</v>
      </c>
      <c r="G69" s="330">
        <f>PCS!I75</f>
        <v>672628.03862539842</v>
      </c>
      <c r="H69" s="347">
        <f>'Facture policière'!L69</f>
        <v>125885.25443713131</v>
      </c>
      <c r="I69" s="464">
        <f t="shared" si="0"/>
        <v>580604.15350325033</v>
      </c>
      <c r="J69" s="182"/>
    </row>
    <row r="70" spans="1:10" s="87" customFormat="1" x14ac:dyDescent="0.25">
      <c r="A70" s="405">
        <f>Données!A70</f>
        <v>5514</v>
      </c>
      <c r="B70" s="409" t="str">
        <f>Données!B70</f>
        <v>Bottens</v>
      </c>
      <c r="C70" s="407">
        <f>VPI!Q70</f>
        <v>72.5</v>
      </c>
      <c r="D70" s="412">
        <f>Données!Z70</f>
        <v>1330</v>
      </c>
      <c r="E70" s="180">
        <f>VPI!R70</f>
        <v>44188.527468794709</v>
      </c>
      <c r="F70" s="317">
        <f>'Péréquation directe'!K76</f>
        <v>246250.50166066189</v>
      </c>
      <c r="G70" s="330">
        <f>PCS!I76</f>
        <v>738436.77645927132</v>
      </c>
      <c r="H70" s="347">
        <f>'Facture policière'!L70</f>
        <v>138744.79506383886</v>
      </c>
      <c r="I70" s="464">
        <f t="shared" si="0"/>
        <v>1123432.0731837722</v>
      </c>
      <c r="J70" s="182"/>
    </row>
    <row r="71" spans="1:10" s="87" customFormat="1" x14ac:dyDescent="0.25">
      <c r="A71" s="405">
        <f>Données!A71</f>
        <v>5515</v>
      </c>
      <c r="B71" s="409" t="str">
        <f>Données!B71</f>
        <v>Bretigny-sur-Morrens</v>
      </c>
      <c r="C71" s="407">
        <f>VPI!Q71</f>
        <v>81</v>
      </c>
      <c r="D71" s="412">
        <f>Données!Z71</f>
        <v>859</v>
      </c>
      <c r="E71" s="180">
        <f>VPI!R71</f>
        <v>29581.308918344312</v>
      </c>
      <c r="F71" s="317">
        <f>'Péréquation directe'!K77</f>
        <v>142825.47667942429</v>
      </c>
      <c r="G71" s="330">
        <f>PCS!I77</f>
        <v>550700.48429495958</v>
      </c>
      <c r="H71" s="347">
        <f>'Facture policière'!L71</f>
        <v>93020.351392253491</v>
      </c>
      <c r="I71" s="464">
        <f t="shared" ref="I71:I134" si="1">SUM(F71:H71)</f>
        <v>786546.3123666374</v>
      </c>
      <c r="J71" s="182"/>
    </row>
    <row r="72" spans="1:10" s="87" customFormat="1" x14ac:dyDescent="0.25">
      <c r="A72" s="405">
        <f>Données!A72</f>
        <v>5516</v>
      </c>
      <c r="B72" s="409" t="str">
        <f>Données!B72</f>
        <v>Cugy</v>
      </c>
      <c r="C72" s="407">
        <f>VPI!Q72</f>
        <v>78</v>
      </c>
      <c r="D72" s="412">
        <f>Données!Z72</f>
        <v>2760</v>
      </c>
      <c r="E72" s="180">
        <f>VPI!R72</f>
        <v>107018.16986148078</v>
      </c>
      <c r="F72" s="317">
        <f>'Péréquation directe'!K78</f>
        <v>655615.27075402671</v>
      </c>
      <c r="G72" s="330">
        <f>PCS!I78</f>
        <v>1949394.1474843617</v>
      </c>
      <c r="H72" s="347">
        <f>'Facture policière'!L72</f>
        <v>336407.70571426488</v>
      </c>
      <c r="I72" s="464">
        <f t="shared" si="1"/>
        <v>2941417.1239526533</v>
      </c>
      <c r="J72" s="182"/>
    </row>
    <row r="73" spans="1:10" s="87" customFormat="1" x14ac:dyDescent="0.25">
      <c r="A73" s="405">
        <f>Données!A73</f>
        <v>5518</v>
      </c>
      <c r="B73" s="409" t="str">
        <f>Données!B73</f>
        <v>Echallens</v>
      </c>
      <c r="C73" s="407">
        <f>VPI!Q73</f>
        <v>72.5</v>
      </c>
      <c r="D73" s="412">
        <f>Données!Z73</f>
        <v>5731</v>
      </c>
      <c r="E73" s="180">
        <f>VPI!R73</f>
        <v>178600.86493850421</v>
      </c>
      <c r="F73" s="317">
        <f>'Péréquation directe'!K79</f>
        <v>-1822602.3516410971</v>
      </c>
      <c r="G73" s="330">
        <f>PCS!I79</f>
        <v>3217846.8048403193</v>
      </c>
      <c r="H73" s="347">
        <f>'Facture policière'!L73</f>
        <v>557024.81549046061</v>
      </c>
      <c r="I73" s="464">
        <f t="shared" si="1"/>
        <v>1952269.2686896827</v>
      </c>
      <c r="J73" s="182"/>
    </row>
    <row r="74" spans="1:10" s="87" customFormat="1" x14ac:dyDescent="0.25">
      <c r="A74" s="405">
        <f>Données!A74</f>
        <v>5520</v>
      </c>
      <c r="B74" s="409" t="str">
        <f>Données!B74</f>
        <v>Essertines-sur-Yverdon</v>
      </c>
      <c r="C74" s="407">
        <f>VPI!Q74</f>
        <v>73</v>
      </c>
      <c r="D74" s="412">
        <f>Données!Z74</f>
        <v>1036</v>
      </c>
      <c r="E74" s="180">
        <f>VPI!R74</f>
        <v>29717.541203363555</v>
      </c>
      <c r="F74" s="317">
        <f>'Péréquation directe'!K80</f>
        <v>-95983.660974907805</v>
      </c>
      <c r="G74" s="330">
        <f>PCS!I80</f>
        <v>565992.33775132697</v>
      </c>
      <c r="H74" s="347">
        <f>'Facture policière'!L74</f>
        <v>92552.274419570778</v>
      </c>
      <c r="I74" s="464">
        <f t="shared" si="1"/>
        <v>562560.95119598997</v>
      </c>
      <c r="J74" s="182"/>
    </row>
    <row r="75" spans="1:10" s="87" customFormat="1" x14ac:dyDescent="0.25">
      <c r="A75" s="405">
        <f>Données!A75</f>
        <v>5521</v>
      </c>
      <c r="B75" s="409" t="str">
        <f>Données!B75</f>
        <v>Etagnières</v>
      </c>
      <c r="C75" s="407">
        <f>VPI!Q75</f>
        <v>73</v>
      </c>
      <c r="D75" s="412">
        <f>Données!Z75</f>
        <v>1148</v>
      </c>
      <c r="E75" s="180">
        <f>VPI!R75</f>
        <v>46728.684482765391</v>
      </c>
      <c r="F75" s="317">
        <f>'Péréquation directe'!K81</f>
        <v>517598.83185938891</v>
      </c>
      <c r="G75" s="330">
        <f>PCS!I81</f>
        <v>777073.30230111524</v>
      </c>
      <c r="H75" s="347">
        <f>'Facture policière'!L75</f>
        <v>146219.92079824844</v>
      </c>
      <c r="I75" s="464">
        <f t="shared" si="1"/>
        <v>1440892.0549587526</v>
      </c>
      <c r="J75" s="182"/>
    </row>
    <row r="76" spans="1:10" s="87" customFormat="1" x14ac:dyDescent="0.25">
      <c r="A76" s="405">
        <f>Données!A76</f>
        <v>5522</v>
      </c>
      <c r="B76" s="409" t="str">
        <f>Données!B76</f>
        <v>Fey</v>
      </c>
      <c r="C76" s="407">
        <f>VPI!Q76</f>
        <v>75</v>
      </c>
      <c r="D76" s="412">
        <f>Données!Z76</f>
        <v>749</v>
      </c>
      <c r="E76" s="180">
        <f>VPI!R76</f>
        <v>23725.546686457117</v>
      </c>
      <c r="F76" s="317">
        <f>'Péréquation directe'!K82</f>
        <v>8292.5307930717245</v>
      </c>
      <c r="G76" s="330">
        <f>PCS!I82</f>
        <v>374304.87114512379</v>
      </c>
      <c r="H76" s="347">
        <f>'Facture policière'!L76</f>
        <v>74363.508910588047</v>
      </c>
      <c r="I76" s="464">
        <f t="shared" si="1"/>
        <v>456960.91084878356</v>
      </c>
      <c r="J76" s="182"/>
    </row>
    <row r="77" spans="1:10" s="87" customFormat="1" x14ac:dyDescent="0.25">
      <c r="A77" s="405">
        <f>Données!A77</f>
        <v>5523</v>
      </c>
      <c r="B77" s="409" t="str">
        <f>Données!B77</f>
        <v>Froideville</v>
      </c>
      <c r="C77" s="407">
        <f>VPI!Q77</f>
        <v>72</v>
      </c>
      <c r="D77" s="412">
        <f>Données!Z77</f>
        <v>2694</v>
      </c>
      <c r="E77" s="180">
        <f>VPI!R77</f>
        <v>85857.812378374249</v>
      </c>
      <c r="F77" s="317">
        <f>'Péréquation directe'!K83</f>
        <v>12441.281308193924</v>
      </c>
      <c r="G77" s="330">
        <f>PCS!I83</f>
        <v>1395342.5530433841</v>
      </c>
      <c r="H77" s="347">
        <f>'Facture policière'!L77</f>
        <v>267745.94397710159</v>
      </c>
      <c r="I77" s="464">
        <f t="shared" si="1"/>
        <v>1675529.7783286795</v>
      </c>
      <c r="J77" s="182"/>
    </row>
    <row r="78" spans="1:10" s="87" customFormat="1" x14ac:dyDescent="0.25">
      <c r="A78" s="405">
        <f>Données!A78</f>
        <v>5527</v>
      </c>
      <c r="B78" s="409" t="str">
        <f>Données!B78</f>
        <v>Morrens</v>
      </c>
      <c r="C78" s="407">
        <f>VPI!Q78</f>
        <v>74</v>
      </c>
      <c r="D78" s="412">
        <f>Données!Z78</f>
        <v>1153</v>
      </c>
      <c r="E78" s="180">
        <f>VPI!R78</f>
        <v>40562.178421686454</v>
      </c>
      <c r="F78" s="317">
        <f>'Péréquation directe'!K84</f>
        <v>238912.28491943865</v>
      </c>
      <c r="G78" s="330">
        <f>PCS!I84</f>
        <v>673789.46103666222</v>
      </c>
      <c r="H78" s="347">
        <f>'Facture policière'!L78</f>
        <v>127085.16473408832</v>
      </c>
      <c r="I78" s="464">
        <f t="shared" si="1"/>
        <v>1039786.9106901892</v>
      </c>
      <c r="J78" s="182"/>
    </row>
    <row r="79" spans="1:10" s="87" customFormat="1" x14ac:dyDescent="0.25">
      <c r="A79" s="405">
        <f>Données!A79</f>
        <v>5529</v>
      </c>
      <c r="B79" s="409" t="str">
        <f>Données!B79</f>
        <v>Oulens-sous-Echallens</v>
      </c>
      <c r="C79" s="407">
        <f>VPI!Q79</f>
        <v>70</v>
      </c>
      <c r="D79" s="412">
        <f>Données!Z79</f>
        <v>618</v>
      </c>
      <c r="E79" s="180">
        <f>VPI!R79</f>
        <v>20197.480835918959</v>
      </c>
      <c r="F79" s="317">
        <f>'Péréquation directe'!K85</f>
        <v>81213.82909220393</v>
      </c>
      <c r="G79" s="330">
        <f>PCS!I85</f>
        <v>316936.8485470647</v>
      </c>
      <c r="H79" s="347">
        <f>'Facture policière'!L79</f>
        <v>62994.113401282812</v>
      </c>
      <c r="I79" s="464">
        <f t="shared" si="1"/>
        <v>461144.79104055144</v>
      </c>
      <c r="J79" s="182"/>
    </row>
    <row r="80" spans="1:10" s="87" customFormat="1" x14ac:dyDescent="0.25">
      <c r="A80" s="405">
        <f>Données!A80</f>
        <v>5530</v>
      </c>
      <c r="B80" s="409" t="str">
        <f>Données!B80</f>
        <v>Pailly</v>
      </c>
      <c r="C80" s="407">
        <f>VPI!Q80</f>
        <v>76</v>
      </c>
      <c r="D80" s="412">
        <f>Données!Z80</f>
        <v>567</v>
      </c>
      <c r="E80" s="180">
        <f>VPI!R80</f>
        <v>18293.784444479894</v>
      </c>
      <c r="F80" s="317">
        <f>'Péréquation directe'!K86</f>
        <v>-275552.03808673931</v>
      </c>
      <c r="G80" s="330">
        <f>PCS!I86</f>
        <v>279593.38273851189</v>
      </c>
      <c r="H80" s="347">
        <f>'Facture policière'!L80</f>
        <v>57458.060896851945</v>
      </c>
      <c r="I80" s="464">
        <f t="shared" si="1"/>
        <v>61499.405548624527</v>
      </c>
      <c r="J80" s="182"/>
    </row>
    <row r="81" spans="1:10" s="87" customFormat="1" x14ac:dyDescent="0.25">
      <c r="A81" s="405">
        <f>Données!A81</f>
        <v>5531</v>
      </c>
      <c r="B81" s="409" t="str">
        <f>Données!B81</f>
        <v>Penthéréaz</v>
      </c>
      <c r="C81" s="407">
        <f>VPI!Q81</f>
        <v>74</v>
      </c>
      <c r="D81" s="412">
        <f>Données!Z81</f>
        <v>419</v>
      </c>
      <c r="E81" s="180">
        <f>VPI!R81</f>
        <v>13840.342734120952</v>
      </c>
      <c r="F81" s="317">
        <f>'Péréquation directe'!K87</f>
        <v>26310.742748274875</v>
      </c>
      <c r="G81" s="330">
        <f>PCS!I87</f>
        <v>230078.10457693951</v>
      </c>
      <c r="H81" s="347">
        <f>'Facture policière'!L81</f>
        <v>43479.854883359345</v>
      </c>
      <c r="I81" s="464">
        <f t="shared" si="1"/>
        <v>299868.70220857376</v>
      </c>
      <c r="J81" s="182"/>
    </row>
    <row r="82" spans="1:10" s="87" customFormat="1" x14ac:dyDescent="0.25">
      <c r="A82" s="405">
        <f>Données!A82</f>
        <v>5533</v>
      </c>
      <c r="B82" s="409" t="str">
        <f>Données!B82</f>
        <v>Poliez-Pittet</v>
      </c>
      <c r="C82" s="407">
        <f>VPI!Q82</f>
        <v>73</v>
      </c>
      <c r="D82" s="412">
        <f>Données!Z82</f>
        <v>829</v>
      </c>
      <c r="E82" s="180">
        <f>VPI!R82</f>
        <v>27171.721019789369</v>
      </c>
      <c r="F82" s="317">
        <f>'Péréquation directe'!K88</f>
        <v>148075.59211006493</v>
      </c>
      <c r="G82" s="330">
        <f>PCS!I88</f>
        <v>567188.56829908059</v>
      </c>
      <c r="H82" s="347">
        <f>'Facture policière'!L82</f>
        <v>85279.633066042588</v>
      </c>
      <c r="I82" s="464">
        <f t="shared" si="1"/>
        <v>800543.79347518808</v>
      </c>
      <c r="J82" s="182"/>
    </row>
    <row r="83" spans="1:10" s="87" customFormat="1" x14ac:dyDescent="0.25">
      <c r="A83" s="405">
        <f>Données!A83</f>
        <v>5534</v>
      </c>
      <c r="B83" s="409" t="str">
        <f>Données!B83</f>
        <v>Rueyres</v>
      </c>
      <c r="C83" s="407">
        <f>VPI!Q83</f>
        <v>73</v>
      </c>
      <c r="D83" s="412">
        <f>Données!Z83</f>
        <v>266</v>
      </c>
      <c r="E83" s="180">
        <f>VPI!R83</f>
        <v>9741.2664246848526</v>
      </c>
      <c r="F83" s="317">
        <f>'Péréquation directe'!K89</f>
        <v>97684.062001455619</v>
      </c>
      <c r="G83" s="330">
        <f>PCS!I89</f>
        <v>167480.00475410369</v>
      </c>
      <c r="H83" s="347">
        <f>'Facture policière'!L83</f>
        <v>29894.055568124539</v>
      </c>
      <c r="I83" s="464">
        <f t="shared" si="1"/>
        <v>295058.12232368381</v>
      </c>
      <c r="J83" s="182"/>
    </row>
    <row r="84" spans="1:10" s="87" customFormat="1" x14ac:dyDescent="0.25">
      <c r="A84" s="405">
        <f>Données!A84</f>
        <v>5535</v>
      </c>
      <c r="B84" s="409" t="str">
        <f>Données!B84</f>
        <v>Saint-Barthélemy</v>
      </c>
      <c r="C84" s="407">
        <f>VPI!Q84</f>
        <v>75</v>
      </c>
      <c r="D84" s="412">
        <f>Données!Z84</f>
        <v>784</v>
      </c>
      <c r="E84" s="180">
        <f>VPI!R84</f>
        <v>22506.660400000004</v>
      </c>
      <c r="F84" s="317">
        <f>'Péréquation directe'!K90</f>
        <v>26181.251852877147</v>
      </c>
      <c r="G84" s="330">
        <f>PCS!I90</f>
        <v>359666.36920433515</v>
      </c>
      <c r="H84" s="347">
        <f>'Facture policière'!L84</f>
        <v>70219.975398291019</v>
      </c>
      <c r="I84" s="464">
        <f t="shared" si="1"/>
        <v>456067.59645550331</v>
      </c>
      <c r="J84" s="182"/>
    </row>
    <row r="85" spans="1:10" s="87" customFormat="1" x14ac:dyDescent="0.25">
      <c r="A85" s="405">
        <f>Données!A85</f>
        <v>5537</v>
      </c>
      <c r="B85" s="409" t="str">
        <f>Données!B85</f>
        <v>Villars-le-Terroir</v>
      </c>
      <c r="C85" s="407">
        <f>VPI!Q85</f>
        <v>73</v>
      </c>
      <c r="D85" s="412">
        <f>Données!Z85</f>
        <v>1281</v>
      </c>
      <c r="E85" s="180">
        <f>VPI!R85</f>
        <v>37957.948044056422</v>
      </c>
      <c r="F85" s="317">
        <f>'Péréquation directe'!K91</f>
        <v>12422.226555552101</v>
      </c>
      <c r="G85" s="330">
        <f>PCS!I91</f>
        <v>651614.75899029046</v>
      </c>
      <c r="H85" s="347">
        <f>'Facture policière'!L85</f>
        <v>118544.05618086118</v>
      </c>
      <c r="I85" s="464">
        <f t="shared" si="1"/>
        <v>782581.04172670376</v>
      </c>
      <c r="J85" s="182"/>
    </row>
    <row r="86" spans="1:10" s="87" customFormat="1" x14ac:dyDescent="0.25">
      <c r="A86" s="405">
        <f>Données!A86</f>
        <v>5539</v>
      </c>
      <c r="B86" s="409" t="str">
        <f>Données!B86</f>
        <v>Vuarrens</v>
      </c>
      <c r="C86" s="407">
        <f>VPI!Q86</f>
        <v>73.5</v>
      </c>
      <c r="D86" s="412">
        <f>Données!Z86</f>
        <v>1060</v>
      </c>
      <c r="E86" s="180">
        <f>VPI!R86</f>
        <v>35955.043474705482</v>
      </c>
      <c r="F86" s="317">
        <f>'Péréquation directe'!K92</f>
        <v>227086.35532393679</v>
      </c>
      <c r="G86" s="330">
        <f>PCS!I92</f>
        <v>691205.29541168071</v>
      </c>
      <c r="H86" s="347">
        <f>'Facture policière'!L86</f>
        <v>113182.56846560977</v>
      </c>
      <c r="I86" s="464">
        <f t="shared" si="1"/>
        <v>1031474.2192012273</v>
      </c>
      <c r="J86" s="182"/>
    </row>
    <row r="87" spans="1:10" s="87" customFormat="1" x14ac:dyDescent="0.25">
      <c r="A87" s="405">
        <f>Données!A87</f>
        <v>5540</v>
      </c>
      <c r="B87" s="409" t="str">
        <f>Données!B87</f>
        <v>Montilliez</v>
      </c>
      <c r="C87" s="407">
        <f>VPI!Q87</f>
        <v>72.5</v>
      </c>
      <c r="D87" s="412">
        <f>Données!Z87</f>
        <v>1857</v>
      </c>
      <c r="E87" s="180">
        <f>VPI!R87</f>
        <v>66216.365354079026</v>
      </c>
      <c r="F87" s="317">
        <f>'Péréquation directe'!K93</f>
        <v>182867.8403435268</v>
      </c>
      <c r="G87" s="330">
        <f>PCS!I93</f>
        <v>1065384.2391425311</v>
      </c>
      <c r="H87" s="347">
        <f>'Facture policière'!L87</f>
        <v>208029.62558606669</v>
      </c>
      <c r="I87" s="464">
        <f t="shared" si="1"/>
        <v>1456281.7050721245</v>
      </c>
      <c r="J87" s="182"/>
    </row>
    <row r="88" spans="1:10" s="87" customFormat="1" x14ac:dyDescent="0.25">
      <c r="A88" s="405">
        <f>Données!A88</f>
        <v>5541</v>
      </c>
      <c r="B88" s="409" t="str">
        <f>Données!B88</f>
        <v>Goumoëns</v>
      </c>
      <c r="C88" s="407">
        <f>VPI!Q88</f>
        <v>75.5</v>
      </c>
      <c r="D88" s="412">
        <f>Données!Z88</f>
        <v>1153</v>
      </c>
      <c r="E88" s="180">
        <f>VPI!R88</f>
        <v>36974.846186713199</v>
      </c>
      <c r="F88" s="317">
        <f>'Péréquation directe'!K94</f>
        <v>146837.34507962875</v>
      </c>
      <c r="G88" s="330">
        <f>PCS!I94</f>
        <v>669810.73026323004</v>
      </c>
      <c r="H88" s="347">
        <f>'Facture policière'!L88</f>
        <v>116178.65426055266</v>
      </c>
      <c r="I88" s="464">
        <f t="shared" si="1"/>
        <v>932826.7296034114</v>
      </c>
      <c r="J88" s="182"/>
    </row>
    <row r="89" spans="1:10" s="87" customFormat="1" x14ac:dyDescent="0.25">
      <c r="A89" s="405">
        <f>Données!A89</f>
        <v>5551</v>
      </c>
      <c r="B89" s="409" t="str">
        <f>Données!B89</f>
        <v>Bonvillars</v>
      </c>
      <c r="C89" s="407">
        <f>VPI!Q89</f>
        <v>55</v>
      </c>
      <c r="D89" s="412">
        <f>Données!Z89</f>
        <v>489</v>
      </c>
      <c r="E89" s="180">
        <f>VPI!R89</f>
        <v>19152.288613413803</v>
      </c>
      <c r="F89" s="317">
        <f>'Péréquation directe'!K95</f>
        <v>209461.47564021265</v>
      </c>
      <c r="G89" s="330">
        <f>PCS!I95</f>
        <v>304642.19086071511</v>
      </c>
      <c r="H89" s="347">
        <f>'Facture policière'!L89</f>
        <v>58344.331479012661</v>
      </c>
      <c r="I89" s="464">
        <f t="shared" si="1"/>
        <v>572447.99797994038</v>
      </c>
      <c r="J89" s="182"/>
    </row>
    <row r="90" spans="1:10" s="87" customFormat="1" x14ac:dyDescent="0.25">
      <c r="A90" s="405">
        <f>Données!A90</f>
        <v>5552</v>
      </c>
      <c r="B90" s="409" t="str">
        <f>Données!B90</f>
        <v>Bullet</v>
      </c>
      <c r="C90" s="407">
        <f>VPI!Q90</f>
        <v>71.5</v>
      </c>
      <c r="D90" s="412">
        <f>Données!Z90</f>
        <v>657</v>
      </c>
      <c r="E90" s="180">
        <f>VPI!R90</f>
        <v>17562.45286713287</v>
      </c>
      <c r="F90" s="317">
        <f>'Péréquation directe'!K96</f>
        <v>-190420.7272356184</v>
      </c>
      <c r="G90" s="330">
        <f>PCS!I96</f>
        <v>328560.45941418229</v>
      </c>
      <c r="H90" s="347">
        <f>'Facture policière'!L90</f>
        <v>54426.18207502694</v>
      </c>
      <c r="I90" s="464">
        <f t="shared" si="1"/>
        <v>192565.91425359083</v>
      </c>
      <c r="J90" s="182"/>
    </row>
    <row r="91" spans="1:10" s="87" customFormat="1" x14ac:dyDescent="0.25">
      <c r="A91" s="405">
        <f>Données!A91</f>
        <v>5553</v>
      </c>
      <c r="B91" s="409" t="str">
        <f>Données!B91</f>
        <v>Champagne</v>
      </c>
      <c r="C91" s="407">
        <f>VPI!Q91</f>
        <v>65</v>
      </c>
      <c r="D91" s="412">
        <f>Données!Z91</f>
        <v>1061</v>
      </c>
      <c r="E91" s="180">
        <f>VPI!R91</f>
        <v>38621.939977657414</v>
      </c>
      <c r="F91" s="317">
        <f>'Péréquation directe'!K97</f>
        <v>274465.07888315408</v>
      </c>
      <c r="G91" s="330">
        <f>PCS!I97</f>
        <v>720904.86265132087</v>
      </c>
      <c r="H91" s="347">
        <f>'Facture policière'!L91</f>
        <v>119215.40037902766</v>
      </c>
      <c r="I91" s="464">
        <f t="shared" si="1"/>
        <v>1114585.3419135027</v>
      </c>
      <c r="J91" s="182"/>
    </row>
    <row r="92" spans="1:10" s="87" customFormat="1" x14ac:dyDescent="0.25">
      <c r="A92" s="405">
        <f>Données!A92</f>
        <v>5554</v>
      </c>
      <c r="B92" s="409" t="str">
        <f>Données!B92</f>
        <v>Concise</v>
      </c>
      <c r="C92" s="407">
        <f>VPI!Q92</f>
        <v>75</v>
      </c>
      <c r="D92" s="412">
        <f>Données!Z92</f>
        <v>1001</v>
      </c>
      <c r="E92" s="180">
        <f>VPI!R92</f>
        <v>32321.208248272062</v>
      </c>
      <c r="F92" s="317">
        <f>'Péréquation directe'!K98</f>
        <v>-14447.982929625083</v>
      </c>
      <c r="G92" s="330">
        <f>PCS!I98</f>
        <v>596554.92000724841</v>
      </c>
      <c r="H92" s="347">
        <f>'Facture policière'!L92</f>
        <v>101885.72515788062</v>
      </c>
      <c r="I92" s="464">
        <f t="shared" si="1"/>
        <v>683992.6622355039</v>
      </c>
      <c r="J92" s="182"/>
    </row>
    <row r="93" spans="1:10" s="87" customFormat="1" x14ac:dyDescent="0.25">
      <c r="A93" s="405">
        <f>Données!A93</f>
        <v>5555</v>
      </c>
      <c r="B93" s="409" t="str">
        <f>Données!B93</f>
        <v>Corcelles-près-Concise</v>
      </c>
      <c r="C93" s="407">
        <f>VPI!Q93</f>
        <v>69</v>
      </c>
      <c r="D93" s="412">
        <f>Données!Z93</f>
        <v>419</v>
      </c>
      <c r="E93" s="180">
        <f>VPI!R93</f>
        <v>13590.982580275477</v>
      </c>
      <c r="F93" s="317">
        <f>'Péréquation directe'!K99</f>
        <v>-69926.653568182373</v>
      </c>
      <c r="G93" s="330">
        <f>PCS!I99</f>
        <v>289553.20258381299</v>
      </c>
      <c r="H93" s="347">
        <f>'Facture policière'!L93</f>
        <v>42030.543823355052</v>
      </c>
      <c r="I93" s="464">
        <f t="shared" si="1"/>
        <v>261657.09283898567</v>
      </c>
      <c r="J93" s="182"/>
    </row>
    <row r="94" spans="1:10" s="87" customFormat="1" x14ac:dyDescent="0.25">
      <c r="A94" s="405">
        <f>Données!A94</f>
        <v>5556</v>
      </c>
      <c r="B94" s="409" t="str">
        <f>Données!B94</f>
        <v>Fiez</v>
      </c>
      <c r="C94" s="407">
        <f>VPI!Q94</f>
        <v>69</v>
      </c>
      <c r="D94" s="412">
        <f>Données!Z94</f>
        <v>451</v>
      </c>
      <c r="E94" s="180">
        <f>VPI!R94</f>
        <v>13811.370927055856</v>
      </c>
      <c r="F94" s="317">
        <f>'Péréquation directe'!K100</f>
        <v>56438.248383198981</v>
      </c>
      <c r="G94" s="330">
        <f>PCS!I100</f>
        <v>247015.7443682951</v>
      </c>
      <c r="H94" s="347">
        <f>'Facture policière'!L94</f>
        <v>43270.196102273847</v>
      </c>
      <c r="I94" s="464">
        <f t="shared" si="1"/>
        <v>346724.18885376788</v>
      </c>
      <c r="J94" s="182"/>
    </row>
    <row r="95" spans="1:10" s="87" customFormat="1" x14ac:dyDescent="0.25">
      <c r="A95" s="405">
        <f>Données!A95</f>
        <v>5557</v>
      </c>
      <c r="B95" s="409" t="str">
        <f>Données!B95</f>
        <v>Fontaines-sur-Grandson</v>
      </c>
      <c r="C95" s="407">
        <f>VPI!Q95</f>
        <v>69</v>
      </c>
      <c r="D95" s="412">
        <f>Données!Z95</f>
        <v>219</v>
      </c>
      <c r="E95" s="180">
        <f>VPI!R95</f>
        <v>5898.4472463768097</v>
      </c>
      <c r="F95" s="317">
        <f>'Péréquation directe'!K101</f>
        <v>-1002.7421508390107</v>
      </c>
      <c r="G95" s="330">
        <f>PCS!I101</f>
        <v>118573.59441758512</v>
      </c>
      <c r="H95" s="347">
        <f>'Facture policière'!L95</f>
        <v>18299.124744042354</v>
      </c>
      <c r="I95" s="464">
        <f t="shared" si="1"/>
        <v>135869.97701078845</v>
      </c>
      <c r="J95" s="182"/>
    </row>
    <row r="96" spans="1:10" s="87" customFormat="1" x14ac:dyDescent="0.25">
      <c r="A96" s="405">
        <f>Données!A96</f>
        <v>5559</v>
      </c>
      <c r="B96" s="409" t="str">
        <f>Données!B96</f>
        <v>Giez</v>
      </c>
      <c r="C96" s="407">
        <f>VPI!Q96</f>
        <v>66</v>
      </c>
      <c r="D96" s="412">
        <f>Données!Z96</f>
        <v>414</v>
      </c>
      <c r="E96" s="180">
        <f>VPI!R96</f>
        <v>17108.440303030304</v>
      </c>
      <c r="F96" s="317">
        <f>'Péréquation directe'!K102</f>
        <v>230163.93199873605</v>
      </c>
      <c r="G96" s="330">
        <f>PCS!I102</f>
        <v>309804.96401705715</v>
      </c>
      <c r="H96" s="347">
        <f>'Facture policière'!L96</f>
        <v>53522.905725959528</v>
      </c>
      <c r="I96" s="464">
        <f t="shared" si="1"/>
        <v>593491.80174175277</v>
      </c>
      <c r="J96" s="182"/>
    </row>
    <row r="97" spans="1:10" s="87" customFormat="1" x14ac:dyDescent="0.25">
      <c r="A97" s="405">
        <f>Données!A97</f>
        <v>5560</v>
      </c>
      <c r="B97" s="409" t="str">
        <f>Données!B97</f>
        <v>Grandevent</v>
      </c>
      <c r="C97" s="407">
        <f>VPI!Q97</f>
        <v>68</v>
      </c>
      <c r="D97" s="412">
        <f>Données!Z97</f>
        <v>226</v>
      </c>
      <c r="E97" s="180">
        <f>VPI!R97</f>
        <v>6167.5355002978977</v>
      </c>
      <c r="F97" s="317">
        <f>'Péréquation directe'!K103</f>
        <v>1892.7150852294581</v>
      </c>
      <c r="G97" s="330">
        <f>PCS!I103</f>
        <v>104110.22131957639</v>
      </c>
      <c r="H97" s="347">
        <f>'Facture policière'!L97</f>
        <v>19036.858906948277</v>
      </c>
      <c r="I97" s="464">
        <f t="shared" si="1"/>
        <v>125039.79531175413</v>
      </c>
      <c r="J97" s="182"/>
    </row>
    <row r="98" spans="1:10" s="87" customFormat="1" x14ac:dyDescent="0.25">
      <c r="A98" s="405">
        <f>Données!A98</f>
        <v>5561</v>
      </c>
      <c r="B98" s="409" t="str">
        <f>Données!B98</f>
        <v>Grandson</v>
      </c>
      <c r="C98" s="407">
        <f>VPI!Q98</f>
        <v>69</v>
      </c>
      <c r="D98" s="412">
        <f>Données!Z98</f>
        <v>3356</v>
      </c>
      <c r="E98" s="180">
        <f>VPI!R98</f>
        <v>114698.81047200582</v>
      </c>
      <c r="F98" s="317">
        <f>'Péréquation directe'!K104</f>
        <v>-580638.54823936056</v>
      </c>
      <c r="G98" s="330">
        <f>PCS!I104</f>
        <v>2129687.5848870459</v>
      </c>
      <c r="H98" s="347">
        <f>'Facture policière'!L98</f>
        <v>358464.23651516088</v>
      </c>
      <c r="I98" s="464">
        <f t="shared" si="1"/>
        <v>1907513.2731628462</v>
      </c>
      <c r="J98" s="182"/>
    </row>
    <row r="99" spans="1:10" s="87" customFormat="1" x14ac:dyDescent="0.25">
      <c r="A99" s="405">
        <f>Données!A99</f>
        <v>5562</v>
      </c>
      <c r="B99" s="409" t="str">
        <f>Données!B99</f>
        <v>Mauborget</v>
      </c>
      <c r="C99" s="407">
        <f>VPI!Q99</f>
        <v>70</v>
      </c>
      <c r="D99" s="412">
        <f>Données!Z99</f>
        <v>128</v>
      </c>
      <c r="E99" s="180">
        <f>VPI!R99</f>
        <v>6036.4454253269014</v>
      </c>
      <c r="F99" s="317">
        <f>'Péréquation directe'!K105</f>
        <v>94176.532234290513</v>
      </c>
      <c r="G99" s="330">
        <f>PCS!I105</f>
        <v>102597.1239721794</v>
      </c>
      <c r="H99" s="347">
        <f>'Facture policière'!L99</f>
        <v>18688.661541725087</v>
      </c>
      <c r="I99" s="464">
        <f t="shared" si="1"/>
        <v>215462.31774819503</v>
      </c>
      <c r="J99" s="182"/>
    </row>
    <row r="100" spans="1:10" s="87" customFormat="1" x14ac:dyDescent="0.25">
      <c r="A100" s="405">
        <f>Données!A100</f>
        <v>5563</v>
      </c>
      <c r="B100" s="409" t="str">
        <f>Données!B100</f>
        <v>Mutrux</v>
      </c>
      <c r="C100" s="407">
        <f>VPI!Q100</f>
        <v>80</v>
      </c>
      <c r="D100" s="412">
        <f>Données!Z100</f>
        <v>149</v>
      </c>
      <c r="E100" s="180">
        <f>VPI!R100</f>
        <v>4073.4583735660226</v>
      </c>
      <c r="F100" s="317">
        <f>'Péréquation directe'!K106</f>
        <v>-59942.994035507567</v>
      </c>
      <c r="G100" s="330">
        <f>PCS!I106</f>
        <v>71287.426923780207</v>
      </c>
      <c r="H100" s="347">
        <f>'Facture policière'!L100</f>
        <v>12856.402139344638</v>
      </c>
      <c r="I100" s="464">
        <f t="shared" si="1"/>
        <v>24200.835027617279</v>
      </c>
      <c r="J100" s="182"/>
    </row>
    <row r="101" spans="1:10" s="87" customFormat="1" x14ac:dyDescent="0.25">
      <c r="A101" s="405">
        <f>Données!A101</f>
        <v>5564</v>
      </c>
      <c r="B101" s="409" t="str">
        <f>Données!B101</f>
        <v>Novalles</v>
      </c>
      <c r="C101" s="407">
        <f>VPI!Q101</f>
        <v>76</v>
      </c>
      <c r="D101" s="412">
        <f>Données!Z101</f>
        <v>99</v>
      </c>
      <c r="E101" s="180">
        <f>VPI!R101</f>
        <v>2091.5278618421053</v>
      </c>
      <c r="F101" s="317">
        <f>'Péréquation directe'!K107</f>
        <v>-32525.692237321731</v>
      </c>
      <c r="G101" s="330">
        <f>PCS!I107</f>
        <v>43958.44952782194</v>
      </c>
      <c r="H101" s="347">
        <f>'Facture policière'!L101</f>
        <v>6528.0905781521487</v>
      </c>
      <c r="I101" s="464">
        <f t="shared" si="1"/>
        <v>17960.847868652359</v>
      </c>
      <c r="J101" s="182"/>
    </row>
    <row r="102" spans="1:10" s="87" customFormat="1" x14ac:dyDescent="0.25">
      <c r="A102" s="405">
        <f>Données!A102</f>
        <v>5565</v>
      </c>
      <c r="B102" s="409" t="str">
        <f>Données!B102</f>
        <v>Onnens</v>
      </c>
      <c r="C102" s="407">
        <f>VPI!Q102</f>
        <v>63.5</v>
      </c>
      <c r="D102" s="412">
        <f>Données!Z102</f>
        <v>505</v>
      </c>
      <c r="E102" s="180">
        <f>VPI!R102</f>
        <v>19614.777543776931</v>
      </c>
      <c r="F102" s="317">
        <f>'Péréquation directe'!K108</f>
        <v>208507.16382258781</v>
      </c>
      <c r="G102" s="330">
        <f>PCS!I108</f>
        <v>319160.8382021992</v>
      </c>
      <c r="H102" s="347">
        <f>'Facture policière'!L102</f>
        <v>59671.490888720364</v>
      </c>
      <c r="I102" s="464">
        <f t="shared" si="1"/>
        <v>587339.49291350739</v>
      </c>
      <c r="J102" s="182"/>
    </row>
    <row r="103" spans="1:10" s="87" customFormat="1" x14ac:dyDescent="0.25">
      <c r="A103" s="405">
        <f>Données!A103</f>
        <v>5566</v>
      </c>
      <c r="B103" s="409" t="str">
        <f>Données!B103</f>
        <v>Provence</v>
      </c>
      <c r="C103" s="407">
        <f>VPI!Q103</f>
        <v>81</v>
      </c>
      <c r="D103" s="412">
        <f>Données!Z103</f>
        <v>392</v>
      </c>
      <c r="E103" s="180">
        <f>VPI!R103</f>
        <v>7592.3490248426833</v>
      </c>
      <c r="F103" s="317">
        <f>'Péréquation directe'!K109</f>
        <v>-504033.10900161997</v>
      </c>
      <c r="G103" s="330">
        <f>PCS!I109</f>
        <v>188389.84945102801</v>
      </c>
      <c r="H103" s="347">
        <f>'Facture policière'!L103</f>
        <v>23595.513736950485</v>
      </c>
      <c r="I103" s="464">
        <f t="shared" si="1"/>
        <v>-292047.74581364146</v>
      </c>
      <c r="J103" s="182"/>
    </row>
    <row r="104" spans="1:10" s="87" customFormat="1" x14ac:dyDescent="0.25">
      <c r="A104" s="405">
        <f>Données!A104</f>
        <v>5568</v>
      </c>
      <c r="B104" s="409" t="str">
        <f>Données!B104</f>
        <v>Sainte-Croix</v>
      </c>
      <c r="C104" s="407">
        <f>VPI!Q104</f>
        <v>70</v>
      </c>
      <c r="D104" s="412">
        <f>Données!Z104</f>
        <v>4917</v>
      </c>
      <c r="E104" s="180">
        <f>VPI!R104</f>
        <v>106408.06903013417</v>
      </c>
      <c r="F104" s="317">
        <f>'Péréquation directe'!K110</f>
        <v>-3573921.7272255518</v>
      </c>
      <c r="G104" s="330">
        <f>PCS!I110</f>
        <v>2609041.0266124979</v>
      </c>
      <c r="H104" s="347">
        <f>'Facture policière'!L104</f>
        <v>330997.5720133076</v>
      </c>
      <c r="I104" s="464">
        <f t="shared" si="1"/>
        <v>-633883.12859974639</v>
      </c>
      <c r="J104" s="182"/>
    </row>
    <row r="105" spans="1:10" s="87" customFormat="1" x14ac:dyDescent="0.25">
      <c r="A105" s="405">
        <f>Données!A105</f>
        <v>5571</v>
      </c>
      <c r="B105" s="409" t="str">
        <f>Données!B105</f>
        <v>Tévenon</v>
      </c>
      <c r="C105" s="407">
        <f>VPI!Q105</f>
        <v>71.5</v>
      </c>
      <c r="D105" s="412">
        <f>Données!Z105</f>
        <v>894</v>
      </c>
      <c r="E105" s="180">
        <f>VPI!R105</f>
        <v>21375.598965432913</v>
      </c>
      <c r="F105" s="317">
        <f>'Péréquation directe'!K111</f>
        <v>-266776.81441485084</v>
      </c>
      <c r="G105" s="330">
        <f>PCS!I111</f>
        <v>387375.32579187653</v>
      </c>
      <c r="H105" s="347">
        <f>'Facture policière'!L105</f>
        <v>65495.747496009339</v>
      </c>
      <c r="I105" s="464">
        <f t="shared" si="1"/>
        <v>186094.25887303503</v>
      </c>
      <c r="J105" s="182"/>
    </row>
    <row r="106" spans="1:10" s="87" customFormat="1" x14ac:dyDescent="0.25">
      <c r="A106" s="405">
        <f>Données!A106</f>
        <v>5581</v>
      </c>
      <c r="B106" s="409" t="str">
        <f>Données!B106</f>
        <v>Belmont-sur-Lausanne</v>
      </c>
      <c r="C106" s="407">
        <f>VPI!Q106</f>
        <v>72</v>
      </c>
      <c r="D106" s="412">
        <f>Données!Z106</f>
        <v>3756</v>
      </c>
      <c r="E106" s="180">
        <f>VPI!R106</f>
        <v>212399.01953543225</v>
      </c>
      <c r="F106" s="317">
        <f>'Péréquation directe'!K112</f>
        <v>2149070.8274573367</v>
      </c>
      <c r="G106" s="330">
        <f>PCS!I112</f>
        <v>4508431.0701831514</v>
      </c>
      <c r="H106" s="347">
        <f>'Facture policière'!L106</f>
        <v>274708.44910061703</v>
      </c>
      <c r="I106" s="464">
        <f t="shared" si="1"/>
        <v>6932210.3467411054</v>
      </c>
      <c r="J106" s="182"/>
    </row>
    <row r="107" spans="1:10" s="87" customFormat="1" x14ac:dyDescent="0.25">
      <c r="A107" s="405">
        <f>Données!A107</f>
        <v>5582</v>
      </c>
      <c r="B107" s="409" t="str">
        <f>Données!B107</f>
        <v>Cheseaux-sur-Lausanne</v>
      </c>
      <c r="C107" s="407">
        <f>VPI!Q107</f>
        <v>73</v>
      </c>
      <c r="D107" s="412">
        <f>Données!Z107</f>
        <v>4367</v>
      </c>
      <c r="E107" s="180">
        <f>VPI!R107</f>
        <v>163661.81439852438</v>
      </c>
      <c r="F107" s="317">
        <f>'Péréquation directe'!K113</f>
        <v>418540.99285068316</v>
      </c>
      <c r="G107" s="330">
        <f>PCS!I113</f>
        <v>2830160.8174522817</v>
      </c>
      <c r="H107" s="347">
        <f>'Facture policière'!L107</f>
        <v>511513.94145306601</v>
      </c>
      <c r="I107" s="464">
        <f t="shared" si="1"/>
        <v>3760215.7517560311</v>
      </c>
      <c r="J107" s="182"/>
    </row>
    <row r="108" spans="1:10" s="87" customFormat="1" x14ac:dyDescent="0.25">
      <c r="A108" s="405">
        <f>Données!A108</f>
        <v>5583</v>
      </c>
      <c r="B108" s="409" t="str">
        <f>Données!B108</f>
        <v>Crissier</v>
      </c>
      <c r="C108" s="407">
        <f>VPI!Q108</f>
        <v>63.5</v>
      </c>
      <c r="D108" s="412">
        <f>Données!Z108</f>
        <v>8700</v>
      </c>
      <c r="E108" s="180">
        <f>VPI!R108</f>
        <v>366439.37058398779</v>
      </c>
      <c r="F108" s="317">
        <f>'Péréquation directe'!K114</f>
        <v>-299997.8628248712</v>
      </c>
      <c r="G108" s="330">
        <f>PCS!I114</f>
        <v>6794092.2903066073</v>
      </c>
      <c r="H108" s="347">
        <f>'Facture policière'!L108</f>
        <v>473938.11611141101</v>
      </c>
      <c r="I108" s="464">
        <f t="shared" si="1"/>
        <v>6968032.5435931468</v>
      </c>
      <c r="J108" s="182"/>
    </row>
    <row r="109" spans="1:10" s="87" customFormat="1" x14ac:dyDescent="0.25">
      <c r="A109" s="405">
        <f>Données!A109</f>
        <v>5584</v>
      </c>
      <c r="B109" s="409" t="str">
        <f>Données!B109</f>
        <v>Epalinges</v>
      </c>
      <c r="C109" s="407">
        <f>VPI!Q109</f>
        <v>64.5</v>
      </c>
      <c r="D109" s="412">
        <f>Données!Z109</f>
        <v>9755</v>
      </c>
      <c r="E109" s="180">
        <f>VPI!R109</f>
        <v>481828.05446555291</v>
      </c>
      <c r="F109" s="317">
        <f>'Péréquation directe'!K115</f>
        <v>1023226.5709095597</v>
      </c>
      <c r="G109" s="330">
        <f>PCS!I115</f>
        <v>9302899.1973805334</v>
      </c>
      <c r="H109" s="347">
        <f>'Facture policière'!L109</f>
        <v>1452456.1267690849</v>
      </c>
      <c r="I109" s="464">
        <f t="shared" si="1"/>
        <v>11778581.895059178</v>
      </c>
      <c r="J109" s="182"/>
    </row>
    <row r="110" spans="1:10" s="87" customFormat="1" x14ac:dyDescent="0.25">
      <c r="A110" s="405">
        <f>Données!A110</f>
        <v>5585</v>
      </c>
      <c r="B110" s="409" t="str">
        <f>Données!B110</f>
        <v>Jouxtens-Mézery</v>
      </c>
      <c r="C110" s="407">
        <f>VPI!Q110</f>
        <v>59</v>
      </c>
      <c r="D110" s="412">
        <f>Données!Z110</f>
        <v>1411</v>
      </c>
      <c r="E110" s="180">
        <f>VPI!R110</f>
        <v>202456.81185453033</v>
      </c>
      <c r="F110" s="317">
        <f>'Péréquation directe'!K116</f>
        <v>3323469.6324131312</v>
      </c>
      <c r="G110" s="330">
        <f>PCS!I116</f>
        <v>6943119.2766043246</v>
      </c>
      <c r="H110" s="347">
        <f>'Facture policière'!L110</f>
        <v>381799.61755008192</v>
      </c>
      <c r="I110" s="464">
        <f t="shared" si="1"/>
        <v>10648388.526567537</v>
      </c>
      <c r="J110" s="182"/>
    </row>
    <row r="111" spans="1:10" s="87" customFormat="1" x14ac:dyDescent="0.25">
      <c r="A111" s="405">
        <f>Données!A111</f>
        <v>5586</v>
      </c>
      <c r="B111" s="409" t="str">
        <f>Données!B111</f>
        <v>Lausanne</v>
      </c>
      <c r="C111" s="407">
        <f>VPI!Q111</f>
        <v>78.5</v>
      </c>
      <c r="D111" s="412">
        <f>Données!Z111</f>
        <v>140430</v>
      </c>
      <c r="E111" s="180">
        <f>VPI!R111</f>
        <v>6147866.1896833694</v>
      </c>
      <c r="F111" s="317">
        <f>'Péréquation directe'!K117</f>
        <v>-76461918.766157076</v>
      </c>
      <c r="G111" s="330">
        <f>PCS!I117</f>
        <v>112382604.52569373</v>
      </c>
      <c r="H111" s="347">
        <f>'Facture policière'!L111</f>
        <v>7951405.7547911694</v>
      </c>
      <c r="I111" s="464">
        <f t="shared" si="1"/>
        <v>43872091.514327824</v>
      </c>
      <c r="J111" s="182"/>
    </row>
    <row r="112" spans="1:10" s="87" customFormat="1" x14ac:dyDescent="0.25">
      <c r="A112" s="405">
        <f>Données!A112</f>
        <v>5587</v>
      </c>
      <c r="B112" s="409" t="str">
        <f>Données!B112</f>
        <v>Le Mont-sur-Lausanne</v>
      </c>
      <c r="C112" s="407">
        <f>VPI!Q112</f>
        <v>73.5</v>
      </c>
      <c r="D112" s="412">
        <f>Données!Z112</f>
        <v>9136</v>
      </c>
      <c r="E112" s="180">
        <f>VPI!R112</f>
        <v>442283.52488437272</v>
      </c>
      <c r="F112" s="317">
        <f>'Péréquation directe'!K118</f>
        <v>2005117.3789488226</v>
      </c>
      <c r="G112" s="330">
        <f>PCS!I118</f>
        <v>8500622.6095892452</v>
      </c>
      <c r="H112" s="347">
        <f>'Facture policière'!L112</f>
        <v>1348689.2128261311</v>
      </c>
      <c r="I112" s="464">
        <f t="shared" si="1"/>
        <v>11854429.201364199</v>
      </c>
      <c r="J112" s="182"/>
    </row>
    <row r="113" spans="1:10" s="87" customFormat="1" x14ac:dyDescent="0.25">
      <c r="A113" s="405">
        <f>Données!A113</f>
        <v>5588</v>
      </c>
      <c r="B113" s="409" t="str">
        <f>Données!B113</f>
        <v>Paudex</v>
      </c>
      <c r="C113" s="407">
        <f>VPI!Q113</f>
        <v>66.5</v>
      </c>
      <c r="D113" s="412">
        <f>Données!Z113</f>
        <v>1538</v>
      </c>
      <c r="E113" s="180">
        <f>VPI!R113</f>
        <v>135325.41739882343</v>
      </c>
      <c r="F113" s="317">
        <f>'Péréquation directe'!K119</f>
        <v>2281556.797147247</v>
      </c>
      <c r="G113" s="330">
        <f>PCS!I119</f>
        <v>3628918.5643534325</v>
      </c>
      <c r="H113" s="347">
        <f>'Facture policière'!L113</f>
        <v>175024.5157385151</v>
      </c>
      <c r="I113" s="464">
        <f t="shared" si="1"/>
        <v>6085499.8772391947</v>
      </c>
      <c r="J113" s="182"/>
    </row>
    <row r="114" spans="1:10" s="87" customFormat="1" x14ac:dyDescent="0.25">
      <c r="A114" s="405">
        <f>Données!A114</f>
        <v>5589</v>
      </c>
      <c r="B114" s="409" t="str">
        <f>Données!B114</f>
        <v>Prilly</v>
      </c>
      <c r="C114" s="407">
        <f>VPI!Q114</f>
        <v>72.5</v>
      </c>
      <c r="D114" s="412">
        <f>Données!Z114</f>
        <v>12383</v>
      </c>
      <c r="E114" s="180">
        <f>VPI!R114</f>
        <v>453159.46835878264</v>
      </c>
      <c r="F114" s="317">
        <f>'Péréquation directe'!K120</f>
        <v>-3521665.6140714549</v>
      </c>
      <c r="G114" s="330">
        <f>PCS!I120</f>
        <v>7937922.3432843229</v>
      </c>
      <c r="H114" s="347">
        <f>'Facture policière'!L114</f>
        <v>586098.44348803372</v>
      </c>
      <c r="I114" s="464">
        <f t="shared" si="1"/>
        <v>5002355.1727009015</v>
      </c>
      <c r="J114" s="182"/>
    </row>
    <row r="115" spans="1:10" s="87" customFormat="1" x14ac:dyDescent="0.25">
      <c r="A115" s="405">
        <f>Données!A115</f>
        <v>5590</v>
      </c>
      <c r="B115" s="409" t="str">
        <f>Données!B115</f>
        <v>Pully</v>
      </c>
      <c r="C115" s="407">
        <f>VPI!Q115</f>
        <v>61</v>
      </c>
      <c r="D115" s="412">
        <f>Données!Z115</f>
        <v>18688</v>
      </c>
      <c r="E115" s="180">
        <f>VPI!R115</f>
        <v>1476232.2063472071</v>
      </c>
      <c r="F115" s="317">
        <f>'Péréquation directe'!K121</f>
        <v>12382915.364185125</v>
      </c>
      <c r="G115" s="330">
        <f>PCS!I121</f>
        <v>37361203.214299612</v>
      </c>
      <c r="H115" s="347">
        <f>'Facture policière'!L115</f>
        <v>1909300.0561161842</v>
      </c>
      <c r="I115" s="464">
        <f t="shared" si="1"/>
        <v>51653418.634600922</v>
      </c>
      <c r="J115" s="182"/>
    </row>
    <row r="116" spans="1:10" s="87" customFormat="1" x14ac:dyDescent="0.25">
      <c r="A116" s="405">
        <f>Données!A116</f>
        <v>5591</v>
      </c>
      <c r="B116" s="409" t="str">
        <f>Données!B116</f>
        <v>Renens</v>
      </c>
      <c r="C116" s="407">
        <f>VPI!Q116</f>
        <v>77</v>
      </c>
      <c r="D116" s="412">
        <f>Données!Z116</f>
        <v>20863</v>
      </c>
      <c r="E116" s="180">
        <f>VPI!R116</f>
        <v>594878.13045762118</v>
      </c>
      <c r="F116" s="317">
        <f>'Péréquation directe'!K122</f>
        <v>-18886987.651447773</v>
      </c>
      <c r="G116" s="330">
        <f>PCS!I122</f>
        <v>11589107.377554236</v>
      </c>
      <c r="H116" s="347">
        <f>'Facture policière'!L116</f>
        <v>769391.72779291647</v>
      </c>
      <c r="I116" s="464">
        <f t="shared" si="1"/>
        <v>-6528488.5461006202</v>
      </c>
      <c r="J116" s="182"/>
    </row>
    <row r="117" spans="1:10" s="87" customFormat="1" x14ac:dyDescent="0.25">
      <c r="A117" s="405">
        <f>Données!A117</f>
        <v>5592</v>
      </c>
      <c r="B117" s="409" t="str">
        <f>Données!B117</f>
        <v>Romanel-sur-Lausanne</v>
      </c>
      <c r="C117" s="407">
        <f>VPI!Q117</f>
        <v>70.5</v>
      </c>
      <c r="D117" s="412">
        <f>Données!Z117</f>
        <v>3247</v>
      </c>
      <c r="E117" s="180">
        <f>VPI!R117</f>
        <v>121107.61842839372</v>
      </c>
      <c r="F117" s="317">
        <f>'Péréquation directe'!K123</f>
        <v>602921.11410852987</v>
      </c>
      <c r="G117" s="330">
        <f>PCS!I123</f>
        <v>2041241.5809071308</v>
      </c>
      <c r="H117" s="347">
        <f>'Facture policière'!L117</f>
        <v>375637.38506876933</v>
      </c>
      <c r="I117" s="464">
        <f t="shared" si="1"/>
        <v>3019800.0800844301</v>
      </c>
      <c r="J117" s="182"/>
    </row>
    <row r="118" spans="1:10" s="87" customFormat="1" x14ac:dyDescent="0.25">
      <c r="A118" s="405">
        <f>Données!A118</f>
        <v>5601</v>
      </c>
      <c r="B118" s="409" t="str">
        <f>Données!B118</f>
        <v>Chexbres</v>
      </c>
      <c r="C118" s="407">
        <f>VPI!Q118</f>
        <v>67.5</v>
      </c>
      <c r="D118" s="412">
        <f>Données!Z118</f>
        <v>2251</v>
      </c>
      <c r="E118" s="180">
        <f>VPI!R118</f>
        <v>98052.639768384004</v>
      </c>
      <c r="F118" s="317">
        <f>'Péréquation directe'!K124</f>
        <v>850515.59109608317</v>
      </c>
      <c r="G118" s="330">
        <f>PCS!I124</f>
        <v>2278339.0209278627</v>
      </c>
      <c r="H118" s="347">
        <f>'Facture policière'!L118</f>
        <v>126817.38672762954</v>
      </c>
      <c r="I118" s="464">
        <f t="shared" si="1"/>
        <v>3255671.9987515756</v>
      </c>
      <c r="J118" s="182"/>
    </row>
    <row r="119" spans="1:10" s="87" customFormat="1" x14ac:dyDescent="0.25">
      <c r="A119" s="405">
        <f>Données!A119</f>
        <v>5604</v>
      </c>
      <c r="B119" s="409" t="str">
        <f>Données!B119</f>
        <v>Forel (Lavaux)</v>
      </c>
      <c r="C119" s="407">
        <f>VPI!Q119</f>
        <v>69</v>
      </c>
      <c r="D119" s="412">
        <f>Données!Z119</f>
        <v>2105</v>
      </c>
      <c r="E119" s="180">
        <f>VPI!R119</f>
        <v>71266.170275257027</v>
      </c>
      <c r="F119" s="317">
        <f>'Péréquation directe'!K125</f>
        <v>71841.61996581452</v>
      </c>
      <c r="G119" s="330">
        <f>PCS!I125</f>
        <v>1229540.0906798062</v>
      </c>
      <c r="H119" s="347">
        <f>'Facture policière'!L119</f>
        <v>222367.8100671352</v>
      </c>
      <c r="I119" s="464">
        <f t="shared" si="1"/>
        <v>1523749.5207127559</v>
      </c>
      <c r="J119" s="182"/>
    </row>
    <row r="120" spans="1:10" s="87" customFormat="1" x14ac:dyDescent="0.25">
      <c r="A120" s="405">
        <f>Données!A120</f>
        <v>5606</v>
      </c>
      <c r="B120" s="409" t="str">
        <f>Données!B120</f>
        <v>Lutry</v>
      </c>
      <c r="C120" s="407">
        <f>VPI!Q120</f>
        <v>54</v>
      </c>
      <c r="D120" s="412">
        <f>Données!Z120</f>
        <v>10455</v>
      </c>
      <c r="E120" s="180">
        <f>VPI!R120</f>
        <v>874192.86279135477</v>
      </c>
      <c r="F120" s="317">
        <f>'Péréquation directe'!K126</f>
        <v>9177948.9569218531</v>
      </c>
      <c r="G120" s="330">
        <f>PCS!I126</f>
        <v>22204993.771073379</v>
      </c>
      <c r="H120" s="347">
        <f>'Facture policière'!L120</f>
        <v>1130646.2999570495</v>
      </c>
      <c r="I120" s="464">
        <f t="shared" si="1"/>
        <v>32513589.02795228</v>
      </c>
      <c r="J120" s="182"/>
    </row>
    <row r="121" spans="1:10" s="87" customFormat="1" x14ac:dyDescent="0.25">
      <c r="A121" s="405">
        <f>Données!A121</f>
        <v>5607</v>
      </c>
      <c r="B121" s="409" t="str">
        <f>Données!B121</f>
        <v>Puidoux</v>
      </c>
      <c r="C121" s="407">
        <f>VPI!Q121</f>
        <v>68.5</v>
      </c>
      <c r="D121" s="412">
        <f>Données!Z121</f>
        <v>2894</v>
      </c>
      <c r="E121" s="180">
        <f>VPI!R121</f>
        <v>102748.27893179639</v>
      </c>
      <c r="F121" s="317">
        <f>'Péréquation directe'!K127</f>
        <v>-247943.38836217136</v>
      </c>
      <c r="G121" s="330">
        <f>PCS!I127</f>
        <v>2145727.3239635308</v>
      </c>
      <c r="H121" s="347">
        <f>'Facture policière'!L121</f>
        <v>132890.5397720199</v>
      </c>
      <c r="I121" s="464">
        <f t="shared" si="1"/>
        <v>2030674.4753733794</v>
      </c>
      <c r="J121" s="182"/>
    </row>
    <row r="122" spans="1:10" s="87" customFormat="1" x14ac:dyDescent="0.25">
      <c r="A122" s="405">
        <f>Données!A122</f>
        <v>5609</v>
      </c>
      <c r="B122" s="409" t="str">
        <f>Données!B122</f>
        <v>Rivaz</v>
      </c>
      <c r="C122" s="407">
        <f>VPI!Q122</f>
        <v>62</v>
      </c>
      <c r="D122" s="412">
        <f>Données!Z122</f>
        <v>337</v>
      </c>
      <c r="E122" s="180">
        <f>VPI!R122</f>
        <v>16045.690421494986</v>
      </c>
      <c r="F122" s="317">
        <f>'Péréquation directe'!K128</f>
        <v>241331.61953758518</v>
      </c>
      <c r="G122" s="330">
        <f>PCS!I128</f>
        <v>273017.42767679057</v>
      </c>
      <c r="H122" s="347">
        <f>'Facture policière'!L122</f>
        <v>20752.858182107535</v>
      </c>
      <c r="I122" s="464">
        <f t="shared" si="1"/>
        <v>535101.90539648326</v>
      </c>
      <c r="J122" s="182"/>
    </row>
    <row r="123" spans="1:10" s="87" customFormat="1" x14ac:dyDescent="0.25">
      <c r="A123" s="405">
        <f>Données!A123</f>
        <v>5610</v>
      </c>
      <c r="B123" s="409" t="str">
        <f>Données!B123</f>
        <v>St-Saphorin (Lavaux)</v>
      </c>
      <c r="C123" s="407">
        <f>VPI!Q123</f>
        <v>72</v>
      </c>
      <c r="D123" s="412">
        <f>Données!Z123</f>
        <v>388</v>
      </c>
      <c r="E123" s="180">
        <f>VPI!R123</f>
        <v>19212.066388684874</v>
      </c>
      <c r="F123" s="317">
        <f>'Péréquation directe'!K129</f>
        <v>313919.2361171752</v>
      </c>
      <c r="G123" s="330">
        <f>PCS!I129</f>
        <v>363108.24312537053</v>
      </c>
      <c r="H123" s="347">
        <f>'Facture policière'!L123</f>
        <v>24848.122996035247</v>
      </c>
      <c r="I123" s="464">
        <f t="shared" si="1"/>
        <v>701875.60223858105</v>
      </c>
      <c r="J123" s="182"/>
    </row>
    <row r="124" spans="1:10" s="87" customFormat="1" x14ac:dyDescent="0.25">
      <c r="A124" s="405">
        <f>Données!A124</f>
        <v>5611</v>
      </c>
      <c r="B124" s="409" t="str">
        <f>Données!B124</f>
        <v>Savigny</v>
      </c>
      <c r="C124" s="407">
        <f>VPI!Q124</f>
        <v>69</v>
      </c>
      <c r="D124" s="412">
        <f>Données!Z124</f>
        <v>3348</v>
      </c>
      <c r="E124" s="180">
        <f>VPI!R124</f>
        <v>136601.19868900886</v>
      </c>
      <c r="F124" s="317">
        <f>'Péréquation directe'!K130</f>
        <v>770836.11244589416</v>
      </c>
      <c r="G124" s="330">
        <f>PCS!I130</f>
        <v>2521383.072858599</v>
      </c>
      <c r="H124" s="347">
        <f>'Facture policière'!L124</f>
        <v>176674.56054750236</v>
      </c>
      <c r="I124" s="464">
        <f t="shared" si="1"/>
        <v>3468893.7458519954</v>
      </c>
      <c r="J124" s="182"/>
    </row>
    <row r="125" spans="1:10" s="87" customFormat="1" x14ac:dyDescent="0.25">
      <c r="A125" s="405">
        <f>Données!A125</f>
        <v>5613</v>
      </c>
      <c r="B125" s="409" t="str">
        <f>Données!B125</f>
        <v>Bourg-en-Lavaux</v>
      </c>
      <c r="C125" s="407">
        <f>VPI!Q125</f>
        <v>62.5</v>
      </c>
      <c r="D125" s="412">
        <f>Données!Z125</f>
        <v>5389</v>
      </c>
      <c r="E125" s="180">
        <f>VPI!R125</f>
        <v>343743.87305637199</v>
      </c>
      <c r="F125" s="317">
        <f>'Péréquation directe'!K131</f>
        <v>4543029.8307760488</v>
      </c>
      <c r="G125" s="330">
        <f>PCS!I131</f>
        <v>7342829.2923065331</v>
      </c>
      <c r="H125" s="347">
        <f>'Facture policière'!L125</f>
        <v>444584.66174512019</v>
      </c>
      <c r="I125" s="464">
        <f t="shared" si="1"/>
        <v>12330443.784827702</v>
      </c>
      <c r="J125" s="182"/>
    </row>
    <row r="126" spans="1:10" s="87" customFormat="1" x14ac:dyDescent="0.25">
      <c r="A126" s="405">
        <f>Données!A126</f>
        <v>5621</v>
      </c>
      <c r="B126" s="409" t="str">
        <f>Données!B126</f>
        <v>Aclens</v>
      </c>
      <c r="C126" s="407">
        <f>VPI!Q126</f>
        <v>62</v>
      </c>
      <c r="D126" s="412">
        <f>Données!Z126</f>
        <v>528</v>
      </c>
      <c r="E126" s="180">
        <f>VPI!R126</f>
        <v>32263.209585065993</v>
      </c>
      <c r="F126" s="317">
        <f>'Péréquation directe'!K132</f>
        <v>512865.39877705183</v>
      </c>
      <c r="G126" s="330">
        <f>PCS!I132</f>
        <v>733565.42153005151</v>
      </c>
      <c r="H126" s="347">
        <f>'Facture policière'!L126</f>
        <v>86613.575099435606</v>
      </c>
      <c r="I126" s="464">
        <f t="shared" si="1"/>
        <v>1333044.3954065391</v>
      </c>
      <c r="J126" s="182"/>
    </row>
    <row r="127" spans="1:10" s="87" customFormat="1" x14ac:dyDescent="0.25">
      <c r="A127" s="405">
        <f>Données!A127</f>
        <v>5622</v>
      </c>
      <c r="B127" s="409" t="str">
        <f>Données!B127</f>
        <v>Bremblens</v>
      </c>
      <c r="C127" s="407">
        <f>VPI!Q127</f>
        <v>68</v>
      </c>
      <c r="D127" s="412">
        <f>Données!Z127</f>
        <v>583</v>
      </c>
      <c r="E127" s="180">
        <f>VPI!R127</f>
        <v>27798.843685819211</v>
      </c>
      <c r="F127" s="317">
        <f>'Péréquation directe'!K133</f>
        <v>460234.70862913551</v>
      </c>
      <c r="G127" s="330">
        <f>PCS!I133</f>
        <v>472942.35450274311</v>
      </c>
      <c r="H127" s="347">
        <f>'Facture policière'!L127</f>
        <v>85515.127355067641</v>
      </c>
      <c r="I127" s="464">
        <f t="shared" si="1"/>
        <v>1018692.1904869463</v>
      </c>
      <c r="J127" s="182"/>
    </row>
    <row r="128" spans="1:10" s="87" customFormat="1" x14ac:dyDescent="0.25">
      <c r="A128" s="405">
        <f>Données!A128</f>
        <v>5623</v>
      </c>
      <c r="B128" s="409" t="str">
        <f>Données!B128</f>
        <v>Buchillon</v>
      </c>
      <c r="C128" s="407">
        <f>VPI!Q128</f>
        <v>52</v>
      </c>
      <c r="D128" s="412">
        <f>Données!Z128</f>
        <v>686</v>
      </c>
      <c r="E128" s="180">
        <f>VPI!R128</f>
        <v>94505.231730769228</v>
      </c>
      <c r="F128" s="317">
        <f>'Péréquation directe'!K134</f>
        <v>1725311.3921048369</v>
      </c>
      <c r="G128" s="330">
        <f>PCS!I134</f>
        <v>2858664.6580319172</v>
      </c>
      <c r="H128" s="347">
        <f>'Facture policière'!L128</f>
        <v>122229.31017966951</v>
      </c>
      <c r="I128" s="464">
        <f t="shared" si="1"/>
        <v>4706205.3603164237</v>
      </c>
      <c r="J128" s="182"/>
    </row>
    <row r="129" spans="1:10" s="87" customFormat="1" x14ac:dyDescent="0.25">
      <c r="A129" s="405">
        <f>Données!A129</f>
        <v>5624</v>
      </c>
      <c r="B129" s="409" t="str">
        <f>Données!B129</f>
        <v>Bussigny</v>
      </c>
      <c r="C129" s="407">
        <f>VPI!Q129</f>
        <v>62.5</v>
      </c>
      <c r="D129" s="412">
        <f>Données!Z129</f>
        <v>9614</v>
      </c>
      <c r="E129" s="180">
        <f>VPI!R129</f>
        <v>350915.44619957998</v>
      </c>
      <c r="F129" s="317">
        <f>'Péréquation directe'!K135</f>
        <v>-783425.98239400052</v>
      </c>
      <c r="G129" s="330">
        <f>PCS!I135</f>
        <v>6823706.896998967</v>
      </c>
      <c r="H129" s="347">
        <f>'Facture policière'!L129</f>
        <v>453860.08938170422</v>
      </c>
      <c r="I129" s="464">
        <f t="shared" si="1"/>
        <v>6494141.0039866706</v>
      </c>
      <c r="J129" s="182"/>
    </row>
    <row r="130" spans="1:10" s="87" customFormat="1" x14ac:dyDescent="0.25">
      <c r="A130" s="405">
        <f>Données!A130</f>
        <v>5627</v>
      </c>
      <c r="B130" s="409" t="str">
        <f>Données!B130</f>
        <v>Chavannes-près-Renens</v>
      </c>
      <c r="C130" s="407">
        <f>VPI!Q130</f>
        <v>77.5</v>
      </c>
      <c r="D130" s="412">
        <f>Données!Z130</f>
        <v>8487</v>
      </c>
      <c r="E130" s="180">
        <f>VPI!R130</f>
        <v>162426.10008602153</v>
      </c>
      <c r="F130" s="317">
        <f>'Péréquation directe'!K136</f>
        <v>-5672811.8325387388</v>
      </c>
      <c r="G130" s="330">
        <f>PCS!I136</f>
        <v>2886282.6323666954</v>
      </c>
      <c r="H130" s="347">
        <f>'Facture policière'!L130</f>
        <v>210075.46148605985</v>
      </c>
      <c r="I130" s="464">
        <f t="shared" si="1"/>
        <v>-2576453.7386859837</v>
      </c>
      <c r="J130" s="182"/>
    </row>
    <row r="131" spans="1:10" s="87" customFormat="1" x14ac:dyDescent="0.25">
      <c r="A131" s="405">
        <f>Données!A131</f>
        <v>5628</v>
      </c>
      <c r="B131" s="409" t="str">
        <f>Données!B131</f>
        <v>Chigny</v>
      </c>
      <c r="C131" s="407">
        <f>VPI!Q131</f>
        <v>62</v>
      </c>
      <c r="D131" s="412">
        <f>Données!Z131</f>
        <v>396</v>
      </c>
      <c r="E131" s="180">
        <f>VPI!R131</f>
        <v>24622.507795875023</v>
      </c>
      <c r="F131" s="317">
        <f>'Péréquation directe'!K137</f>
        <v>422574.71377101768</v>
      </c>
      <c r="G131" s="330">
        <f>PCS!I137</f>
        <v>519482.50395227998</v>
      </c>
      <c r="H131" s="347">
        <f>'Facture policière'!L131</f>
        <v>65509.989552208215</v>
      </c>
      <c r="I131" s="464">
        <f t="shared" si="1"/>
        <v>1007567.2072755059</v>
      </c>
      <c r="J131" s="182"/>
    </row>
    <row r="132" spans="1:10" s="87" customFormat="1" x14ac:dyDescent="0.25">
      <c r="A132" s="405">
        <f>Données!A132</f>
        <v>5629</v>
      </c>
      <c r="B132" s="409" t="str">
        <f>Données!B132</f>
        <v>Clarmont</v>
      </c>
      <c r="C132" s="407">
        <f>VPI!Q132</f>
        <v>73.5</v>
      </c>
      <c r="D132" s="412">
        <f>Données!Z132</f>
        <v>201</v>
      </c>
      <c r="E132" s="180">
        <f>VPI!R132</f>
        <v>8520.6241427524346</v>
      </c>
      <c r="F132" s="317">
        <f>'Péréquation directe'!K138</f>
        <v>85217.323168193107</v>
      </c>
      <c r="G132" s="330">
        <f>PCS!I138</f>
        <v>126436.04486567902</v>
      </c>
      <c r="H132" s="347">
        <f>'Facture policière'!L132</f>
        <v>27020.265813103739</v>
      </c>
      <c r="I132" s="464">
        <f t="shared" si="1"/>
        <v>238673.63384697586</v>
      </c>
      <c r="J132" s="182"/>
    </row>
    <row r="133" spans="1:10" s="87" customFormat="1" x14ac:dyDescent="0.25">
      <c r="A133" s="405">
        <f>Données!A133</f>
        <v>5631</v>
      </c>
      <c r="B133" s="409" t="str">
        <f>Données!B133</f>
        <v>Denens</v>
      </c>
      <c r="C133" s="407">
        <f>VPI!Q133</f>
        <v>68</v>
      </c>
      <c r="D133" s="412">
        <f>Données!Z133</f>
        <v>742</v>
      </c>
      <c r="E133" s="180">
        <f>VPI!R133</f>
        <v>43443.742275876699</v>
      </c>
      <c r="F133" s="317">
        <f>'Péréquation directe'!K139</f>
        <v>740218.15192775778</v>
      </c>
      <c r="G133" s="330">
        <f>PCS!I139</f>
        <v>965612.23281878571</v>
      </c>
      <c r="H133" s="347">
        <f>'Facture policière'!L133</f>
        <v>119266.31038373506</v>
      </c>
      <c r="I133" s="464">
        <f t="shared" si="1"/>
        <v>1825096.6951302786</v>
      </c>
      <c r="J133" s="182"/>
    </row>
    <row r="134" spans="1:10" s="87" customFormat="1" x14ac:dyDescent="0.25">
      <c r="A134" s="405">
        <f>Données!A134</f>
        <v>5632</v>
      </c>
      <c r="B134" s="409" t="str">
        <f>Données!B134</f>
        <v>Denges</v>
      </c>
      <c r="C134" s="407">
        <f>VPI!Q134</f>
        <v>62</v>
      </c>
      <c r="D134" s="412">
        <f>Données!Z134</f>
        <v>1730</v>
      </c>
      <c r="E134" s="180">
        <f>VPI!R134</f>
        <v>76401.256884060669</v>
      </c>
      <c r="F134" s="317">
        <f>'Péréquation directe'!K140</f>
        <v>936023.24060788972</v>
      </c>
      <c r="G134" s="330">
        <f>PCS!I140</f>
        <v>1327962.9399480049</v>
      </c>
      <c r="H134" s="347">
        <f>'Facture policière'!L134</f>
        <v>239596.90444148597</v>
      </c>
      <c r="I134" s="464">
        <f t="shared" si="1"/>
        <v>2503583.0849973806</v>
      </c>
      <c r="J134" s="182"/>
    </row>
    <row r="135" spans="1:10" s="87" customFormat="1" x14ac:dyDescent="0.25">
      <c r="A135" s="405">
        <f>Données!A135</f>
        <v>5633</v>
      </c>
      <c r="B135" s="409" t="str">
        <f>Données!B135</f>
        <v>Echandens</v>
      </c>
      <c r="C135" s="407">
        <f>VPI!Q135</f>
        <v>60.5</v>
      </c>
      <c r="D135" s="412">
        <f>Données!Z135</f>
        <v>2743</v>
      </c>
      <c r="E135" s="180">
        <f>VPI!R135</f>
        <v>148314.25599471925</v>
      </c>
      <c r="F135" s="317">
        <f>'Péréquation directe'!K141</f>
        <v>1481572.3816568996</v>
      </c>
      <c r="G135" s="330">
        <f>PCS!I141</f>
        <v>3211753.5120655773</v>
      </c>
      <c r="H135" s="347">
        <f>'Facture policière'!L135</f>
        <v>425007.97139821463</v>
      </c>
      <c r="I135" s="464">
        <f t="shared" ref="I135:I198" si="2">SUM(F135:H135)</f>
        <v>5118333.8651206912</v>
      </c>
      <c r="J135" s="182"/>
    </row>
    <row r="136" spans="1:10" s="87" customFormat="1" x14ac:dyDescent="0.25">
      <c r="A136" s="405">
        <f>Données!A136</f>
        <v>5634</v>
      </c>
      <c r="B136" s="409" t="str">
        <f>Données!B136</f>
        <v>Echichens</v>
      </c>
      <c r="C136" s="407">
        <f>VPI!Q136</f>
        <v>66</v>
      </c>
      <c r="D136" s="412">
        <f>Données!Z136</f>
        <v>3127</v>
      </c>
      <c r="E136" s="180">
        <f>VPI!R136</f>
        <v>164062.1340206177</v>
      </c>
      <c r="F136" s="317">
        <f>'Péréquation directe'!K142</f>
        <v>2261475.5449975068</v>
      </c>
      <c r="G136" s="330">
        <f>PCS!I142</f>
        <v>3081010.0315313796</v>
      </c>
      <c r="H136" s="347">
        <f>'Facture policière'!L136</f>
        <v>478019.7397896481</v>
      </c>
      <c r="I136" s="464">
        <f t="shared" si="2"/>
        <v>5820505.3163185343</v>
      </c>
      <c r="J136" s="182"/>
    </row>
    <row r="137" spans="1:10" s="87" customFormat="1" x14ac:dyDescent="0.25">
      <c r="A137" s="405">
        <f>Données!A137</f>
        <v>5635</v>
      </c>
      <c r="B137" s="409" t="str">
        <f>Données!B137</f>
        <v>Ecublens</v>
      </c>
      <c r="C137" s="407">
        <f>VPI!Q137</f>
        <v>62.5</v>
      </c>
      <c r="D137" s="412">
        <f>Données!Z137</f>
        <v>13164</v>
      </c>
      <c r="E137" s="180">
        <f>VPI!R137</f>
        <v>502164.08712629444</v>
      </c>
      <c r="F137" s="317">
        <f>'Péréquation directe'!K143</f>
        <v>-3025958.4280536994</v>
      </c>
      <c r="G137" s="330">
        <f>PCS!I143</f>
        <v>9534243.082332138</v>
      </c>
      <c r="H137" s="347">
        <f>'Facture policière'!L137</f>
        <v>649479.06949014403</v>
      </c>
      <c r="I137" s="464">
        <f t="shared" si="2"/>
        <v>7157763.7237685826</v>
      </c>
      <c r="J137" s="182"/>
    </row>
    <row r="138" spans="1:10" s="87" customFormat="1" x14ac:dyDescent="0.25">
      <c r="A138" s="405">
        <f>Données!A138</f>
        <v>5636</v>
      </c>
      <c r="B138" s="409" t="str">
        <f>Données!B138</f>
        <v>Etoy</v>
      </c>
      <c r="C138" s="407">
        <f>VPI!Q138</f>
        <v>60</v>
      </c>
      <c r="D138" s="412">
        <f>Données!Z138</f>
        <v>2909</v>
      </c>
      <c r="E138" s="180">
        <f>VPI!R138</f>
        <v>170184.11203181112</v>
      </c>
      <c r="F138" s="317">
        <f>'Péréquation directe'!K144</f>
        <v>2473332.6320391335</v>
      </c>
      <c r="G138" s="330">
        <f>PCS!I144</f>
        <v>3644227.3182986523</v>
      </c>
      <c r="H138" s="347">
        <f>'Facture policière'!L138</f>
        <v>467405.34148726275</v>
      </c>
      <c r="I138" s="464">
        <f t="shared" si="2"/>
        <v>6584965.2918250486</v>
      </c>
      <c r="J138" s="182"/>
    </row>
    <row r="139" spans="1:10" s="87" customFormat="1" x14ac:dyDescent="0.25">
      <c r="A139" s="405">
        <f>Données!A139</f>
        <v>5637</v>
      </c>
      <c r="B139" s="409" t="str">
        <f>Données!B139</f>
        <v>Lavigny</v>
      </c>
      <c r="C139" s="407">
        <f>VPI!Q139</f>
        <v>73</v>
      </c>
      <c r="D139" s="412">
        <f>Données!Z139</f>
        <v>1008</v>
      </c>
      <c r="E139" s="180">
        <f>VPI!R139</f>
        <v>41191.053632524527</v>
      </c>
      <c r="F139" s="317">
        <f>'Péréquation directe'!K145</f>
        <v>400526.24882418627</v>
      </c>
      <c r="G139" s="330">
        <f>PCS!I145</f>
        <v>780248.20227217372</v>
      </c>
      <c r="H139" s="347">
        <f>'Facture policière'!L139</f>
        <v>130203.51980319442</v>
      </c>
      <c r="I139" s="464">
        <f t="shared" si="2"/>
        <v>1310977.9708995544</v>
      </c>
      <c r="J139" s="182"/>
    </row>
    <row r="140" spans="1:10" s="87" customFormat="1" x14ac:dyDescent="0.25">
      <c r="A140" s="405">
        <f>Données!A140</f>
        <v>5638</v>
      </c>
      <c r="B140" s="409" t="str">
        <f>Données!B140</f>
        <v>Lonay</v>
      </c>
      <c r="C140" s="407">
        <f>VPI!Q140</f>
        <v>55</v>
      </c>
      <c r="D140" s="412">
        <f>Données!Z140</f>
        <v>2679</v>
      </c>
      <c r="E140" s="180">
        <f>VPI!R140</f>
        <v>145471.80629203771</v>
      </c>
      <c r="F140" s="317">
        <f>'Péréquation directe'!K146</f>
        <v>1613026.8120389972</v>
      </c>
      <c r="G140" s="330">
        <f>PCS!I146</f>
        <v>3511348.9098939458</v>
      </c>
      <c r="H140" s="347">
        <f>'Facture policière'!L140</f>
        <v>415890.97845156374</v>
      </c>
      <c r="I140" s="464">
        <f t="shared" si="2"/>
        <v>5540266.700384507</v>
      </c>
      <c r="J140" s="182"/>
    </row>
    <row r="141" spans="1:10" s="87" customFormat="1" x14ac:dyDescent="0.25">
      <c r="A141" s="405">
        <f>Données!A141</f>
        <v>5639</v>
      </c>
      <c r="B141" s="409" t="str">
        <f>Données!B141</f>
        <v>Lully</v>
      </c>
      <c r="C141" s="407">
        <f>VPI!Q141</f>
        <v>61</v>
      </c>
      <c r="D141" s="412">
        <f>Données!Z141</f>
        <v>825</v>
      </c>
      <c r="E141" s="180">
        <f>VPI!R141</f>
        <v>45737.117540983607</v>
      </c>
      <c r="F141" s="317">
        <f>'Péréquation directe'!K147</f>
        <v>773859.25404235278</v>
      </c>
      <c r="G141" s="330">
        <f>PCS!I147</f>
        <v>842034.985906124</v>
      </c>
      <c r="H141" s="347">
        <f>'Facture policière'!L141</f>
        <v>129288.35459483763</v>
      </c>
      <c r="I141" s="464">
        <f t="shared" si="2"/>
        <v>1745182.5945433143</v>
      </c>
      <c r="J141" s="182"/>
    </row>
    <row r="142" spans="1:10" s="87" customFormat="1" x14ac:dyDescent="0.25">
      <c r="A142" s="405">
        <f>Données!A142</f>
        <v>5640</v>
      </c>
      <c r="B142" s="409" t="str">
        <f>Données!B142</f>
        <v>Lussy-sur-Morges</v>
      </c>
      <c r="C142" s="407">
        <f>VPI!Q142</f>
        <v>66</v>
      </c>
      <c r="D142" s="412">
        <f>Données!Z142</f>
        <v>722</v>
      </c>
      <c r="E142" s="180">
        <f>VPI!R142</f>
        <v>57022.810752581783</v>
      </c>
      <c r="F142" s="317">
        <f>'Péréquation directe'!K148</f>
        <v>1002822.8384643286</v>
      </c>
      <c r="G142" s="330">
        <f>PCS!I148</f>
        <v>1479876.2594191132</v>
      </c>
      <c r="H142" s="347">
        <f>'Facture policière'!L142</f>
        <v>73751.036796036453</v>
      </c>
      <c r="I142" s="464">
        <f t="shared" si="2"/>
        <v>2556450.1346794781</v>
      </c>
      <c r="J142" s="182"/>
    </row>
    <row r="143" spans="1:10" s="87" customFormat="1" x14ac:dyDescent="0.25">
      <c r="A143" s="405">
        <f>Données!A143</f>
        <v>5642</v>
      </c>
      <c r="B143" s="409" t="str">
        <f>Données!B143</f>
        <v>Morges</v>
      </c>
      <c r="C143" s="407">
        <f>VPI!Q143</f>
        <v>67</v>
      </c>
      <c r="D143" s="412">
        <f>Données!Z143</f>
        <v>16095</v>
      </c>
      <c r="E143" s="180">
        <f>VPI!R143</f>
        <v>872528.88072343986</v>
      </c>
      <c r="F143" s="317">
        <f>'Péréquation directe'!K149</f>
        <v>5195607.1196833029</v>
      </c>
      <c r="G143" s="330">
        <f>PCS!I149</f>
        <v>17586631.790163998</v>
      </c>
      <c r="H143" s="347">
        <f>'Facture policière'!L143</f>
        <v>1128494.1716929551</v>
      </c>
      <c r="I143" s="464">
        <f t="shared" si="2"/>
        <v>23910733.081540257</v>
      </c>
      <c r="J143" s="182"/>
    </row>
    <row r="144" spans="1:10" s="87" customFormat="1" x14ac:dyDescent="0.25">
      <c r="A144" s="405">
        <f>Données!A144</f>
        <v>5643</v>
      </c>
      <c r="B144" s="409" t="str">
        <f>Données!B144</f>
        <v>Préverenges</v>
      </c>
      <c r="C144" s="407">
        <f>VPI!Q144</f>
        <v>62.5</v>
      </c>
      <c r="D144" s="412">
        <f>Données!Z144</f>
        <v>5241</v>
      </c>
      <c r="E144" s="180">
        <f>VPI!R144</f>
        <v>262179.27559609117</v>
      </c>
      <c r="F144" s="317">
        <f>'Péréquation directe'!K150</f>
        <v>3068638.6568656797</v>
      </c>
      <c r="G144" s="330">
        <f>PCS!I150</f>
        <v>4548923.8565151021</v>
      </c>
      <c r="H144" s="347">
        <f>'Facture policière'!L144</f>
        <v>339092.25354644656</v>
      </c>
      <c r="I144" s="464">
        <f t="shared" si="2"/>
        <v>7956654.7669272283</v>
      </c>
      <c r="J144" s="182"/>
    </row>
    <row r="145" spans="1:10" s="87" customFormat="1" x14ac:dyDescent="0.25">
      <c r="A145" s="405">
        <f>Données!A145</f>
        <v>5645</v>
      </c>
      <c r="B145" s="409" t="str">
        <f>Données!B145</f>
        <v>Romanel-sur-Morges</v>
      </c>
      <c r="C145" s="407">
        <f>VPI!Q145</f>
        <v>56</v>
      </c>
      <c r="D145" s="412">
        <f>Données!Z145</f>
        <v>466</v>
      </c>
      <c r="E145" s="180">
        <f>VPI!R145</f>
        <v>27311.487285492814</v>
      </c>
      <c r="F145" s="317">
        <f>'Péréquation directe'!K151</f>
        <v>395415.22718300519</v>
      </c>
      <c r="G145" s="330">
        <f>PCS!I151</f>
        <v>572533.94817352865</v>
      </c>
      <c r="H145" s="347">
        <f>'Facture policière'!L145</f>
        <v>74938.554115090737</v>
      </c>
      <c r="I145" s="464">
        <f t="shared" si="2"/>
        <v>1042887.7294716246</v>
      </c>
      <c r="J145" s="182"/>
    </row>
    <row r="146" spans="1:10" s="87" customFormat="1" x14ac:dyDescent="0.25">
      <c r="A146" s="405">
        <f>Données!A146</f>
        <v>5646</v>
      </c>
      <c r="B146" s="409" t="str">
        <f>Données!B146</f>
        <v>Saint-Prex</v>
      </c>
      <c r="C146" s="407">
        <f>VPI!Q146</f>
        <v>55</v>
      </c>
      <c r="D146" s="412">
        <f>Données!Z146</f>
        <v>5865</v>
      </c>
      <c r="E146" s="180">
        <f>VPI!R146</f>
        <v>536854.93998205999</v>
      </c>
      <c r="F146" s="317">
        <f>'Péréquation directe'!K152</f>
        <v>7959023.3445189679</v>
      </c>
      <c r="G146" s="330">
        <f>PCS!I152</f>
        <v>14113190.298794772</v>
      </c>
      <c r="H146" s="347">
        <f>'Facture policière'!L146</f>
        <v>694346.83962782728</v>
      </c>
      <c r="I146" s="464">
        <f t="shared" si="2"/>
        <v>22766560.482941568</v>
      </c>
      <c r="J146" s="182"/>
    </row>
    <row r="147" spans="1:10" s="87" customFormat="1" x14ac:dyDescent="0.25">
      <c r="A147" s="405">
        <f>Données!A147</f>
        <v>5648</v>
      </c>
      <c r="B147" s="409" t="str">
        <f>Données!B147</f>
        <v>Saint-Sulpice</v>
      </c>
      <c r="C147" s="407">
        <f>VPI!Q147</f>
        <v>55</v>
      </c>
      <c r="D147" s="412">
        <f>Données!Z147</f>
        <v>4909</v>
      </c>
      <c r="E147" s="180">
        <f>VPI!R147</f>
        <v>395932.06546066038</v>
      </c>
      <c r="F147" s="317">
        <f>'Péréquation directe'!K153</f>
        <v>5819418.2087976206</v>
      </c>
      <c r="G147" s="330">
        <f>PCS!I153</f>
        <v>9492655.9432728905</v>
      </c>
      <c r="H147" s="347">
        <f>'Facture policière'!L147</f>
        <v>512082.79534340196</v>
      </c>
      <c r="I147" s="464">
        <f t="shared" si="2"/>
        <v>15824156.947413914</v>
      </c>
      <c r="J147" s="182"/>
    </row>
    <row r="148" spans="1:10" s="87" customFormat="1" x14ac:dyDescent="0.25">
      <c r="A148" s="405">
        <f>Données!A148</f>
        <v>5649</v>
      </c>
      <c r="B148" s="409" t="str">
        <f>Données!B148</f>
        <v>Tolochenaz</v>
      </c>
      <c r="C148" s="407">
        <f>VPI!Q148</f>
        <v>65</v>
      </c>
      <c r="D148" s="412">
        <f>Données!Z148</f>
        <v>1889</v>
      </c>
      <c r="E148" s="180">
        <f>VPI!R148</f>
        <v>197599.65546190951</v>
      </c>
      <c r="F148" s="317">
        <f>'Péréquation directe'!K154</f>
        <v>3352639.9646676499</v>
      </c>
      <c r="G148" s="330">
        <f>PCS!I154</f>
        <v>5865059.6546472777</v>
      </c>
      <c r="H148" s="347">
        <f>'Facture policière'!L148</f>
        <v>255567.53987605905</v>
      </c>
      <c r="I148" s="464">
        <f t="shared" si="2"/>
        <v>9473267.1591909863</v>
      </c>
      <c r="J148" s="182"/>
    </row>
    <row r="149" spans="1:10" s="87" customFormat="1" x14ac:dyDescent="0.25">
      <c r="A149" s="405">
        <f>Données!A149</f>
        <v>5650</v>
      </c>
      <c r="B149" s="409" t="str">
        <f>Données!B149</f>
        <v>Vaux-sur-Morges</v>
      </c>
      <c r="C149" s="407">
        <f>VPI!Q149</f>
        <v>56</v>
      </c>
      <c r="D149" s="412">
        <f>Données!Z149</f>
        <v>194</v>
      </c>
      <c r="E149" s="180">
        <f>VPI!R149</f>
        <v>63000.299031725983</v>
      </c>
      <c r="F149" s="317">
        <f>'Péréquation directe'!K155</f>
        <v>473945.5836024672</v>
      </c>
      <c r="G149" s="330">
        <f>PCS!I155</f>
        <v>2569409.5449203802</v>
      </c>
      <c r="H149" s="347">
        <f>'Facture policière'!L149</f>
        <v>97974.148292201091</v>
      </c>
      <c r="I149" s="464">
        <f t="shared" si="2"/>
        <v>3141329.2768150484</v>
      </c>
      <c r="J149" s="182"/>
    </row>
    <row r="150" spans="1:10" s="87" customFormat="1" x14ac:dyDescent="0.25">
      <c r="A150" s="405">
        <f>Données!A150</f>
        <v>5651</v>
      </c>
      <c r="B150" s="409" t="str">
        <f>Données!B150</f>
        <v>Villars-Sainte-Croix</v>
      </c>
      <c r="C150" s="407">
        <f>VPI!Q150</f>
        <v>60.5</v>
      </c>
      <c r="D150" s="412">
        <f>Données!Z150</f>
        <v>958</v>
      </c>
      <c r="E150" s="180">
        <f>VPI!R150</f>
        <v>55609.921242717981</v>
      </c>
      <c r="F150" s="317">
        <f>'Péréquation directe'!K156</f>
        <v>946494.51751774526</v>
      </c>
      <c r="G150" s="330">
        <f>PCS!I156</f>
        <v>1161718.6180156013</v>
      </c>
      <c r="H150" s="347">
        <f>'Facture policière'!L150</f>
        <v>71923.661665707899</v>
      </c>
      <c r="I150" s="464">
        <f t="shared" si="2"/>
        <v>2180136.7971990546</v>
      </c>
      <c r="J150" s="182"/>
    </row>
    <row r="151" spans="1:10" s="87" customFormat="1" x14ac:dyDescent="0.25">
      <c r="A151" s="405">
        <f>Données!A151</f>
        <v>5652</v>
      </c>
      <c r="B151" s="409" t="str">
        <f>Données!B151</f>
        <v>Villars-sous-Yens</v>
      </c>
      <c r="C151" s="407">
        <f>VPI!Q151</f>
        <v>76</v>
      </c>
      <c r="D151" s="412">
        <f>Données!Z151</f>
        <v>615</v>
      </c>
      <c r="E151" s="180">
        <f>VPI!R151</f>
        <v>25655.145757874605</v>
      </c>
      <c r="F151" s="317">
        <f>'Péréquation directe'!K157</f>
        <v>337977.31413260847</v>
      </c>
      <c r="G151" s="330">
        <f>PCS!I157</f>
        <v>459143.63218379719</v>
      </c>
      <c r="H151" s="347">
        <f>'Facture policière'!L151</f>
        <v>81581.770372391722</v>
      </c>
      <c r="I151" s="464">
        <f t="shared" si="2"/>
        <v>878702.71668879734</v>
      </c>
      <c r="J151" s="182"/>
    </row>
    <row r="152" spans="1:10" s="87" customFormat="1" x14ac:dyDescent="0.25">
      <c r="A152" s="405">
        <f>Données!A152</f>
        <v>5653</v>
      </c>
      <c r="B152" s="409" t="str">
        <f>Données!B152</f>
        <v>Vufflens-le-Château</v>
      </c>
      <c r="C152" s="407">
        <f>VPI!Q152</f>
        <v>58.5</v>
      </c>
      <c r="D152" s="412">
        <f>Données!Z152</f>
        <v>870</v>
      </c>
      <c r="E152" s="180">
        <f>VPI!R152</f>
        <v>68766.939221326931</v>
      </c>
      <c r="F152" s="317">
        <f>'Péréquation directe'!K158</f>
        <v>1209445.8645951236</v>
      </c>
      <c r="G152" s="330">
        <f>PCS!I158</f>
        <v>1688863.7481970934</v>
      </c>
      <c r="H152" s="347">
        <f>'Facture policière'!L152</f>
        <v>162899.68970179715</v>
      </c>
      <c r="I152" s="464">
        <f t="shared" si="2"/>
        <v>3061209.3024940141</v>
      </c>
      <c r="J152" s="182"/>
    </row>
    <row r="153" spans="1:10" s="87" customFormat="1" x14ac:dyDescent="0.25">
      <c r="A153" s="405">
        <f>Données!A153</f>
        <v>5654</v>
      </c>
      <c r="B153" s="409" t="str">
        <f>Données!B153</f>
        <v>Vullierens</v>
      </c>
      <c r="C153" s="407">
        <f>VPI!Q153</f>
        <v>76</v>
      </c>
      <c r="D153" s="412">
        <f>Données!Z153</f>
        <v>542</v>
      </c>
      <c r="E153" s="180">
        <f>VPI!R153</f>
        <v>19265.305994004091</v>
      </c>
      <c r="F153" s="317">
        <f>'Péréquation directe'!K159</f>
        <v>143708.51811581175</v>
      </c>
      <c r="G153" s="330">
        <f>PCS!I159</f>
        <v>362282.50624319946</v>
      </c>
      <c r="H153" s="347">
        <f>'Facture policière'!L153</f>
        <v>60599.890341733735</v>
      </c>
      <c r="I153" s="464">
        <f t="shared" si="2"/>
        <v>566590.91470074491</v>
      </c>
      <c r="J153" s="182"/>
    </row>
    <row r="154" spans="1:10" s="87" customFormat="1" x14ac:dyDescent="0.25">
      <c r="A154" s="405">
        <f>Données!A154</f>
        <v>5655</v>
      </c>
      <c r="B154" s="409" t="str">
        <f>Données!B154</f>
        <v>Yens</v>
      </c>
      <c r="C154" s="407">
        <f>VPI!Q154</f>
        <v>71.5</v>
      </c>
      <c r="D154" s="412">
        <f>Données!Z154</f>
        <v>1480</v>
      </c>
      <c r="E154" s="180">
        <f>VPI!R154</f>
        <v>90850.412022589255</v>
      </c>
      <c r="F154" s="317">
        <f>'Péréquation directe'!K160</f>
        <v>1449716.5510541876</v>
      </c>
      <c r="G154" s="330">
        <f>PCS!I160</f>
        <v>1946243.5550514266</v>
      </c>
      <c r="H154" s="347">
        <f>'Facture policière'!L154</f>
        <v>243318.07104068864</v>
      </c>
      <c r="I154" s="464">
        <f t="shared" si="2"/>
        <v>3639278.177146303</v>
      </c>
      <c r="J154" s="182"/>
    </row>
    <row r="155" spans="1:10" s="87" customFormat="1" x14ac:dyDescent="0.25">
      <c r="A155" s="405">
        <f>Données!A155</f>
        <v>5656</v>
      </c>
      <c r="B155" s="409" t="str">
        <f>Données!B155</f>
        <v>Hautemorges</v>
      </c>
      <c r="C155" s="407">
        <f>VPI!Q155</f>
        <v>74.06</v>
      </c>
      <c r="D155" s="412">
        <f>Données!Z155</f>
        <v>4101</v>
      </c>
      <c r="E155" s="180">
        <f>VPI!R155</f>
        <v>160995.06048587704</v>
      </c>
      <c r="F155" s="317">
        <f>'Péréquation directe'!K161</f>
        <v>1098187.0081773514</v>
      </c>
      <c r="G155" s="330">
        <f>PCS!I161</f>
        <v>2684605.0820646812</v>
      </c>
      <c r="H155" s="347">
        <f>'Facture policière'!L155</f>
        <v>506227.3184634652</v>
      </c>
      <c r="I155" s="464">
        <f t="shared" si="2"/>
        <v>4289019.4087054981</v>
      </c>
      <c r="J155" s="182"/>
    </row>
    <row r="156" spans="1:10" s="87" customFormat="1" x14ac:dyDescent="0.25">
      <c r="A156" s="405">
        <f>Données!A156</f>
        <v>5661</v>
      </c>
      <c r="B156" s="409" t="str">
        <f>Données!B156</f>
        <v>Boulens</v>
      </c>
      <c r="C156" s="407">
        <f>VPI!Q156</f>
        <v>71.5</v>
      </c>
      <c r="D156" s="412">
        <f>Données!Z156</f>
        <v>369</v>
      </c>
      <c r="E156" s="180">
        <f>VPI!R156</f>
        <v>10163.82569082424</v>
      </c>
      <c r="F156" s="317">
        <f>'Péréquation directe'!K162</f>
        <v>-5132.0539024042373</v>
      </c>
      <c r="G156" s="330">
        <f>PCS!I162</f>
        <v>165538.90959085574</v>
      </c>
      <c r="H156" s="347">
        <f>'Facture policière'!L156</f>
        <v>31842.580082052707</v>
      </c>
      <c r="I156" s="464">
        <f t="shared" si="2"/>
        <v>192249.43577050421</v>
      </c>
      <c r="J156" s="182"/>
    </row>
    <row r="157" spans="1:10" s="87" customFormat="1" x14ac:dyDescent="0.25">
      <c r="A157" s="405">
        <f>Données!A157</f>
        <v>5663</v>
      </c>
      <c r="B157" s="409" t="str">
        <f>Données!B157</f>
        <v>Bussy-sur-Moudon</v>
      </c>
      <c r="C157" s="407">
        <f>VPI!Q157</f>
        <v>80</v>
      </c>
      <c r="D157" s="412">
        <f>Données!Z157</f>
        <v>219</v>
      </c>
      <c r="E157" s="180">
        <f>VPI!R157</f>
        <v>5406.7758852371026</v>
      </c>
      <c r="F157" s="317">
        <f>'Péréquation directe'!K163</f>
        <v>-43900.530871367286</v>
      </c>
      <c r="G157" s="330">
        <f>PCS!I163</f>
        <v>89541.576711647896</v>
      </c>
      <c r="H157" s="347">
        <f>'Facture policière'!L157</f>
        <v>16961.562033504397</v>
      </c>
      <c r="I157" s="464">
        <f t="shared" si="2"/>
        <v>62602.607873785004</v>
      </c>
      <c r="J157" s="182"/>
    </row>
    <row r="158" spans="1:10" s="87" customFormat="1" x14ac:dyDescent="0.25">
      <c r="A158" s="405">
        <f>Données!A158</f>
        <v>5665</v>
      </c>
      <c r="B158" s="409" t="str">
        <f>Données!B158</f>
        <v>Chavannes-sur-Moudon</v>
      </c>
      <c r="C158" s="407">
        <f>VPI!Q158</f>
        <v>73</v>
      </c>
      <c r="D158" s="412">
        <f>Données!Z158</f>
        <v>223</v>
      </c>
      <c r="E158" s="180">
        <f>VPI!R158</f>
        <v>6834.7640808977276</v>
      </c>
      <c r="F158" s="317">
        <f>'Péréquation directe'!K164</f>
        <v>27266.333847350557</v>
      </c>
      <c r="G158" s="330">
        <f>PCS!I164</f>
        <v>126258.1157893144</v>
      </c>
      <c r="H158" s="347">
        <f>'Facture policière'!L158</f>
        <v>21807.973221910092</v>
      </c>
      <c r="I158" s="464">
        <f t="shared" si="2"/>
        <v>175332.42285857504</v>
      </c>
      <c r="J158" s="182"/>
    </row>
    <row r="159" spans="1:10" s="87" customFormat="1" x14ac:dyDescent="0.25">
      <c r="A159" s="405">
        <f>Données!A159</f>
        <v>5669</v>
      </c>
      <c r="B159" s="409" t="str">
        <f>Données!B159</f>
        <v>Curtilles</v>
      </c>
      <c r="C159" s="407">
        <f>VPI!Q159</f>
        <v>73</v>
      </c>
      <c r="D159" s="412">
        <f>Données!Z159</f>
        <v>301</v>
      </c>
      <c r="E159" s="180">
        <f>VPI!R159</f>
        <v>10284.99372876246</v>
      </c>
      <c r="F159" s="317">
        <f>'Péréquation directe'!K165</f>
        <v>82771.59787266003</v>
      </c>
      <c r="G159" s="330">
        <f>PCS!I165</f>
        <v>166320.73149084058</v>
      </c>
      <c r="H159" s="347">
        <f>'Facture policière'!L159</f>
        <v>32540.008700464481</v>
      </c>
      <c r="I159" s="464">
        <f t="shared" si="2"/>
        <v>281632.33806396509</v>
      </c>
      <c r="J159" s="182"/>
    </row>
    <row r="160" spans="1:10" s="87" customFormat="1" x14ac:dyDescent="0.25">
      <c r="A160" s="405">
        <f>Données!A160</f>
        <v>5671</v>
      </c>
      <c r="B160" s="409" t="str">
        <f>Données!B160</f>
        <v>Dompierre</v>
      </c>
      <c r="C160" s="407">
        <f>VPI!Q160</f>
        <v>78</v>
      </c>
      <c r="D160" s="412">
        <f>Données!Z160</f>
        <v>245</v>
      </c>
      <c r="E160" s="180">
        <f>VPI!R160</f>
        <v>6033.0922485669453</v>
      </c>
      <c r="F160" s="317">
        <f>'Péréquation directe'!K166</f>
        <v>-90072.221800040308</v>
      </c>
      <c r="G160" s="330">
        <f>PCS!I166</f>
        <v>117234.89317069808</v>
      </c>
      <c r="H160" s="347">
        <f>'Facture policière'!L160</f>
        <v>19042.26414741611</v>
      </c>
      <c r="I160" s="464">
        <f t="shared" si="2"/>
        <v>46204.935518073878</v>
      </c>
      <c r="J160" s="182"/>
    </row>
    <row r="161" spans="1:10" s="87" customFormat="1" x14ac:dyDescent="0.25">
      <c r="A161" s="405">
        <f>Données!A161</f>
        <v>5673</v>
      </c>
      <c r="B161" s="409" t="str">
        <f>Données!B161</f>
        <v>Hermenches</v>
      </c>
      <c r="C161" s="407">
        <f>VPI!Q161</f>
        <v>73.5</v>
      </c>
      <c r="D161" s="412">
        <f>Données!Z161</f>
        <v>384</v>
      </c>
      <c r="E161" s="180">
        <f>VPI!R161</f>
        <v>10638.00475305371</v>
      </c>
      <c r="F161" s="317">
        <f>'Péréquation directe'!K167</f>
        <v>-51390.096209361014</v>
      </c>
      <c r="G161" s="330">
        <f>PCS!I167</f>
        <v>169405.70061167711</v>
      </c>
      <c r="H161" s="347">
        <f>'Facture policière'!L161</f>
        <v>33678.781997751961</v>
      </c>
      <c r="I161" s="464">
        <f t="shared" si="2"/>
        <v>151694.38640006806</v>
      </c>
      <c r="J161" s="182"/>
    </row>
    <row r="162" spans="1:10" s="87" customFormat="1" x14ac:dyDescent="0.25">
      <c r="A162" s="405">
        <f>Données!A162</f>
        <v>5674</v>
      </c>
      <c r="B162" s="409" t="str">
        <f>Données!B162</f>
        <v>Lovatens</v>
      </c>
      <c r="C162" s="407">
        <f>VPI!Q162</f>
        <v>75</v>
      </c>
      <c r="D162" s="412">
        <f>Données!Z162</f>
        <v>142</v>
      </c>
      <c r="E162" s="180">
        <f>VPI!R162</f>
        <v>3430.6671539886806</v>
      </c>
      <c r="F162" s="317">
        <f>'Péréquation directe'!K168</f>
        <v>-51926.737010841549</v>
      </c>
      <c r="G162" s="330">
        <f>PCS!I168</f>
        <v>87852.748682190344</v>
      </c>
      <c r="H162" s="347">
        <f>'Facture policière'!L162</f>
        <v>10788.829694596419</v>
      </c>
      <c r="I162" s="464">
        <f t="shared" si="2"/>
        <v>46714.841365945213</v>
      </c>
      <c r="J162" s="182"/>
    </row>
    <row r="163" spans="1:10" s="87" customFormat="1" x14ac:dyDescent="0.25">
      <c r="A163" s="405">
        <f>Données!A163</f>
        <v>5675</v>
      </c>
      <c r="B163" s="409" t="str">
        <f>Données!B163</f>
        <v>Lucens</v>
      </c>
      <c r="C163" s="407">
        <f>VPI!Q163</f>
        <v>67.5</v>
      </c>
      <c r="D163" s="412">
        <f>Données!Z163</f>
        <v>4309</v>
      </c>
      <c r="E163" s="180">
        <f>VPI!R163</f>
        <v>96952.062979645387</v>
      </c>
      <c r="F163" s="317">
        <f>'Péréquation directe'!K169</f>
        <v>-2049348.3217367916</v>
      </c>
      <c r="G163" s="330">
        <f>PCS!I169</f>
        <v>1675352.3905264048</v>
      </c>
      <c r="H163" s="347">
        <f>'Facture policière'!L163</f>
        <v>301316.75809257105</v>
      </c>
      <c r="I163" s="464">
        <f t="shared" si="2"/>
        <v>-72679.17311781575</v>
      </c>
      <c r="J163" s="182"/>
    </row>
    <row r="164" spans="1:10" s="87" customFormat="1" x14ac:dyDescent="0.25">
      <c r="A164" s="405">
        <f>Données!A164</f>
        <v>5678</v>
      </c>
      <c r="B164" s="409" t="str">
        <f>Données!B164</f>
        <v>Moudon</v>
      </c>
      <c r="C164" s="407">
        <f>VPI!Q164</f>
        <v>72.5</v>
      </c>
      <c r="D164" s="412">
        <f>Données!Z164</f>
        <v>6109</v>
      </c>
      <c r="E164" s="180">
        <f>VPI!R164</f>
        <v>124861.70956096463</v>
      </c>
      <c r="F164" s="317">
        <f>'Péréquation directe'!K170</f>
        <v>-4604002.3123175437</v>
      </c>
      <c r="G164" s="330">
        <f>PCS!I170</f>
        <v>2481390.1108723674</v>
      </c>
      <c r="H164" s="347">
        <f>'Facture policière'!L164</f>
        <v>385871.54969137773</v>
      </c>
      <c r="I164" s="464">
        <f t="shared" si="2"/>
        <v>-1736740.6517537986</v>
      </c>
      <c r="J164" s="182"/>
    </row>
    <row r="165" spans="1:10" s="87" customFormat="1" x14ac:dyDescent="0.25">
      <c r="A165" s="405">
        <f>Données!A165</f>
        <v>5680</v>
      </c>
      <c r="B165" s="409" t="str">
        <f>Données!B165</f>
        <v>Ogens</v>
      </c>
      <c r="C165" s="407">
        <f>VPI!Q165</f>
        <v>78</v>
      </c>
      <c r="D165" s="412">
        <f>Données!Z165</f>
        <v>301</v>
      </c>
      <c r="E165" s="180">
        <f>VPI!R165</f>
        <v>8674.1647445530853</v>
      </c>
      <c r="F165" s="317">
        <f>'Péréquation directe'!K171</f>
        <v>-4315.3178403073107</v>
      </c>
      <c r="G165" s="330">
        <f>PCS!I171</f>
        <v>178098.7488247368</v>
      </c>
      <c r="H165" s="347">
        <f>'Facture policière'!L165</f>
        <v>27242.934845607921</v>
      </c>
      <c r="I165" s="464">
        <f t="shared" si="2"/>
        <v>201026.36583003742</v>
      </c>
      <c r="J165" s="182"/>
    </row>
    <row r="166" spans="1:10" s="87" customFormat="1" x14ac:dyDescent="0.25">
      <c r="A166" s="405">
        <f>Données!A166</f>
        <v>5683</v>
      </c>
      <c r="B166" s="409" t="str">
        <f>Données!B166</f>
        <v>Prévonloup</v>
      </c>
      <c r="C166" s="407">
        <f>VPI!Q166</f>
        <v>72.5</v>
      </c>
      <c r="D166" s="412">
        <f>Données!Z166</f>
        <v>202</v>
      </c>
      <c r="E166" s="180">
        <f>VPI!R166</f>
        <v>5010.6526896551723</v>
      </c>
      <c r="F166" s="317">
        <f>'Péréquation directe'!K172</f>
        <v>-19712.416694342071</v>
      </c>
      <c r="G166" s="330">
        <f>PCS!I172</f>
        <v>75340.259733132334</v>
      </c>
      <c r="H166" s="347">
        <f>'Facture policière'!L166</f>
        <v>15652.663707240448</v>
      </c>
      <c r="I166" s="464">
        <f t="shared" si="2"/>
        <v>71280.506746030704</v>
      </c>
      <c r="J166" s="182"/>
    </row>
    <row r="167" spans="1:10" s="87" customFormat="1" x14ac:dyDescent="0.25">
      <c r="A167" s="405">
        <f>Données!A167</f>
        <v>5684</v>
      </c>
      <c r="B167" s="409" t="str">
        <f>Données!B167</f>
        <v>Rossenges</v>
      </c>
      <c r="C167" s="407">
        <f>VPI!Q167</f>
        <v>75</v>
      </c>
      <c r="D167" s="412">
        <f>Données!Z167</f>
        <v>84</v>
      </c>
      <c r="E167" s="180">
        <f>VPI!R167</f>
        <v>4335.3702000000012</v>
      </c>
      <c r="F167" s="317">
        <f>'Péréquation directe'!K173</f>
        <v>72634.190429177936</v>
      </c>
      <c r="G167" s="330">
        <f>PCS!I173</f>
        <v>70151.70695673392</v>
      </c>
      <c r="H167" s="347">
        <f>'Facture policière'!L167</f>
        <v>12748.089939742567</v>
      </c>
      <c r="I167" s="464">
        <f t="shared" si="2"/>
        <v>155533.98732565442</v>
      </c>
      <c r="J167" s="182"/>
    </row>
    <row r="168" spans="1:10" s="87" customFormat="1" x14ac:dyDescent="0.25">
      <c r="A168" s="405">
        <f>Données!A168</f>
        <v>5688</v>
      </c>
      <c r="B168" s="409" t="str">
        <f>Données!B168</f>
        <v>Syens</v>
      </c>
      <c r="C168" s="407">
        <f>VPI!Q168</f>
        <v>75.599999999999994</v>
      </c>
      <c r="D168" s="412">
        <f>Données!Z168</f>
        <v>156</v>
      </c>
      <c r="E168" s="180">
        <f>VPI!R168</f>
        <v>5090.9474673292525</v>
      </c>
      <c r="F168" s="317">
        <f>'Péréquation directe'!K174</f>
        <v>-30835.367986794838</v>
      </c>
      <c r="G168" s="330">
        <f>PCS!I174</f>
        <v>74349.357403892689</v>
      </c>
      <c r="H168" s="347">
        <f>'Facture policière'!L168</f>
        <v>16134.89810007983</v>
      </c>
      <c r="I168" s="464">
        <f t="shared" si="2"/>
        <v>59648.887517177682</v>
      </c>
      <c r="J168" s="182"/>
    </row>
    <row r="169" spans="1:10" s="87" customFormat="1" x14ac:dyDescent="0.25">
      <c r="A169" s="405">
        <f>Données!A169</f>
        <v>5690</v>
      </c>
      <c r="B169" s="409" t="str">
        <f>Données!B169</f>
        <v>Villars-le-Comte</v>
      </c>
      <c r="C169" s="407">
        <f>VPI!Q169</f>
        <v>70</v>
      </c>
      <c r="D169" s="412">
        <f>Données!Z169</f>
        <v>120</v>
      </c>
      <c r="E169" s="180">
        <f>VPI!R169</f>
        <v>3483.6555381452017</v>
      </c>
      <c r="F169" s="317">
        <f>'Péréquation directe'!K175</f>
        <v>1869.1739376087717</v>
      </c>
      <c r="G169" s="330">
        <f>PCS!I175</f>
        <v>68639.39157445656</v>
      </c>
      <c r="H169" s="347">
        <f>'Facture policière'!L169</f>
        <v>10854.386961284243</v>
      </c>
      <c r="I169" s="464">
        <f t="shared" si="2"/>
        <v>81362.952473349578</v>
      </c>
      <c r="J169" s="182"/>
    </row>
    <row r="170" spans="1:10" s="87" customFormat="1" x14ac:dyDescent="0.25">
      <c r="A170" s="405">
        <f>Données!A170</f>
        <v>5692</v>
      </c>
      <c r="B170" s="409" t="str">
        <f>Données!B170</f>
        <v>Vucherens</v>
      </c>
      <c r="C170" s="407">
        <f>VPI!Q170</f>
        <v>77</v>
      </c>
      <c r="D170" s="412">
        <f>Données!Z170</f>
        <v>617</v>
      </c>
      <c r="E170" s="180">
        <f>VPI!R170</f>
        <v>18080.765402288005</v>
      </c>
      <c r="F170" s="317">
        <f>'Péréquation directe'!K176</f>
        <v>-56535.305803458847</v>
      </c>
      <c r="G170" s="330">
        <f>PCS!I176</f>
        <v>318143.67453716288</v>
      </c>
      <c r="H170" s="347">
        <f>'Facture policière'!L170</f>
        <v>56920.69355403581</v>
      </c>
      <c r="I170" s="464">
        <f t="shared" si="2"/>
        <v>318529.06228773983</v>
      </c>
      <c r="J170" s="182"/>
    </row>
    <row r="171" spans="1:10" s="87" customFormat="1" x14ac:dyDescent="0.25">
      <c r="A171" s="405">
        <f>Données!A171</f>
        <v>5693</v>
      </c>
      <c r="B171" s="409" t="str">
        <f>Données!B171</f>
        <v>Montanaire</v>
      </c>
      <c r="C171" s="407">
        <f>VPI!Q171</f>
        <v>72</v>
      </c>
      <c r="D171" s="412">
        <f>Données!Z171</f>
        <v>2782</v>
      </c>
      <c r="E171" s="180">
        <f>VPI!R171</f>
        <v>71109.274307717249</v>
      </c>
      <c r="F171" s="317">
        <f>'Péréquation directe'!K177</f>
        <v>-1001239.5183654095</v>
      </c>
      <c r="G171" s="330">
        <f>PCS!I177</f>
        <v>1296239.0725904636</v>
      </c>
      <c r="H171" s="347">
        <f>'Facture policière'!L171</f>
        <v>222153.23799858073</v>
      </c>
      <c r="I171" s="464">
        <f t="shared" si="2"/>
        <v>517152.79222363484</v>
      </c>
      <c r="J171" s="182"/>
    </row>
    <row r="172" spans="1:10" s="87" customFormat="1" x14ac:dyDescent="0.25">
      <c r="A172" s="405">
        <f>Données!A172</f>
        <v>5701</v>
      </c>
      <c r="B172" s="409" t="str">
        <f>Données!B172</f>
        <v>Arnex-sur-Nyon</v>
      </c>
      <c r="C172" s="407">
        <f>VPI!Q172</f>
        <v>70</v>
      </c>
      <c r="D172" s="412">
        <f>Données!Z172</f>
        <v>240</v>
      </c>
      <c r="E172" s="180">
        <f>VPI!R172</f>
        <v>12577.692288260665</v>
      </c>
      <c r="F172" s="317">
        <f>'Péréquation directe'!K178</f>
        <v>211183.58606215392</v>
      </c>
      <c r="G172" s="330">
        <f>PCS!I178</f>
        <v>282071.66140201013</v>
      </c>
      <c r="H172" s="347">
        <f>'Facture policière'!L172</f>
        <v>36670.042825390032</v>
      </c>
      <c r="I172" s="464">
        <f t="shared" si="2"/>
        <v>529925.29028955405</v>
      </c>
      <c r="J172" s="182"/>
    </row>
    <row r="173" spans="1:10" s="87" customFormat="1" x14ac:dyDescent="0.25">
      <c r="A173" s="405">
        <f>Données!A173</f>
        <v>5702</v>
      </c>
      <c r="B173" s="409" t="str">
        <f>Données!B173</f>
        <v>Arzier-Le Muids</v>
      </c>
      <c r="C173" s="407">
        <f>VPI!Q173</f>
        <v>64</v>
      </c>
      <c r="D173" s="412">
        <f>Données!Z173</f>
        <v>2912</v>
      </c>
      <c r="E173" s="180">
        <f>VPI!R173</f>
        <v>167718.32276638702</v>
      </c>
      <c r="F173" s="317">
        <f>'Péréquation directe'!K179</f>
        <v>1985693.1581535353</v>
      </c>
      <c r="G173" s="330">
        <f>PCS!I179</f>
        <v>3408830.711279138</v>
      </c>
      <c r="H173" s="347">
        <f>'Facture policière'!L173</f>
        <v>464471.21961010707</v>
      </c>
      <c r="I173" s="464">
        <f t="shared" si="2"/>
        <v>5858995.08904278</v>
      </c>
      <c r="J173" s="182"/>
    </row>
    <row r="174" spans="1:10" s="87" customFormat="1" x14ac:dyDescent="0.25">
      <c r="A174" s="405">
        <f>Données!A174</f>
        <v>5703</v>
      </c>
      <c r="B174" s="409" t="str">
        <f>Données!B174</f>
        <v>Bassins</v>
      </c>
      <c r="C174" s="407">
        <f>VPI!Q174</f>
        <v>72.5</v>
      </c>
      <c r="D174" s="412">
        <f>Données!Z174</f>
        <v>1475</v>
      </c>
      <c r="E174" s="180">
        <f>VPI!R174</f>
        <v>66886.981709814791</v>
      </c>
      <c r="F174" s="317">
        <f>'Péréquation directe'!K180</f>
        <v>690081.86281446216</v>
      </c>
      <c r="G174" s="330">
        <f>PCS!I180</f>
        <v>1239744.6209273827</v>
      </c>
      <c r="H174" s="347">
        <f>'Facture policière'!L174</f>
        <v>211231.18594864561</v>
      </c>
      <c r="I174" s="464">
        <f t="shared" si="2"/>
        <v>2141057.6696904907</v>
      </c>
      <c r="J174" s="182"/>
    </row>
    <row r="175" spans="1:10" s="87" customFormat="1" x14ac:dyDescent="0.25">
      <c r="A175" s="405">
        <f>Données!A175</f>
        <v>5704</v>
      </c>
      <c r="B175" s="409" t="str">
        <f>Données!B175</f>
        <v>Begnins</v>
      </c>
      <c r="C175" s="407">
        <f>VPI!Q175</f>
        <v>62.5</v>
      </c>
      <c r="D175" s="412">
        <f>Données!Z175</f>
        <v>1928</v>
      </c>
      <c r="E175" s="180">
        <f>VPI!R175</f>
        <v>141530.02646227158</v>
      </c>
      <c r="F175" s="317">
        <f>'Péréquation directe'!K181</f>
        <v>2265012.7859861697</v>
      </c>
      <c r="G175" s="330">
        <f>PCS!I181</f>
        <v>3205612.0778321456</v>
      </c>
      <c r="H175" s="347">
        <f>'Facture policière'!L175</f>
        <v>346949.84027604543</v>
      </c>
      <c r="I175" s="464">
        <f t="shared" si="2"/>
        <v>5817574.7040943615</v>
      </c>
      <c r="J175" s="182"/>
    </row>
    <row r="176" spans="1:10" s="87" customFormat="1" x14ac:dyDescent="0.25">
      <c r="A176" s="405">
        <f>Données!A176</f>
        <v>5705</v>
      </c>
      <c r="B176" s="409" t="str">
        <f>Données!B176</f>
        <v>Bogis-Bossey</v>
      </c>
      <c r="C176" s="407">
        <f>VPI!Q176</f>
        <v>74.5</v>
      </c>
      <c r="D176" s="412">
        <f>Données!Z176</f>
        <v>835</v>
      </c>
      <c r="E176" s="180">
        <f>VPI!R176</f>
        <v>56143.373517355147</v>
      </c>
      <c r="F176" s="317">
        <f>'Péréquation directe'!K182</f>
        <v>971964.75071373559</v>
      </c>
      <c r="G176" s="330">
        <f>PCS!I182</f>
        <v>1361932.4000406049</v>
      </c>
      <c r="H176" s="347">
        <f>'Facture policière'!L176</f>
        <v>143597.4989130249</v>
      </c>
      <c r="I176" s="464">
        <f t="shared" si="2"/>
        <v>2477494.6496673655</v>
      </c>
      <c r="J176" s="182"/>
    </row>
    <row r="177" spans="1:10" s="87" customFormat="1" x14ac:dyDescent="0.25">
      <c r="A177" s="405">
        <f>Données!A177</f>
        <v>5706</v>
      </c>
      <c r="B177" s="409" t="str">
        <f>Données!B177</f>
        <v>Borex</v>
      </c>
      <c r="C177" s="407">
        <f>VPI!Q177</f>
        <v>57</v>
      </c>
      <c r="D177" s="412">
        <f>Données!Z177</f>
        <v>1157</v>
      </c>
      <c r="E177" s="180">
        <f>VPI!R177</f>
        <v>84061.533508771914</v>
      </c>
      <c r="F177" s="317">
        <f>'Péréquation directe'!K183</f>
        <v>1431806.8495294359</v>
      </c>
      <c r="G177" s="330">
        <f>PCS!I183</f>
        <v>1843836.4427200868</v>
      </c>
      <c r="H177" s="347">
        <f>'Facture policière'!L177</f>
        <v>207079.1660445325</v>
      </c>
      <c r="I177" s="464">
        <f t="shared" si="2"/>
        <v>3482722.458294055</v>
      </c>
      <c r="J177" s="182"/>
    </row>
    <row r="178" spans="1:10" s="87" customFormat="1" x14ac:dyDescent="0.25">
      <c r="A178" s="405">
        <f>Données!A178</f>
        <v>5707</v>
      </c>
      <c r="B178" s="409" t="str">
        <f>Données!B178</f>
        <v>Chavannes-de-Bogis</v>
      </c>
      <c r="C178" s="407">
        <f>VPI!Q178</f>
        <v>58</v>
      </c>
      <c r="D178" s="412">
        <f>Données!Z178</f>
        <v>1329</v>
      </c>
      <c r="E178" s="180">
        <f>VPI!R178</f>
        <v>81740.650607161704</v>
      </c>
      <c r="F178" s="317">
        <f>'Péréquation directe'!K184</f>
        <v>1327631.810727864</v>
      </c>
      <c r="G178" s="330">
        <f>PCS!I184</f>
        <v>1897575.182123397</v>
      </c>
      <c r="H178" s="347">
        <f>'Facture policière'!L178</f>
        <v>218699.25985080714</v>
      </c>
      <c r="I178" s="464">
        <f t="shared" si="2"/>
        <v>3443906.2527020681</v>
      </c>
      <c r="J178" s="182"/>
    </row>
    <row r="179" spans="1:10" s="87" customFormat="1" x14ac:dyDescent="0.25">
      <c r="A179" s="405">
        <f>Données!A179</f>
        <v>5708</v>
      </c>
      <c r="B179" s="409" t="str">
        <f>Données!B179</f>
        <v>Chavannes-des-Bois</v>
      </c>
      <c r="C179" s="407">
        <f>VPI!Q179</f>
        <v>68</v>
      </c>
      <c r="D179" s="412">
        <f>Données!Z179</f>
        <v>1013</v>
      </c>
      <c r="E179" s="180">
        <f>VPI!R179</f>
        <v>67246.19149969735</v>
      </c>
      <c r="F179" s="317">
        <f>'Péréquation directe'!K185</f>
        <v>1159681.358488939</v>
      </c>
      <c r="G179" s="330">
        <f>PCS!I185</f>
        <v>1490019.8612924663</v>
      </c>
      <c r="H179" s="347">
        <f>'Facture policière'!L179</f>
        <v>173089.33774590254</v>
      </c>
      <c r="I179" s="464">
        <f t="shared" si="2"/>
        <v>2822790.5575273079</v>
      </c>
      <c r="J179" s="182"/>
    </row>
    <row r="180" spans="1:10" s="87" customFormat="1" x14ac:dyDescent="0.25">
      <c r="A180" s="405">
        <f>Données!A180</f>
        <v>5709</v>
      </c>
      <c r="B180" s="409" t="str">
        <f>Données!B180</f>
        <v>Chéserex</v>
      </c>
      <c r="C180" s="407">
        <f>VPI!Q180</f>
        <v>57</v>
      </c>
      <c r="D180" s="412">
        <f>Données!Z180</f>
        <v>1248</v>
      </c>
      <c r="E180" s="180">
        <f>VPI!R180</f>
        <v>97363.543103732183</v>
      </c>
      <c r="F180" s="317">
        <f>'Péréquation directe'!K186</f>
        <v>1655030.5697666907</v>
      </c>
      <c r="G180" s="330">
        <f>PCS!I186</f>
        <v>2334860.2494772333</v>
      </c>
      <c r="H180" s="347">
        <f>'Facture policière'!L180</f>
        <v>232019.42549546569</v>
      </c>
      <c r="I180" s="464">
        <f t="shared" si="2"/>
        <v>4221910.244739389</v>
      </c>
      <c r="J180" s="182"/>
    </row>
    <row r="181" spans="1:10" s="87" customFormat="1" x14ac:dyDescent="0.25">
      <c r="A181" s="405">
        <f>Données!A181</f>
        <v>5710</v>
      </c>
      <c r="B181" s="409" t="str">
        <f>Données!B181</f>
        <v>Coinsins</v>
      </c>
      <c r="C181" s="407">
        <f>VPI!Q181</f>
        <v>51</v>
      </c>
      <c r="D181" s="412">
        <f>Données!Z181</f>
        <v>509</v>
      </c>
      <c r="E181" s="180">
        <f>VPI!R181</f>
        <v>41089.8274990719</v>
      </c>
      <c r="F181" s="317">
        <f>'Péréquation directe'!K187</f>
        <v>724016.4308966049</v>
      </c>
      <c r="G181" s="330">
        <f>PCS!I187</f>
        <v>918932.73207075871</v>
      </c>
      <c r="H181" s="347">
        <f>'Facture policière'!L181</f>
        <v>96414.36953873036</v>
      </c>
      <c r="I181" s="464">
        <f t="shared" si="2"/>
        <v>1739363.5325060938</v>
      </c>
      <c r="J181" s="182"/>
    </row>
    <row r="182" spans="1:10" s="87" customFormat="1" x14ac:dyDescent="0.25">
      <c r="A182" s="405">
        <f>Données!A182</f>
        <v>5711</v>
      </c>
      <c r="B182" s="409" t="str">
        <f>Données!B182</f>
        <v>Commugny</v>
      </c>
      <c r="C182" s="407">
        <f>VPI!Q182</f>
        <v>55.5</v>
      </c>
      <c r="D182" s="412">
        <f>Données!Z182</f>
        <v>2997</v>
      </c>
      <c r="E182" s="180">
        <f>VPI!R182</f>
        <v>252751.28311656581</v>
      </c>
      <c r="F182" s="317">
        <f>'Péréquation directe'!K188</f>
        <v>4024462.613488025</v>
      </c>
      <c r="G182" s="330">
        <f>PCS!I188</f>
        <v>6333781.8447166737</v>
      </c>
      <c r="H182" s="347">
        <f>'Facture policière'!L182</f>
        <v>581675.37560503138</v>
      </c>
      <c r="I182" s="464">
        <f t="shared" si="2"/>
        <v>10939919.83380973</v>
      </c>
      <c r="J182" s="182"/>
    </row>
    <row r="183" spans="1:10" s="87" customFormat="1" x14ac:dyDescent="0.25">
      <c r="A183" s="405">
        <f>Données!A183</f>
        <v>5712</v>
      </c>
      <c r="B183" s="409" t="str">
        <f>Données!B183</f>
        <v>Coppet</v>
      </c>
      <c r="C183" s="407">
        <f>VPI!Q183</f>
        <v>53</v>
      </c>
      <c r="D183" s="412">
        <f>Données!Z183</f>
        <v>3247</v>
      </c>
      <c r="E183" s="180">
        <f>VPI!R183</f>
        <v>381936.87435905024</v>
      </c>
      <c r="F183" s="317">
        <f>'Péréquation directe'!K189</f>
        <v>6375633.8999275565</v>
      </c>
      <c r="G183" s="330">
        <f>PCS!I189</f>
        <v>11219717.200227924</v>
      </c>
      <c r="H183" s="347">
        <f>'Facture policière'!L183</f>
        <v>770011.54630811303</v>
      </c>
      <c r="I183" s="464">
        <f t="shared" si="2"/>
        <v>18365362.646463592</v>
      </c>
      <c r="J183" s="182"/>
    </row>
    <row r="184" spans="1:10" s="87" customFormat="1" x14ac:dyDescent="0.25">
      <c r="A184" s="405">
        <f>Données!A184</f>
        <v>5713</v>
      </c>
      <c r="B184" s="409" t="str">
        <f>Données!B184</f>
        <v>Crans-près-Céligny</v>
      </c>
      <c r="C184" s="407">
        <f>VPI!Q184</f>
        <v>56</v>
      </c>
      <c r="D184" s="412">
        <f>Données!Z184</f>
        <v>2340</v>
      </c>
      <c r="E184" s="180">
        <f>VPI!R184</f>
        <v>308655.70549910824</v>
      </c>
      <c r="F184" s="317">
        <f>'Péréquation directe'!K190</f>
        <v>5323484.1983901476</v>
      </c>
      <c r="G184" s="330">
        <f>PCS!I190</f>
        <v>10081474.694292963</v>
      </c>
      <c r="H184" s="347">
        <f>'Facture policière'!L184</f>
        <v>399203.02056560176</v>
      </c>
      <c r="I184" s="464">
        <f t="shared" si="2"/>
        <v>15804161.913248712</v>
      </c>
      <c r="J184" s="182"/>
    </row>
    <row r="185" spans="1:10" s="87" customFormat="1" x14ac:dyDescent="0.25">
      <c r="A185" s="405">
        <f>Données!A185</f>
        <v>5714</v>
      </c>
      <c r="B185" s="409" t="str">
        <f>Données!B185</f>
        <v>Crassier</v>
      </c>
      <c r="C185" s="407">
        <f>VPI!Q185</f>
        <v>68</v>
      </c>
      <c r="D185" s="412">
        <f>Données!Z185</f>
        <v>1174</v>
      </c>
      <c r="E185" s="180">
        <f>VPI!R185</f>
        <v>53565.625441176468</v>
      </c>
      <c r="F185" s="317">
        <f>'Péréquation directe'!K191</f>
        <v>829892.57119813445</v>
      </c>
      <c r="G185" s="330">
        <f>PCS!I191</f>
        <v>945454.66101497714</v>
      </c>
      <c r="H185" s="347">
        <f>'Facture policière'!L185</f>
        <v>167688.47367701901</v>
      </c>
      <c r="I185" s="464">
        <f t="shared" si="2"/>
        <v>1943035.7058901307</v>
      </c>
      <c r="J185" s="182"/>
    </row>
    <row r="186" spans="1:10" s="87" customFormat="1" x14ac:dyDescent="0.25">
      <c r="A186" s="405">
        <f>Données!A186</f>
        <v>5715</v>
      </c>
      <c r="B186" s="409" t="str">
        <f>Données!B186</f>
        <v>Duillier</v>
      </c>
      <c r="C186" s="407">
        <f>VPI!Q186</f>
        <v>66</v>
      </c>
      <c r="D186" s="412">
        <f>Données!Z186</f>
        <v>1128</v>
      </c>
      <c r="E186" s="180">
        <f>VPI!R186</f>
        <v>61562.138656601084</v>
      </c>
      <c r="F186" s="317">
        <f>'Péréquation directe'!K192</f>
        <v>1010869.8397344159</v>
      </c>
      <c r="G186" s="330">
        <f>PCS!I192</f>
        <v>1261988.3420303704</v>
      </c>
      <c r="H186" s="347">
        <f>'Facture policière'!L186</f>
        <v>175514.03428472922</v>
      </c>
      <c r="I186" s="464">
        <f t="shared" si="2"/>
        <v>2448372.2160495152</v>
      </c>
      <c r="J186" s="182"/>
    </row>
    <row r="187" spans="1:10" s="87" customFormat="1" x14ac:dyDescent="0.25">
      <c r="A187" s="405">
        <f>Données!A187</f>
        <v>5716</v>
      </c>
      <c r="B187" s="409" t="str">
        <f>Données!B187</f>
        <v>Eysins</v>
      </c>
      <c r="C187" s="407">
        <f>VPI!Q187</f>
        <v>59.5</v>
      </c>
      <c r="D187" s="412">
        <f>Données!Z187</f>
        <v>1740</v>
      </c>
      <c r="E187" s="180">
        <f>VPI!R187</f>
        <v>307549.31539081637</v>
      </c>
      <c r="F187" s="317">
        <f>'Péréquation directe'!K193</f>
        <v>3929309.9844964948</v>
      </c>
      <c r="G187" s="330">
        <f>PCS!I193</f>
        <v>11674278.049262691</v>
      </c>
      <c r="H187" s="347">
        <f>'Facture policière'!L187</f>
        <v>545690.58751438418</v>
      </c>
      <c r="I187" s="464">
        <f t="shared" si="2"/>
        <v>16149278.62127357</v>
      </c>
      <c r="J187" s="182"/>
    </row>
    <row r="188" spans="1:10" s="87" customFormat="1" x14ac:dyDescent="0.25">
      <c r="A188" s="405">
        <f>Données!A188</f>
        <v>5717</v>
      </c>
      <c r="B188" s="409" t="str">
        <f>Données!B188</f>
        <v>Founex</v>
      </c>
      <c r="C188" s="407">
        <f>VPI!Q188</f>
        <v>57</v>
      </c>
      <c r="D188" s="412">
        <f>Données!Z188</f>
        <v>3834</v>
      </c>
      <c r="E188" s="180">
        <f>VPI!R188</f>
        <v>386760.37149934971</v>
      </c>
      <c r="F188" s="317">
        <f>'Péréquation directe'!K194</f>
        <v>6176896.4659748096</v>
      </c>
      <c r="G188" s="330">
        <f>PCS!I194</f>
        <v>11064973.791168669</v>
      </c>
      <c r="H188" s="347">
        <f>'Facture policière'!L188</f>
        <v>826151.31629396393</v>
      </c>
      <c r="I188" s="464">
        <f t="shared" si="2"/>
        <v>18068021.573437441</v>
      </c>
      <c r="J188" s="182"/>
    </row>
    <row r="189" spans="1:10" s="87" customFormat="1" x14ac:dyDescent="0.25">
      <c r="A189" s="405">
        <f>Données!A189</f>
        <v>5718</v>
      </c>
      <c r="B189" s="409" t="str">
        <f>Données!B189</f>
        <v>Genolier</v>
      </c>
      <c r="C189" s="407">
        <f>VPI!Q189</f>
        <v>55</v>
      </c>
      <c r="D189" s="412">
        <f>Données!Z189</f>
        <v>1996</v>
      </c>
      <c r="E189" s="180">
        <f>VPI!R189</f>
        <v>244955.25679243167</v>
      </c>
      <c r="F189" s="317">
        <f>'Péréquation directe'!K195</f>
        <v>4222649.8199557848</v>
      </c>
      <c r="G189" s="330">
        <f>PCS!I195</f>
        <v>7409671.5203520022</v>
      </c>
      <c r="H189" s="347">
        <f>'Facture policière'!L189</f>
        <v>486496.64615846251</v>
      </c>
      <c r="I189" s="464">
        <f t="shared" si="2"/>
        <v>12118817.986466249</v>
      </c>
      <c r="J189" s="182"/>
    </row>
    <row r="190" spans="1:10" s="87" customFormat="1" x14ac:dyDescent="0.25">
      <c r="A190" s="405">
        <f>Données!A190</f>
        <v>5719</v>
      </c>
      <c r="B190" s="409" t="str">
        <f>Données!B190</f>
        <v>Gingins</v>
      </c>
      <c r="C190" s="407">
        <f>VPI!Q190</f>
        <v>57</v>
      </c>
      <c r="D190" s="412">
        <f>Données!Z190</f>
        <v>1257</v>
      </c>
      <c r="E190" s="180">
        <f>VPI!R190</f>
        <v>145581.00922504449</v>
      </c>
      <c r="F190" s="317">
        <f>'Péréquation directe'!K196</f>
        <v>2575574.5154160252</v>
      </c>
      <c r="G190" s="330">
        <f>PCS!I196</f>
        <v>4280301.644943784</v>
      </c>
      <c r="H190" s="347">
        <f>'Facture policière'!L190</f>
        <v>295147.07538810244</v>
      </c>
      <c r="I190" s="464">
        <f t="shared" si="2"/>
        <v>7151023.235747912</v>
      </c>
      <c r="J190" s="182"/>
    </row>
    <row r="191" spans="1:10" s="87" customFormat="1" x14ac:dyDescent="0.25">
      <c r="A191" s="405">
        <f>Données!A191</f>
        <v>5720</v>
      </c>
      <c r="B191" s="409" t="str">
        <f>Données!B191</f>
        <v>Givrins</v>
      </c>
      <c r="C191" s="407">
        <f>VPI!Q191</f>
        <v>67</v>
      </c>
      <c r="D191" s="412">
        <f>Données!Z191</f>
        <v>1031</v>
      </c>
      <c r="E191" s="180">
        <f>VPI!R191</f>
        <v>84157.481732617845</v>
      </c>
      <c r="F191" s="317">
        <f>'Péréquation directe'!K197</f>
        <v>1423037.7949029428</v>
      </c>
      <c r="G191" s="330">
        <f>PCS!I197</f>
        <v>2268223.5406372417</v>
      </c>
      <c r="H191" s="347">
        <f>'Facture policière'!L191</f>
        <v>196491.91998520738</v>
      </c>
      <c r="I191" s="464">
        <f t="shared" si="2"/>
        <v>3887753.255525392</v>
      </c>
      <c r="J191" s="182"/>
    </row>
    <row r="192" spans="1:10" s="87" customFormat="1" x14ac:dyDescent="0.25">
      <c r="A192" s="405">
        <f>Données!A192</f>
        <v>5721</v>
      </c>
      <c r="B192" s="409" t="str">
        <f>Données!B192</f>
        <v>Gland</v>
      </c>
      <c r="C192" s="407">
        <f>VPI!Q192</f>
        <v>61</v>
      </c>
      <c r="D192" s="412">
        <f>Données!Z192</f>
        <v>13243</v>
      </c>
      <c r="E192" s="180">
        <f>VPI!R192</f>
        <v>649754.37436659122</v>
      </c>
      <c r="F192" s="317">
        <f>'Péréquation directe'!K198</f>
        <v>4493425.5885315351</v>
      </c>
      <c r="G192" s="330">
        <f>PCS!I198</f>
        <v>12159687.610017009</v>
      </c>
      <c r="H192" s="347">
        <f>'Facture policière'!L192</f>
        <v>1966162.4949911768</v>
      </c>
      <c r="I192" s="464">
        <f t="shared" si="2"/>
        <v>18619275.69353972</v>
      </c>
      <c r="J192" s="182"/>
    </row>
    <row r="193" spans="1:10" s="87" customFormat="1" x14ac:dyDescent="0.25">
      <c r="A193" s="405">
        <f>Données!A193</f>
        <v>5722</v>
      </c>
      <c r="B193" s="409" t="str">
        <f>Données!B193</f>
        <v>Grens</v>
      </c>
      <c r="C193" s="407">
        <f>VPI!Q193</f>
        <v>62</v>
      </c>
      <c r="D193" s="412">
        <f>Données!Z193</f>
        <v>405</v>
      </c>
      <c r="E193" s="180">
        <f>VPI!R193</f>
        <v>25522.027975307101</v>
      </c>
      <c r="F193" s="317">
        <f>'Péréquation directe'!K199</f>
        <v>438690.25298884802</v>
      </c>
      <c r="G193" s="330">
        <f>PCS!I199</f>
        <v>490272.25694843056</v>
      </c>
      <c r="H193" s="347">
        <f>'Facture policière'!L193</f>
        <v>67438.489030912257</v>
      </c>
      <c r="I193" s="464">
        <f t="shared" si="2"/>
        <v>996400.99896819086</v>
      </c>
      <c r="J193" s="182"/>
    </row>
    <row r="194" spans="1:10" s="87" customFormat="1" x14ac:dyDescent="0.25">
      <c r="A194" s="405">
        <f>Données!A194</f>
        <v>5723</v>
      </c>
      <c r="B194" s="409" t="str">
        <f>Données!B194</f>
        <v>Mies</v>
      </c>
      <c r="C194" s="407">
        <f>VPI!Q194</f>
        <v>52</v>
      </c>
      <c r="D194" s="412">
        <f>Données!Z194</f>
        <v>2172</v>
      </c>
      <c r="E194" s="180">
        <f>VPI!R194</f>
        <v>197671.04481157771</v>
      </c>
      <c r="F194" s="317">
        <f>'Péréquation directe'!K200</f>
        <v>3255754.7040794585</v>
      </c>
      <c r="G194" s="330">
        <f>PCS!I200</f>
        <v>5191955.1528673219</v>
      </c>
      <c r="H194" s="347">
        <f>'Facture policière'!L194</f>
        <v>440302.99999892304</v>
      </c>
      <c r="I194" s="464">
        <f t="shared" si="2"/>
        <v>8888012.8569457047</v>
      </c>
      <c r="J194" s="182"/>
    </row>
    <row r="195" spans="1:10" s="87" customFormat="1" x14ac:dyDescent="0.25">
      <c r="A195" s="405">
        <f>Données!A195</f>
        <v>5724</v>
      </c>
      <c r="B195" s="409" t="str">
        <f>Données!B195</f>
        <v>Nyon</v>
      </c>
      <c r="C195" s="407">
        <f>VPI!Q195</f>
        <v>61</v>
      </c>
      <c r="D195" s="412">
        <f>Données!Z195</f>
        <v>21743</v>
      </c>
      <c r="E195" s="180">
        <f>VPI!R195</f>
        <v>1412863.5932076953</v>
      </c>
      <c r="F195" s="317">
        <f>'Péréquation directe'!K201</f>
        <v>9189659.7164719068</v>
      </c>
      <c r="G195" s="330">
        <f>PCS!I201</f>
        <v>34899702.043974683</v>
      </c>
      <c r="H195" s="347">
        <f>'Facture policière'!L195</f>
        <v>1827341.6107557134</v>
      </c>
      <c r="I195" s="464">
        <f t="shared" si="2"/>
        <v>45916703.371202305</v>
      </c>
      <c r="J195" s="182"/>
    </row>
    <row r="196" spans="1:10" s="87" customFormat="1" x14ac:dyDescent="0.25">
      <c r="A196" s="405">
        <f>Données!A196</f>
        <v>5725</v>
      </c>
      <c r="B196" s="409" t="str">
        <f>Données!B196</f>
        <v>Prangins</v>
      </c>
      <c r="C196" s="407">
        <f>VPI!Q196</f>
        <v>55</v>
      </c>
      <c r="D196" s="412">
        <f>Données!Z196</f>
        <v>4101</v>
      </c>
      <c r="E196" s="180">
        <f>VPI!R196</f>
        <v>312426.41305318987</v>
      </c>
      <c r="F196" s="317">
        <f>'Péréquation directe'!K202</f>
        <v>4620506.769096775</v>
      </c>
      <c r="G196" s="330">
        <f>PCS!I202</f>
        <v>7443262.6507568508</v>
      </c>
      <c r="H196" s="347">
        <f>'Facture policière'!L196</f>
        <v>404079.90383210359</v>
      </c>
      <c r="I196" s="464">
        <f t="shared" si="2"/>
        <v>12467849.32368573</v>
      </c>
      <c r="J196" s="182"/>
    </row>
    <row r="197" spans="1:10" s="87" customFormat="1" x14ac:dyDescent="0.25">
      <c r="A197" s="405">
        <f>Données!A197</f>
        <v>5726</v>
      </c>
      <c r="B197" s="409" t="str">
        <f>Données!B197</f>
        <v>La Rippe</v>
      </c>
      <c r="C197" s="407">
        <f>VPI!Q197</f>
        <v>65</v>
      </c>
      <c r="D197" s="412">
        <f>Données!Z197</f>
        <v>1131</v>
      </c>
      <c r="E197" s="180">
        <f>VPI!R197</f>
        <v>66314.954154633349</v>
      </c>
      <c r="F197" s="317">
        <f>'Péréquation directe'!K203</f>
        <v>1100874.6841948302</v>
      </c>
      <c r="G197" s="330">
        <f>PCS!I203</f>
        <v>1451181.9323535189</v>
      </c>
      <c r="H197" s="347">
        <f>'Facture policière'!L197</f>
        <v>181916.16887230088</v>
      </c>
      <c r="I197" s="464">
        <f t="shared" si="2"/>
        <v>2733972.7854206502</v>
      </c>
      <c r="J197" s="182"/>
    </row>
    <row r="198" spans="1:10" s="87" customFormat="1" x14ac:dyDescent="0.25">
      <c r="A198" s="405">
        <f>Données!A198</f>
        <v>5727</v>
      </c>
      <c r="B198" s="409" t="str">
        <f>Données!B198</f>
        <v>Saint-Cergue</v>
      </c>
      <c r="C198" s="407">
        <f>VPI!Q198</f>
        <v>66</v>
      </c>
      <c r="D198" s="412">
        <f>Données!Z198</f>
        <v>2674</v>
      </c>
      <c r="E198" s="180">
        <f>VPI!R198</f>
        <v>105108.96305797539</v>
      </c>
      <c r="F198" s="317">
        <f>'Péréquation directe'!K204</f>
        <v>782762.79382194323</v>
      </c>
      <c r="G198" s="330">
        <f>PCS!I204</f>
        <v>1916900.3183614374</v>
      </c>
      <c r="H198" s="347">
        <f>'Facture policière'!L198</f>
        <v>329846.74504204118</v>
      </c>
      <c r="I198" s="464">
        <f t="shared" si="2"/>
        <v>3029509.8572254218</v>
      </c>
      <c r="J198" s="182"/>
    </row>
    <row r="199" spans="1:10" s="87" customFormat="1" x14ac:dyDescent="0.25">
      <c r="A199" s="405">
        <f>Données!A199</f>
        <v>5728</v>
      </c>
      <c r="B199" s="409" t="str">
        <f>Données!B199</f>
        <v>Signy-Avenex</v>
      </c>
      <c r="C199" s="407">
        <f>VPI!Q199</f>
        <v>58</v>
      </c>
      <c r="D199" s="412">
        <f>Données!Z199</f>
        <v>581</v>
      </c>
      <c r="E199" s="180">
        <f>VPI!R199</f>
        <v>49029.515425987986</v>
      </c>
      <c r="F199" s="317">
        <f>'Péréquation directe'!K205</f>
        <v>867183.96652269817</v>
      </c>
      <c r="G199" s="330">
        <f>PCS!I205</f>
        <v>1243068.534763773</v>
      </c>
      <c r="H199" s="347">
        <f>'Facture policière'!L199</f>
        <v>112804.01297756916</v>
      </c>
      <c r="I199" s="464">
        <f t="shared" ref="I199:I262" si="3">SUM(F199:H199)</f>
        <v>2223056.5142640406</v>
      </c>
      <c r="J199" s="182"/>
    </row>
    <row r="200" spans="1:10" s="87" customFormat="1" x14ac:dyDescent="0.25">
      <c r="A200" s="405">
        <f>Données!A200</f>
        <v>5729</v>
      </c>
      <c r="B200" s="409" t="str">
        <f>Données!B200</f>
        <v>Tannay</v>
      </c>
      <c r="C200" s="407">
        <f>VPI!Q200</f>
        <v>60.5</v>
      </c>
      <c r="D200" s="412">
        <f>Données!Z200</f>
        <v>1636</v>
      </c>
      <c r="E200" s="180">
        <f>VPI!R200</f>
        <v>130705.91189021352</v>
      </c>
      <c r="F200" s="317">
        <f>'Péréquation directe'!K206</f>
        <v>2159040.1868395973</v>
      </c>
      <c r="G200" s="330">
        <f>PCS!I206</f>
        <v>3489446.4958239212</v>
      </c>
      <c r="H200" s="347">
        <f>'Facture policière'!L200</f>
        <v>308127.2514564158</v>
      </c>
      <c r="I200" s="464">
        <f t="shared" si="3"/>
        <v>5956613.9341199351</v>
      </c>
      <c r="J200" s="182"/>
    </row>
    <row r="201" spans="1:10" s="87" customFormat="1" x14ac:dyDescent="0.25">
      <c r="A201" s="405">
        <f>Données!A201</f>
        <v>5730</v>
      </c>
      <c r="B201" s="409" t="str">
        <f>Données!B201</f>
        <v>Trélex</v>
      </c>
      <c r="C201" s="407">
        <f>VPI!Q201</f>
        <v>55.5</v>
      </c>
      <c r="D201" s="412">
        <f>Données!Z201</f>
        <v>1445</v>
      </c>
      <c r="E201" s="180">
        <f>VPI!R201</f>
        <v>111635.7900900901</v>
      </c>
      <c r="F201" s="317">
        <f>'Péréquation directe'!K207</f>
        <v>1860039.0470820188</v>
      </c>
      <c r="G201" s="330">
        <f>PCS!I207</f>
        <v>2775662.6266026115</v>
      </c>
      <c r="H201" s="347">
        <f>'Facture policière'!L201</f>
        <v>267225.68013529084</v>
      </c>
      <c r="I201" s="464">
        <f t="shared" si="3"/>
        <v>4902927.3538199216</v>
      </c>
      <c r="J201" s="182"/>
    </row>
    <row r="202" spans="1:10" s="87" customFormat="1" x14ac:dyDescent="0.25">
      <c r="A202" s="405">
        <f>Données!A202</f>
        <v>5731</v>
      </c>
      <c r="B202" s="409" t="str">
        <f>Données!B202</f>
        <v>Le Vaud</v>
      </c>
      <c r="C202" s="407">
        <f>VPI!Q202</f>
        <v>74</v>
      </c>
      <c r="D202" s="412">
        <f>Données!Z202</f>
        <v>1366</v>
      </c>
      <c r="E202" s="180">
        <f>VPI!R202</f>
        <v>63939.29295717035</v>
      </c>
      <c r="F202" s="317">
        <f>'Péréquation directe'!K208</f>
        <v>925904.98777951568</v>
      </c>
      <c r="G202" s="330">
        <f>PCS!I208</f>
        <v>1098604.1296442212</v>
      </c>
      <c r="H202" s="347">
        <f>'Facture policière'!L202</f>
        <v>198821.08544720651</v>
      </c>
      <c r="I202" s="464">
        <f t="shared" si="3"/>
        <v>2223330.2028709436</v>
      </c>
      <c r="J202" s="182"/>
    </row>
    <row r="203" spans="1:10" s="87" customFormat="1" x14ac:dyDescent="0.25">
      <c r="A203" s="405">
        <f>Données!A203</f>
        <v>5732</v>
      </c>
      <c r="B203" s="409" t="str">
        <f>Données!B203</f>
        <v>Vich</v>
      </c>
      <c r="C203" s="407">
        <f>VPI!Q203</f>
        <v>63</v>
      </c>
      <c r="D203" s="412">
        <f>Données!Z203</f>
        <v>1156</v>
      </c>
      <c r="E203" s="180">
        <f>VPI!R203</f>
        <v>70997.378198271268</v>
      </c>
      <c r="F203" s="317">
        <f>'Péréquation directe'!K209</f>
        <v>1181893.060161435</v>
      </c>
      <c r="G203" s="330">
        <f>PCS!I209</f>
        <v>1603595.047832564</v>
      </c>
      <c r="H203" s="347">
        <f>'Facture policière'!L203</f>
        <v>190097.49621205183</v>
      </c>
      <c r="I203" s="464">
        <f t="shared" si="3"/>
        <v>2975585.6042060507</v>
      </c>
      <c r="J203" s="182"/>
    </row>
    <row r="204" spans="1:10" s="87" customFormat="1" x14ac:dyDescent="0.25">
      <c r="A204" s="405">
        <f>Données!A204</f>
        <v>5741</v>
      </c>
      <c r="B204" s="409" t="str">
        <f>Données!B204</f>
        <v>L'Abergement</v>
      </c>
      <c r="C204" s="407">
        <f>VPI!Q204</f>
        <v>81</v>
      </c>
      <c r="D204" s="412">
        <f>Données!Z204</f>
        <v>256</v>
      </c>
      <c r="E204" s="180">
        <f>VPI!R204</f>
        <v>7367.4577774246782</v>
      </c>
      <c r="F204" s="317">
        <f>'Péréquation directe'!K210</f>
        <v>-114875.95198427862</v>
      </c>
      <c r="G204" s="330">
        <f>PCS!I210</f>
        <v>132819.2592563942</v>
      </c>
      <c r="H204" s="347">
        <f>'Facture policière'!L204</f>
        <v>23244.773866722393</v>
      </c>
      <c r="I204" s="464">
        <f t="shared" si="3"/>
        <v>41188.081138837966</v>
      </c>
      <c r="J204" s="182"/>
    </row>
    <row r="205" spans="1:10" s="87" customFormat="1" x14ac:dyDescent="0.25">
      <c r="A205" s="405">
        <f>Données!A205</f>
        <v>5742</v>
      </c>
      <c r="B205" s="409" t="str">
        <f>Données!B205</f>
        <v>Agiez</v>
      </c>
      <c r="C205" s="407">
        <f>VPI!Q205</f>
        <v>76</v>
      </c>
      <c r="D205" s="412">
        <f>Données!Z205</f>
        <v>377</v>
      </c>
      <c r="E205" s="180">
        <f>VPI!R205</f>
        <v>8959.2362433179314</v>
      </c>
      <c r="F205" s="317">
        <f>'Péréquation directe'!K211</f>
        <v>-105043.00472767954</v>
      </c>
      <c r="G205" s="330">
        <f>PCS!I211</f>
        <v>146772.05986695393</v>
      </c>
      <c r="H205" s="347">
        <f>'Facture policière'!L205</f>
        <v>28258.024097036745</v>
      </c>
      <c r="I205" s="464">
        <f t="shared" si="3"/>
        <v>69987.07923631114</v>
      </c>
      <c r="J205" s="182"/>
    </row>
    <row r="206" spans="1:10" s="87" customFormat="1" x14ac:dyDescent="0.25">
      <c r="A206" s="405">
        <f>Données!A206</f>
        <v>5743</v>
      </c>
      <c r="B206" s="409" t="str">
        <f>Données!B206</f>
        <v>Arnex-sur-Orbe</v>
      </c>
      <c r="C206" s="407">
        <f>VPI!Q206</f>
        <v>71</v>
      </c>
      <c r="D206" s="412">
        <f>Données!Z206</f>
        <v>637</v>
      </c>
      <c r="E206" s="180">
        <f>VPI!R206</f>
        <v>20545.993510231569</v>
      </c>
      <c r="F206" s="317">
        <f>'Péréquation directe'!K212</f>
        <v>51300.717220740858</v>
      </c>
      <c r="G206" s="330">
        <f>PCS!I212</f>
        <v>333022.58569844265</v>
      </c>
      <c r="H206" s="347">
        <f>'Facture policière'!L206</f>
        <v>65220.108332497381</v>
      </c>
      <c r="I206" s="464">
        <f t="shared" si="3"/>
        <v>449543.41125168087</v>
      </c>
      <c r="J206" s="182"/>
    </row>
    <row r="207" spans="1:10" s="87" customFormat="1" x14ac:dyDescent="0.25">
      <c r="A207" s="405">
        <f>Données!A207</f>
        <v>5744</v>
      </c>
      <c r="B207" s="409" t="str">
        <f>Données!B207</f>
        <v>Ballaigues</v>
      </c>
      <c r="C207" s="407">
        <f>VPI!Q207</f>
        <v>65</v>
      </c>
      <c r="D207" s="412">
        <f>Données!Z207</f>
        <v>1143</v>
      </c>
      <c r="E207" s="180">
        <f>VPI!R207</f>
        <v>40192.729547040028</v>
      </c>
      <c r="F207" s="317">
        <f>'Péréquation directe'!K213</f>
        <v>8279.2043228180846</v>
      </c>
      <c r="G207" s="330">
        <f>PCS!I213</f>
        <v>1048243.5154280323</v>
      </c>
      <c r="H207" s="347">
        <f>'Facture policière'!L207</f>
        <v>126817.33630864597</v>
      </c>
      <c r="I207" s="464">
        <f t="shared" si="3"/>
        <v>1183340.0560594965</v>
      </c>
      <c r="J207" s="182"/>
    </row>
    <row r="208" spans="1:10" s="87" customFormat="1" x14ac:dyDescent="0.25">
      <c r="A208" s="405">
        <f>Données!A208</f>
        <v>5745</v>
      </c>
      <c r="B208" s="409" t="str">
        <f>Données!B208</f>
        <v>Baulmes</v>
      </c>
      <c r="C208" s="407">
        <f>VPI!Q208</f>
        <v>76.5</v>
      </c>
      <c r="D208" s="412">
        <f>Données!Z208</f>
        <v>1074</v>
      </c>
      <c r="E208" s="180">
        <f>VPI!R208</f>
        <v>26823.608187065354</v>
      </c>
      <c r="F208" s="317">
        <f>'Péréquation directe'!K214</f>
        <v>-586172.06335506914</v>
      </c>
      <c r="G208" s="330">
        <f>PCS!I214</f>
        <v>497500.21892909508</v>
      </c>
      <c r="H208" s="347">
        <f>'Facture policière'!L208</f>
        <v>84775.700401628448</v>
      </c>
      <c r="I208" s="464">
        <f t="shared" si="3"/>
        <v>-3896.1440243456163</v>
      </c>
      <c r="J208" s="182"/>
    </row>
    <row r="209" spans="1:10" s="87" customFormat="1" x14ac:dyDescent="0.25">
      <c r="A209" s="405">
        <f>Données!A209</f>
        <v>5746</v>
      </c>
      <c r="B209" s="409" t="str">
        <f>Données!B209</f>
        <v>Bavois</v>
      </c>
      <c r="C209" s="407">
        <f>VPI!Q209</f>
        <v>73</v>
      </c>
      <c r="D209" s="412">
        <f>Données!Z209</f>
        <v>994</v>
      </c>
      <c r="E209" s="180">
        <f>VPI!R209</f>
        <v>30464.573561146077</v>
      </c>
      <c r="F209" s="317">
        <f>'Péréquation directe'!K215</f>
        <v>-50054.562564339954</v>
      </c>
      <c r="G209" s="330">
        <f>PCS!I215</f>
        <v>649828.29116897588</v>
      </c>
      <c r="H209" s="347">
        <f>'Facture policière'!L209</f>
        <v>94926.621549108939</v>
      </c>
      <c r="I209" s="464">
        <f t="shared" si="3"/>
        <v>694700.35015374492</v>
      </c>
      <c r="J209" s="182"/>
    </row>
    <row r="210" spans="1:10" s="87" customFormat="1" x14ac:dyDescent="0.25">
      <c r="A210" s="405">
        <f>Données!A210</f>
        <v>5747</v>
      </c>
      <c r="B210" s="409" t="str">
        <f>Données!B210</f>
        <v>Bofflens</v>
      </c>
      <c r="C210" s="407">
        <f>VPI!Q210</f>
        <v>69</v>
      </c>
      <c r="D210" s="412">
        <f>Données!Z210</f>
        <v>206</v>
      </c>
      <c r="E210" s="180">
        <f>VPI!R210</f>
        <v>5602.2513601016635</v>
      </c>
      <c r="F210" s="317">
        <f>'Péréquation directe'!K216</f>
        <v>-17381.987412155853</v>
      </c>
      <c r="G210" s="330">
        <f>PCS!I216</f>
        <v>106178.03969691315</v>
      </c>
      <c r="H210" s="347">
        <f>'Facture policière'!L210</f>
        <v>17520.524695983389</v>
      </c>
      <c r="I210" s="464">
        <f t="shared" si="3"/>
        <v>106316.57698074069</v>
      </c>
      <c r="J210" s="182"/>
    </row>
    <row r="211" spans="1:10" s="87" customFormat="1" x14ac:dyDescent="0.25">
      <c r="A211" s="405">
        <f>Données!A211</f>
        <v>5748</v>
      </c>
      <c r="B211" s="409" t="str">
        <f>Données!B211</f>
        <v>Bretonnières</v>
      </c>
      <c r="C211" s="407">
        <f>VPI!Q211</f>
        <v>70.5</v>
      </c>
      <c r="D211" s="412">
        <f>Données!Z211</f>
        <v>268</v>
      </c>
      <c r="E211" s="180">
        <f>VPI!R211</f>
        <v>5788.8837637987526</v>
      </c>
      <c r="F211" s="317">
        <f>'Péréquation directe'!K217</f>
        <v>-103559.46474081805</v>
      </c>
      <c r="G211" s="330">
        <f>PCS!I217</f>
        <v>98914.591759786228</v>
      </c>
      <c r="H211" s="347">
        <f>'Facture policière'!L211</f>
        <v>17941.04043864238</v>
      </c>
      <c r="I211" s="464">
        <f t="shared" si="3"/>
        <v>13296.167457610562</v>
      </c>
      <c r="J211" s="182"/>
    </row>
    <row r="212" spans="1:10" s="87" customFormat="1" x14ac:dyDescent="0.25">
      <c r="A212" s="405">
        <f>Données!A212</f>
        <v>5749</v>
      </c>
      <c r="B212" s="409" t="str">
        <f>Données!B212</f>
        <v>Chavornay</v>
      </c>
      <c r="C212" s="407">
        <f>VPI!Q212</f>
        <v>70.5</v>
      </c>
      <c r="D212" s="412">
        <f>Données!Z212</f>
        <v>5227</v>
      </c>
      <c r="E212" s="180">
        <f>VPI!R212</f>
        <v>140636.14212812972</v>
      </c>
      <c r="F212" s="317">
        <f>'Péréquation directe'!K218</f>
        <v>-1873456.8785898476</v>
      </c>
      <c r="G212" s="330">
        <f>PCS!I218</f>
        <v>2640462.567665712</v>
      </c>
      <c r="H212" s="347">
        <f>'Facture policière'!L212</f>
        <v>438125.72990610462</v>
      </c>
      <c r="I212" s="464">
        <f t="shared" si="3"/>
        <v>1205131.4189819689</v>
      </c>
      <c r="J212" s="182"/>
    </row>
    <row r="213" spans="1:10" s="87" customFormat="1" x14ac:dyDescent="0.25">
      <c r="A213" s="405">
        <f>Données!A213</f>
        <v>5750</v>
      </c>
      <c r="B213" s="409" t="str">
        <f>Données!B213</f>
        <v>Les Clées</v>
      </c>
      <c r="C213" s="407">
        <f>VPI!Q213</f>
        <v>80</v>
      </c>
      <c r="D213" s="412">
        <f>Données!Z213</f>
        <v>187</v>
      </c>
      <c r="E213" s="180">
        <f>VPI!R213</f>
        <v>6038.046875</v>
      </c>
      <c r="F213" s="317">
        <f>'Péréquation directe'!K219</f>
        <v>-15436.607426117029</v>
      </c>
      <c r="G213" s="330">
        <f>PCS!I219</f>
        <v>91040.701883885573</v>
      </c>
      <c r="H213" s="347">
        <f>'Facture policière'!L213</f>
        <v>19284.943568448591</v>
      </c>
      <c r="I213" s="464">
        <f t="shared" si="3"/>
        <v>94889.038026217138</v>
      </c>
      <c r="J213" s="182"/>
    </row>
    <row r="214" spans="1:10" s="87" customFormat="1" x14ac:dyDescent="0.25">
      <c r="A214" s="405">
        <f>Données!A214</f>
        <v>5752</v>
      </c>
      <c r="B214" s="409" t="str">
        <f>Données!B214</f>
        <v>Croy</v>
      </c>
      <c r="C214" s="407">
        <f>VPI!Q214</f>
        <v>74</v>
      </c>
      <c r="D214" s="412">
        <f>Données!Z214</f>
        <v>397</v>
      </c>
      <c r="E214" s="180">
        <f>VPI!R214</f>
        <v>9413.4881132598912</v>
      </c>
      <c r="F214" s="317">
        <f>'Péréquation directe'!K220</f>
        <v>-65865.090614797751</v>
      </c>
      <c r="G214" s="330">
        <f>PCS!I220</f>
        <v>171564.68918571249</v>
      </c>
      <c r="H214" s="347">
        <f>'Facture policière'!L214</f>
        <v>29342.378998817963</v>
      </c>
      <c r="I214" s="464">
        <f t="shared" si="3"/>
        <v>135041.9775697327</v>
      </c>
      <c r="J214" s="182"/>
    </row>
    <row r="215" spans="1:10" s="87" customFormat="1" x14ac:dyDescent="0.25">
      <c r="A215" s="405">
        <f>Données!A215</f>
        <v>5754</v>
      </c>
      <c r="B215" s="409" t="str">
        <f>Données!B215</f>
        <v>Juriens</v>
      </c>
      <c r="C215" s="407">
        <f>VPI!Q215</f>
        <v>79</v>
      </c>
      <c r="D215" s="412">
        <f>Données!Z215</f>
        <v>336</v>
      </c>
      <c r="E215" s="180">
        <f>VPI!R215</f>
        <v>8043.2571951290693</v>
      </c>
      <c r="F215" s="317">
        <f>'Péréquation directe'!K221</f>
        <v>-137147.55426731938</v>
      </c>
      <c r="G215" s="330">
        <f>PCS!I221</f>
        <v>129638.52496707001</v>
      </c>
      <c r="H215" s="347">
        <f>'Facture policière'!L215</f>
        <v>25388.746062189311</v>
      </c>
      <c r="I215" s="464">
        <f t="shared" si="3"/>
        <v>17879.716761939941</v>
      </c>
      <c r="J215" s="182"/>
    </row>
    <row r="216" spans="1:10" s="87" customFormat="1" x14ac:dyDescent="0.25">
      <c r="A216" s="405">
        <f>Données!A216</f>
        <v>5755</v>
      </c>
      <c r="B216" s="409" t="str">
        <f>Données!B216</f>
        <v>Lignerolle</v>
      </c>
      <c r="C216" s="407">
        <f>VPI!Q216</f>
        <v>78.5</v>
      </c>
      <c r="D216" s="412">
        <f>Données!Z216</f>
        <v>435</v>
      </c>
      <c r="E216" s="180">
        <f>VPI!R216</f>
        <v>9053.1652859085789</v>
      </c>
      <c r="F216" s="317">
        <f>'Péréquation directe'!K222</f>
        <v>-674215.09839432943</v>
      </c>
      <c r="G216" s="330">
        <f>PCS!I222</f>
        <v>275014.24101760483</v>
      </c>
      <c r="H216" s="347">
        <f>'Facture policière'!L216</f>
        <v>28155.095566841152</v>
      </c>
      <c r="I216" s="464">
        <f t="shared" si="3"/>
        <v>-371045.76180988346</v>
      </c>
      <c r="J216" s="182"/>
    </row>
    <row r="217" spans="1:10" s="87" customFormat="1" x14ac:dyDescent="0.25">
      <c r="A217" s="405">
        <f>Données!A217</f>
        <v>5756</v>
      </c>
      <c r="B217" s="409" t="str">
        <f>Données!B217</f>
        <v>Montcherand</v>
      </c>
      <c r="C217" s="407">
        <f>VPI!Q217</f>
        <v>72</v>
      </c>
      <c r="D217" s="412">
        <f>Données!Z217</f>
        <v>506</v>
      </c>
      <c r="E217" s="180">
        <f>VPI!R217</f>
        <v>15753.043205801514</v>
      </c>
      <c r="F217" s="317">
        <f>'Péréquation directe'!K223</f>
        <v>7955.0445800824091</v>
      </c>
      <c r="G217" s="330">
        <f>PCS!I223</f>
        <v>284336.5170782975</v>
      </c>
      <c r="H217" s="347">
        <f>'Facture policière'!L217</f>
        <v>20374.359905926198</v>
      </c>
      <c r="I217" s="464">
        <f t="shared" si="3"/>
        <v>312665.92156430613</v>
      </c>
      <c r="J217" s="182"/>
    </row>
    <row r="218" spans="1:10" s="87" customFormat="1" x14ac:dyDescent="0.25">
      <c r="A218" s="405">
        <f>Données!A218</f>
        <v>5757</v>
      </c>
      <c r="B218" s="409" t="str">
        <f>Données!B218</f>
        <v>Orbe</v>
      </c>
      <c r="C218" s="407">
        <f>VPI!Q218</f>
        <v>75.5</v>
      </c>
      <c r="D218" s="412">
        <f>Données!Z218</f>
        <v>7124</v>
      </c>
      <c r="E218" s="180">
        <f>VPI!R218</f>
        <v>203477.21355711605</v>
      </c>
      <c r="F218" s="317">
        <f>'Péréquation directe'!K224</f>
        <v>-4003981.5199459298</v>
      </c>
      <c r="G218" s="330">
        <f>PCS!I224</f>
        <v>4448225.2603133628</v>
      </c>
      <c r="H218" s="347">
        <f>'Facture policière'!L218</f>
        <v>263169.33988608036</v>
      </c>
      <c r="I218" s="464">
        <f t="shared" si="3"/>
        <v>707413.08025351341</v>
      </c>
      <c r="J218" s="182"/>
    </row>
    <row r="219" spans="1:10" s="87" customFormat="1" x14ac:dyDescent="0.25">
      <c r="A219" s="405">
        <f>Données!A219</f>
        <v>5758</v>
      </c>
      <c r="B219" s="409" t="str">
        <f>Données!B219</f>
        <v>La Praz</v>
      </c>
      <c r="C219" s="407">
        <f>VPI!Q219</f>
        <v>83</v>
      </c>
      <c r="D219" s="412">
        <f>Données!Z219</f>
        <v>175</v>
      </c>
      <c r="E219" s="180">
        <f>VPI!R219</f>
        <v>4311.7430790337894</v>
      </c>
      <c r="F219" s="317">
        <f>'Péréquation directe'!K225</f>
        <v>-53390.979421067561</v>
      </c>
      <c r="G219" s="330">
        <f>PCS!I225</f>
        <v>75347.059761317345</v>
      </c>
      <c r="H219" s="347">
        <f>'Facture policière'!L219</f>
        <v>13499.050977464547</v>
      </c>
      <c r="I219" s="464">
        <f t="shared" si="3"/>
        <v>35455.131317714331</v>
      </c>
      <c r="J219" s="182"/>
    </row>
    <row r="220" spans="1:10" s="87" customFormat="1" x14ac:dyDescent="0.25">
      <c r="A220" s="405">
        <f>Données!A220</f>
        <v>5759</v>
      </c>
      <c r="B220" s="409" t="str">
        <f>Données!B220</f>
        <v>Premier</v>
      </c>
      <c r="C220" s="407">
        <f>VPI!Q220</f>
        <v>79.5</v>
      </c>
      <c r="D220" s="412">
        <f>Données!Z220</f>
        <v>218</v>
      </c>
      <c r="E220" s="180">
        <f>VPI!R220</f>
        <v>5307.2435849357244</v>
      </c>
      <c r="F220" s="317">
        <f>'Péréquation directe'!K226</f>
        <v>-101323.89472112508</v>
      </c>
      <c r="G220" s="330">
        <f>PCS!I226</f>
        <v>98022.861678343761</v>
      </c>
      <c r="H220" s="347">
        <f>'Facture policière'!L220</f>
        <v>16704.73676016969</v>
      </c>
      <c r="I220" s="464">
        <f t="shared" si="3"/>
        <v>13403.703717388373</v>
      </c>
      <c r="J220" s="182"/>
    </row>
    <row r="221" spans="1:10" s="87" customFormat="1" x14ac:dyDescent="0.25">
      <c r="A221" s="405">
        <f>Données!A221</f>
        <v>5760</v>
      </c>
      <c r="B221" s="409" t="str">
        <f>Données!B221</f>
        <v>Rances</v>
      </c>
      <c r="C221" s="407">
        <f>VPI!Q221</f>
        <v>76.5</v>
      </c>
      <c r="D221" s="412">
        <f>Données!Z221</f>
        <v>513</v>
      </c>
      <c r="E221" s="180">
        <f>VPI!R221</f>
        <v>12825.206275823581</v>
      </c>
      <c r="F221" s="317">
        <f>'Péréquation directe'!K227</f>
        <v>-225524.98294265015</v>
      </c>
      <c r="G221" s="330">
        <f>PCS!I227</f>
        <v>241722.59812888809</v>
      </c>
      <c r="H221" s="347">
        <f>'Facture policière'!L221</f>
        <v>40264.345249722763</v>
      </c>
      <c r="I221" s="464">
        <f t="shared" si="3"/>
        <v>56461.960435960696</v>
      </c>
      <c r="J221" s="182"/>
    </row>
    <row r="222" spans="1:10" s="87" customFormat="1" x14ac:dyDescent="0.25">
      <c r="A222" s="405">
        <f>Données!A222</f>
        <v>5761</v>
      </c>
      <c r="B222" s="409" t="str">
        <f>Données!B222</f>
        <v>Romainmôtier-Envy</v>
      </c>
      <c r="C222" s="407">
        <f>VPI!Q222</f>
        <v>81</v>
      </c>
      <c r="D222" s="412">
        <f>Données!Z222</f>
        <v>525</v>
      </c>
      <c r="E222" s="180">
        <f>VPI!R222</f>
        <v>12133.770909516334</v>
      </c>
      <c r="F222" s="317">
        <f>'Péréquation directe'!K228</f>
        <v>-349542.4457369335</v>
      </c>
      <c r="G222" s="330">
        <f>PCS!I228</f>
        <v>263214.16388492344</v>
      </c>
      <c r="H222" s="347">
        <f>'Facture policière'!L222</f>
        <v>37814.187331148714</v>
      </c>
      <c r="I222" s="464">
        <f t="shared" si="3"/>
        <v>-48514.094520861341</v>
      </c>
      <c r="J222" s="182"/>
    </row>
    <row r="223" spans="1:10" s="87" customFormat="1" x14ac:dyDescent="0.25">
      <c r="A223" s="405">
        <f>Données!A223</f>
        <v>5762</v>
      </c>
      <c r="B223" s="409" t="str">
        <f>Données!B223</f>
        <v>Sergey</v>
      </c>
      <c r="C223" s="407">
        <f>VPI!Q223</f>
        <v>78</v>
      </c>
      <c r="D223" s="412">
        <f>Données!Z223</f>
        <v>145</v>
      </c>
      <c r="E223" s="180">
        <f>VPI!R223</f>
        <v>3771.973692411721</v>
      </c>
      <c r="F223" s="317">
        <f>'Péréquation directe'!K229</f>
        <v>-43752.812680604271</v>
      </c>
      <c r="G223" s="330">
        <f>PCS!I229</f>
        <v>55071.704551880626</v>
      </c>
      <c r="H223" s="347">
        <f>'Facture policière'!L223</f>
        <v>11894.478480723237</v>
      </c>
      <c r="I223" s="464">
        <f t="shared" si="3"/>
        <v>23213.370351999591</v>
      </c>
      <c r="J223" s="182"/>
    </row>
    <row r="224" spans="1:10" s="87" customFormat="1" x14ac:dyDescent="0.25">
      <c r="A224" s="405">
        <f>Données!A224</f>
        <v>5763</v>
      </c>
      <c r="B224" s="409" t="str">
        <f>Données!B224</f>
        <v>Valeyres-sous-Rances</v>
      </c>
      <c r="C224" s="407">
        <f>VPI!Q224</f>
        <v>68</v>
      </c>
      <c r="D224" s="412">
        <f>Données!Z224</f>
        <v>609</v>
      </c>
      <c r="E224" s="180">
        <f>VPI!R224</f>
        <v>20450.878825889598</v>
      </c>
      <c r="F224" s="317">
        <f>'Péréquation directe'!K230</f>
        <v>59093.479011147225</v>
      </c>
      <c r="G224" s="330">
        <f>PCS!I230</f>
        <v>325893.87889889599</v>
      </c>
      <c r="H224" s="347">
        <f>'Facture policière'!L224</f>
        <v>64620.899647146041</v>
      </c>
      <c r="I224" s="464">
        <f t="shared" si="3"/>
        <v>449608.25755718927</v>
      </c>
      <c r="J224" s="182"/>
    </row>
    <row r="225" spans="1:10" s="87" customFormat="1" x14ac:dyDescent="0.25">
      <c r="A225" s="405">
        <f>Données!A225</f>
        <v>5764</v>
      </c>
      <c r="B225" s="409" t="str">
        <f>Données!B225</f>
        <v>Vallorbe</v>
      </c>
      <c r="C225" s="407">
        <f>VPI!Q225</f>
        <v>71.5</v>
      </c>
      <c r="D225" s="412">
        <f>Données!Z225</f>
        <v>3874</v>
      </c>
      <c r="E225" s="180">
        <f>VPI!R225</f>
        <v>84208.757632819674</v>
      </c>
      <c r="F225" s="317">
        <f>'Péréquation directe'!K231</f>
        <v>-3595158.2974534612</v>
      </c>
      <c r="G225" s="330">
        <f>PCS!I231</f>
        <v>2101248.4702559989</v>
      </c>
      <c r="H225" s="347">
        <f>'Facture policière'!L225</f>
        <v>263219.91918322857</v>
      </c>
      <c r="I225" s="464">
        <f t="shared" si="3"/>
        <v>-1230689.9080142337</v>
      </c>
      <c r="J225" s="182"/>
    </row>
    <row r="226" spans="1:10" s="87" customFormat="1" x14ac:dyDescent="0.25">
      <c r="A226" s="405">
        <f>Données!A226</f>
        <v>5765</v>
      </c>
      <c r="B226" s="409" t="str">
        <f>Données!B226</f>
        <v>Vaulion</v>
      </c>
      <c r="C226" s="407">
        <f>VPI!Q226</f>
        <v>81</v>
      </c>
      <c r="D226" s="412">
        <f>Données!Z226</f>
        <v>506</v>
      </c>
      <c r="E226" s="180">
        <f>VPI!R226</f>
        <v>11314.093434772476</v>
      </c>
      <c r="F226" s="317">
        <f>'Péréquation directe'!K232</f>
        <v>-316949.87012920808</v>
      </c>
      <c r="G226" s="330">
        <f>PCS!I232</f>
        <v>230347.10464511072</v>
      </c>
      <c r="H226" s="347">
        <f>'Facture policière'!L226</f>
        <v>35658.951019999069</v>
      </c>
      <c r="I226" s="464">
        <f t="shared" si="3"/>
        <v>-50943.814464098286</v>
      </c>
      <c r="J226" s="182"/>
    </row>
    <row r="227" spans="1:10" s="87" customFormat="1" x14ac:dyDescent="0.25">
      <c r="A227" s="405">
        <f>Données!A227</f>
        <v>5766</v>
      </c>
      <c r="B227" s="409" t="str">
        <f>Données!B227</f>
        <v>Vuiteboeuf</v>
      </c>
      <c r="C227" s="407">
        <f>VPI!Q227</f>
        <v>77</v>
      </c>
      <c r="D227" s="412">
        <f>Données!Z227</f>
        <v>584</v>
      </c>
      <c r="E227" s="180">
        <f>VPI!R227</f>
        <v>15990.410165272326</v>
      </c>
      <c r="F227" s="317">
        <f>'Péréquation directe'!K233</f>
        <v>-139303.48186505341</v>
      </c>
      <c r="G227" s="330">
        <f>PCS!I233</f>
        <v>261607.48060806651</v>
      </c>
      <c r="H227" s="347">
        <f>'Facture policière'!L227</f>
        <v>50613.450057788214</v>
      </c>
      <c r="I227" s="464">
        <f t="shared" si="3"/>
        <v>172917.4488008013</v>
      </c>
      <c r="J227" s="182"/>
    </row>
    <row r="228" spans="1:10" s="87" customFormat="1" x14ac:dyDescent="0.25">
      <c r="A228" s="405">
        <f>Données!A228</f>
        <v>5785</v>
      </c>
      <c r="B228" s="409" t="str">
        <f>Données!B228</f>
        <v>Corcelles-le-Jorat</v>
      </c>
      <c r="C228" s="407">
        <f>VPI!Q228</f>
        <v>77</v>
      </c>
      <c r="D228" s="412">
        <f>Données!Z228</f>
        <v>451</v>
      </c>
      <c r="E228" s="180">
        <f>VPI!R228</f>
        <v>17505.983698727712</v>
      </c>
      <c r="F228" s="317">
        <f>'Péréquation directe'!K234</f>
        <v>135894.43471057439</v>
      </c>
      <c r="G228" s="330">
        <f>PCS!I234</f>
        <v>321989.18625184492</v>
      </c>
      <c r="H228" s="347">
        <f>'Facture policière'!L228</f>
        <v>55693.138131055079</v>
      </c>
      <c r="I228" s="464">
        <f t="shared" si="3"/>
        <v>513576.75909347436</v>
      </c>
      <c r="J228" s="182"/>
    </row>
    <row r="229" spans="1:10" s="87" customFormat="1" x14ac:dyDescent="0.25">
      <c r="A229" s="405">
        <f>Données!A229</f>
        <v>5790</v>
      </c>
      <c r="B229" s="409" t="str">
        <f>Données!B229</f>
        <v>Maracon</v>
      </c>
      <c r="C229" s="407">
        <f>VPI!Q229</f>
        <v>74.5</v>
      </c>
      <c r="D229" s="412">
        <f>Données!Z229</f>
        <v>538</v>
      </c>
      <c r="E229" s="180">
        <f>VPI!R229</f>
        <v>13395.718975615504</v>
      </c>
      <c r="F229" s="317">
        <f>'Péréquation directe'!K235</f>
        <v>-122921.21846010647</v>
      </c>
      <c r="G229" s="330">
        <f>PCS!I235</f>
        <v>226262.32295344945</v>
      </c>
      <c r="H229" s="347">
        <f>'Facture policière'!L229</f>
        <v>41599.874709148615</v>
      </c>
      <c r="I229" s="464">
        <f t="shared" si="3"/>
        <v>144940.97920249158</v>
      </c>
      <c r="J229" s="182"/>
    </row>
    <row r="230" spans="1:10" s="87" customFormat="1" x14ac:dyDescent="0.25">
      <c r="A230" s="405">
        <f>Données!A230</f>
        <v>5792</v>
      </c>
      <c r="B230" s="409" t="str">
        <f>Données!B230</f>
        <v>Montpreveyres</v>
      </c>
      <c r="C230" s="407">
        <f>VPI!Q230</f>
        <v>75</v>
      </c>
      <c r="D230" s="412">
        <f>Données!Z230</f>
        <v>653</v>
      </c>
      <c r="E230" s="180">
        <f>VPI!R230</f>
        <v>17608.366503920086</v>
      </c>
      <c r="F230" s="317">
        <f>'Péréquation directe'!K236</f>
        <v>-202076.79571142222</v>
      </c>
      <c r="G230" s="330">
        <f>PCS!I236</f>
        <v>313059.66932811058</v>
      </c>
      <c r="H230" s="347">
        <f>'Facture policière'!L230</f>
        <v>54879.643652610772</v>
      </c>
      <c r="I230" s="464">
        <f t="shared" si="3"/>
        <v>165862.51726929913</v>
      </c>
      <c r="J230" s="182"/>
    </row>
    <row r="231" spans="1:10" s="87" customFormat="1" x14ac:dyDescent="0.25">
      <c r="A231" s="405">
        <f>Données!A231</f>
        <v>5798</v>
      </c>
      <c r="B231" s="409" t="str">
        <f>Données!B231</f>
        <v>Ropraz</v>
      </c>
      <c r="C231" s="407">
        <f>VPI!Q231</f>
        <v>77.5</v>
      </c>
      <c r="D231" s="412">
        <f>Données!Z231</f>
        <v>528</v>
      </c>
      <c r="E231" s="180">
        <f>VPI!R231</f>
        <v>15757.055763710458</v>
      </c>
      <c r="F231" s="317">
        <f>'Péréquation directe'!K237</f>
        <v>-27777.062285496737</v>
      </c>
      <c r="G231" s="330">
        <f>PCS!I237</f>
        <v>271097.52636909019</v>
      </c>
      <c r="H231" s="347">
        <f>'Facture policière'!L231</f>
        <v>49654.29208399108</v>
      </c>
      <c r="I231" s="464">
        <f t="shared" si="3"/>
        <v>292974.75616758456</v>
      </c>
      <c r="J231" s="182"/>
    </row>
    <row r="232" spans="1:10" s="87" customFormat="1" x14ac:dyDescent="0.25">
      <c r="A232" s="405">
        <f>Données!A232</f>
        <v>5799</v>
      </c>
      <c r="B232" s="409" t="str">
        <f>Données!B232</f>
        <v>Servion</v>
      </c>
      <c r="C232" s="407">
        <f>VPI!Q232</f>
        <v>69</v>
      </c>
      <c r="D232" s="412">
        <f>Données!Z232</f>
        <v>2076</v>
      </c>
      <c r="E232" s="180">
        <f>VPI!R232</f>
        <v>69379.10406939665</v>
      </c>
      <c r="F232" s="317">
        <f>'Péréquation directe'!K238</f>
        <v>-1206.7793164220639</v>
      </c>
      <c r="G232" s="330">
        <f>PCS!I238</f>
        <v>1308143.3694986226</v>
      </c>
      <c r="H232" s="347">
        <f>'Facture policière'!L232</f>
        <v>216435.88500291258</v>
      </c>
      <c r="I232" s="464">
        <f t="shared" si="3"/>
        <v>1523372.475185113</v>
      </c>
      <c r="J232" s="182"/>
    </row>
    <row r="233" spans="1:10" s="87" customFormat="1" x14ac:dyDescent="0.25">
      <c r="A233" s="405">
        <f>Données!A233</f>
        <v>5803</v>
      </c>
      <c r="B233" s="409" t="str">
        <f>Données!B233</f>
        <v>Vulliens</v>
      </c>
      <c r="C233" s="407">
        <f>VPI!Q233</f>
        <v>76</v>
      </c>
      <c r="D233" s="412">
        <f>Données!Z233</f>
        <v>624</v>
      </c>
      <c r="E233" s="180">
        <f>VPI!R233</f>
        <v>18878.281315789478</v>
      </c>
      <c r="F233" s="317">
        <f>'Péréquation directe'!K239</f>
        <v>-26991.290360599407</v>
      </c>
      <c r="G233" s="330">
        <f>PCS!I239</f>
        <v>307851.69976177462</v>
      </c>
      <c r="H233" s="347">
        <f>'Facture policière'!L233</f>
        <v>59402.327334770991</v>
      </c>
      <c r="I233" s="464">
        <f t="shared" si="3"/>
        <v>340262.73673594621</v>
      </c>
      <c r="J233" s="182"/>
    </row>
    <row r="234" spans="1:10" s="87" customFormat="1" x14ac:dyDescent="0.25">
      <c r="A234" s="405">
        <f>Données!A234</f>
        <v>5804</v>
      </c>
      <c r="B234" s="409" t="str">
        <f>Données!B234</f>
        <v>Jorat-Menthue</v>
      </c>
      <c r="C234" s="407">
        <f>VPI!Q234</f>
        <v>70.5</v>
      </c>
      <c r="D234" s="412">
        <f>Données!Z234</f>
        <v>1602</v>
      </c>
      <c r="E234" s="180">
        <f>VPI!R234</f>
        <v>46675.442411362579</v>
      </c>
      <c r="F234" s="317">
        <f>'Péréquation directe'!K240</f>
        <v>-475188.29049051867</v>
      </c>
      <c r="G234" s="330">
        <f>PCS!I240</f>
        <v>880076.88051528682</v>
      </c>
      <c r="H234" s="347">
        <f>'Facture policière'!L234</f>
        <v>145941.53181589875</v>
      </c>
      <c r="I234" s="464">
        <f t="shared" si="3"/>
        <v>550830.12184066686</v>
      </c>
      <c r="J234" s="182"/>
    </row>
    <row r="235" spans="1:10" s="87" customFormat="1" x14ac:dyDescent="0.25">
      <c r="A235" s="405">
        <f>Données!A235</f>
        <v>5805</v>
      </c>
      <c r="B235" s="409" t="str">
        <f>Données!B235</f>
        <v>Oron</v>
      </c>
      <c r="C235" s="407">
        <f>VPI!Q235</f>
        <v>69.239999999999995</v>
      </c>
      <c r="D235" s="412">
        <f>Données!Z235</f>
        <v>6052</v>
      </c>
      <c r="E235" s="180">
        <f>VPI!R235</f>
        <v>172360.6832516081</v>
      </c>
      <c r="F235" s="317">
        <f>'Péréquation directe'!K241</f>
        <v>-2083574.3101946255</v>
      </c>
      <c r="G235" s="330">
        <f>PCS!I241</f>
        <v>2910028.3620816292</v>
      </c>
      <c r="H235" s="347">
        <f>'Facture policière'!L235</f>
        <v>535088.06299504777</v>
      </c>
      <c r="I235" s="464">
        <f t="shared" si="3"/>
        <v>1361542.1148820515</v>
      </c>
      <c r="J235" s="182"/>
    </row>
    <row r="236" spans="1:10" s="87" customFormat="1" x14ac:dyDescent="0.25">
      <c r="A236" s="405">
        <f>Données!A236</f>
        <v>5806</v>
      </c>
      <c r="B236" s="409" t="str">
        <f>Données!B236</f>
        <v>Jorat-Mézières</v>
      </c>
      <c r="C236" s="407">
        <f>VPI!Q236</f>
        <v>73</v>
      </c>
      <c r="D236" s="412">
        <f>Données!Z236</f>
        <v>2966</v>
      </c>
      <c r="E236" s="180">
        <f>VPI!R236</f>
        <v>91040.343063115521</v>
      </c>
      <c r="F236" s="317">
        <f>'Péréquation directe'!K242</f>
        <v>-453622.74598024134</v>
      </c>
      <c r="G236" s="330">
        <f>PCS!I242</f>
        <v>1601932.2369976649</v>
      </c>
      <c r="H236" s="347">
        <f>'Facture policière'!L236</f>
        <v>285070.94840080297</v>
      </c>
      <c r="I236" s="464">
        <f t="shared" si="3"/>
        <v>1433380.4394182265</v>
      </c>
      <c r="J236" s="182"/>
    </row>
    <row r="237" spans="1:10" s="87" customFormat="1" x14ac:dyDescent="0.25">
      <c r="A237" s="405">
        <f>Données!A237</f>
        <v>5812</v>
      </c>
      <c r="B237" s="409" t="str">
        <f>Données!B237</f>
        <v>Champtauroz</v>
      </c>
      <c r="C237" s="407">
        <f>VPI!Q237</f>
        <v>77</v>
      </c>
      <c r="D237" s="412">
        <f>Données!Z237</f>
        <v>144</v>
      </c>
      <c r="E237" s="180">
        <f>VPI!R237</f>
        <v>2509.107922077922</v>
      </c>
      <c r="F237" s="317">
        <f>'Péréquation directe'!K243</f>
        <v>-97434.512186793494</v>
      </c>
      <c r="G237" s="330">
        <f>PCS!I243</f>
        <v>50001.041785326248</v>
      </c>
      <c r="H237" s="347">
        <f>'Facture policière'!L237</f>
        <v>7732.9482427000021</v>
      </c>
      <c r="I237" s="464">
        <f t="shared" si="3"/>
        <v>-39700.522158767242</v>
      </c>
      <c r="J237" s="182"/>
    </row>
    <row r="238" spans="1:10" s="87" customFormat="1" x14ac:dyDescent="0.25">
      <c r="A238" s="405">
        <f>Données!A238</f>
        <v>5813</v>
      </c>
      <c r="B238" s="409" t="str">
        <f>Données!B238</f>
        <v>Chevroux</v>
      </c>
      <c r="C238" s="407">
        <f>VPI!Q238</f>
        <v>68.5</v>
      </c>
      <c r="D238" s="412">
        <f>Données!Z238</f>
        <v>495</v>
      </c>
      <c r="E238" s="180">
        <f>VPI!R238</f>
        <v>15173.187804567502</v>
      </c>
      <c r="F238" s="317">
        <f>'Péréquation directe'!K244</f>
        <v>-241955.76966368087</v>
      </c>
      <c r="G238" s="330">
        <f>PCS!I244</f>
        <v>248130.54161162622</v>
      </c>
      <c r="H238" s="347">
        <f>'Facture policière'!L238</f>
        <v>47160.072858172294</v>
      </c>
      <c r="I238" s="464">
        <f t="shared" si="3"/>
        <v>53334.844806117646</v>
      </c>
      <c r="J238" s="182"/>
    </row>
    <row r="239" spans="1:10" s="87" customFormat="1" x14ac:dyDescent="0.25">
      <c r="A239" s="405">
        <f>Données!A239</f>
        <v>5816</v>
      </c>
      <c r="B239" s="409" t="str">
        <f>Données!B239</f>
        <v>Corcelles-près-Payerne</v>
      </c>
      <c r="C239" s="407">
        <f>VPI!Q239</f>
        <v>68.5</v>
      </c>
      <c r="D239" s="412">
        <f>Données!Z239</f>
        <v>2681</v>
      </c>
      <c r="E239" s="180">
        <f>VPI!R239</f>
        <v>60494.301475743108</v>
      </c>
      <c r="F239" s="317">
        <f>'Péréquation directe'!K245</f>
        <v>-1073186.12331518</v>
      </c>
      <c r="G239" s="330">
        <f>PCS!I245</f>
        <v>1061134.7584526592</v>
      </c>
      <c r="H239" s="347">
        <f>'Facture policière'!L239</f>
        <v>187101.38395875233</v>
      </c>
      <c r="I239" s="464">
        <f t="shared" si="3"/>
        <v>175050.01909623161</v>
      </c>
      <c r="J239" s="182"/>
    </row>
    <row r="240" spans="1:10" s="87" customFormat="1" x14ac:dyDescent="0.25">
      <c r="A240" s="405">
        <f>Données!A240</f>
        <v>5817</v>
      </c>
      <c r="B240" s="409" t="str">
        <f>Données!B240</f>
        <v>Grandcour</v>
      </c>
      <c r="C240" s="407">
        <f>VPI!Q240</f>
        <v>73.5</v>
      </c>
      <c r="D240" s="412">
        <f>Données!Z240</f>
        <v>967</v>
      </c>
      <c r="E240" s="180">
        <f>VPI!R240</f>
        <v>21852.23221700843</v>
      </c>
      <c r="F240" s="317">
        <f>'Péréquation directe'!K246</f>
        <v>-341095.36294642749</v>
      </c>
      <c r="G240" s="330">
        <f>PCS!I246</f>
        <v>346344.64855533477</v>
      </c>
      <c r="H240" s="347">
        <f>'Facture policière'!L240</f>
        <v>68138.528749301884</v>
      </c>
      <c r="I240" s="464">
        <f t="shared" si="3"/>
        <v>73387.814358209172</v>
      </c>
      <c r="J240" s="182"/>
    </row>
    <row r="241" spans="1:10" s="87" customFormat="1" x14ac:dyDescent="0.25">
      <c r="A241" s="405">
        <f>Données!A241</f>
        <v>5819</v>
      </c>
      <c r="B241" s="409" t="str">
        <f>Données!B241</f>
        <v>Henniez</v>
      </c>
      <c r="C241" s="407">
        <f>VPI!Q241</f>
        <v>69</v>
      </c>
      <c r="D241" s="412">
        <f>Données!Z241</f>
        <v>396</v>
      </c>
      <c r="E241" s="180">
        <f>VPI!R241</f>
        <v>11442.507547725303</v>
      </c>
      <c r="F241" s="317">
        <f>'Péréquation directe'!K247</f>
        <v>-61476.328606737661</v>
      </c>
      <c r="G241" s="330">
        <f>PCS!I247</f>
        <v>187920.16594741817</v>
      </c>
      <c r="H241" s="347">
        <f>'Facture policière'!L241</f>
        <v>35181.790827443117</v>
      </c>
      <c r="I241" s="464">
        <f t="shared" si="3"/>
        <v>161625.62816812363</v>
      </c>
      <c r="J241" s="182"/>
    </row>
    <row r="242" spans="1:10" s="87" customFormat="1" x14ac:dyDescent="0.25">
      <c r="A242" s="405">
        <f>Données!A242</f>
        <v>5821</v>
      </c>
      <c r="B242" s="409" t="str">
        <f>Données!B242</f>
        <v>Missy</v>
      </c>
      <c r="C242" s="407">
        <f>VPI!Q242</f>
        <v>72</v>
      </c>
      <c r="D242" s="412">
        <f>Données!Z242</f>
        <v>368</v>
      </c>
      <c r="E242" s="180">
        <f>VPI!R242</f>
        <v>7871.5501639965696</v>
      </c>
      <c r="F242" s="317">
        <f>'Péréquation directe'!K248</f>
        <v>-103112.02665817508</v>
      </c>
      <c r="G242" s="330">
        <f>PCS!I248</f>
        <v>130946.63685992185</v>
      </c>
      <c r="H242" s="347">
        <f>'Facture policière'!L242</f>
        <v>24451.217086156714</v>
      </c>
      <c r="I242" s="464">
        <f t="shared" si="3"/>
        <v>52285.827287903492</v>
      </c>
      <c r="J242" s="182"/>
    </row>
    <row r="243" spans="1:10" s="87" customFormat="1" x14ac:dyDescent="0.25">
      <c r="A243" s="405">
        <f>Données!A243</f>
        <v>5822</v>
      </c>
      <c r="B243" s="409" t="str">
        <f>Données!B243</f>
        <v>Payerne</v>
      </c>
      <c r="C243" s="407">
        <f>VPI!Q243</f>
        <v>73</v>
      </c>
      <c r="D243" s="412">
        <f>Données!Z243</f>
        <v>10108</v>
      </c>
      <c r="E243" s="180">
        <f>VPI!R243</f>
        <v>237529.8930471511</v>
      </c>
      <c r="F243" s="317">
        <f>'Péréquation directe'!K249</f>
        <v>-7160448.1142143486</v>
      </c>
      <c r="G243" s="330">
        <f>PCS!I249</f>
        <v>4294369.9983692151</v>
      </c>
      <c r="H243" s="347">
        <f>'Facture policière'!L243</f>
        <v>737591.27380736195</v>
      </c>
      <c r="I243" s="464">
        <f t="shared" si="3"/>
        <v>-2128486.8420377718</v>
      </c>
      <c r="J243" s="182"/>
    </row>
    <row r="244" spans="1:10" s="87" customFormat="1" x14ac:dyDescent="0.25">
      <c r="A244" s="405">
        <f>Données!A244</f>
        <v>5827</v>
      </c>
      <c r="B244" s="409" t="str">
        <f>Données!B244</f>
        <v>Trey</v>
      </c>
      <c r="C244" s="407">
        <f>VPI!Q244</f>
        <v>78</v>
      </c>
      <c r="D244" s="412">
        <f>Données!Z244</f>
        <v>302</v>
      </c>
      <c r="E244" s="180">
        <f>VPI!R244</f>
        <v>6158.3041346806722</v>
      </c>
      <c r="F244" s="317">
        <f>'Péréquation directe'!K250</f>
        <v>-163369.37682019651</v>
      </c>
      <c r="G244" s="330">
        <f>PCS!I250</f>
        <v>102877.41620673917</v>
      </c>
      <c r="H244" s="347">
        <f>'Facture policière'!L244</f>
        <v>19269.090970385281</v>
      </c>
      <c r="I244" s="464">
        <f t="shared" si="3"/>
        <v>-41222.869643072059</v>
      </c>
      <c r="J244" s="182"/>
    </row>
    <row r="245" spans="1:10" s="87" customFormat="1" x14ac:dyDescent="0.25">
      <c r="A245" s="405">
        <f>Données!A245</f>
        <v>5828</v>
      </c>
      <c r="B245" s="409" t="str">
        <f>Données!B245</f>
        <v>Treytorrens (Payerne)</v>
      </c>
      <c r="C245" s="407">
        <f>VPI!Q245</f>
        <v>84</v>
      </c>
      <c r="D245" s="412">
        <f>Données!Z245</f>
        <v>114</v>
      </c>
      <c r="E245" s="180">
        <f>VPI!R245</f>
        <v>2288.504365079365</v>
      </c>
      <c r="F245" s="317">
        <f>'Péréquation directe'!K251</f>
        <v>-80110.423932091348</v>
      </c>
      <c r="G245" s="330">
        <f>PCS!I251</f>
        <v>36437.252880957225</v>
      </c>
      <c r="H245" s="347">
        <f>'Facture policière'!L245</f>
        <v>7145.9201025730245</v>
      </c>
      <c r="I245" s="464">
        <f t="shared" si="3"/>
        <v>-36527.250948561101</v>
      </c>
      <c r="J245" s="182"/>
    </row>
    <row r="246" spans="1:10" s="87" customFormat="1" x14ac:dyDescent="0.25">
      <c r="A246" s="405">
        <f>Données!A246</f>
        <v>5830</v>
      </c>
      <c r="B246" s="409" t="str">
        <f>Données!B246</f>
        <v>Villarzel</v>
      </c>
      <c r="C246" s="407">
        <f>VPI!Q246</f>
        <v>77</v>
      </c>
      <c r="D246" s="412">
        <f>Données!Z246</f>
        <v>477</v>
      </c>
      <c r="E246" s="180">
        <f>VPI!R246</f>
        <v>12469.37329599799</v>
      </c>
      <c r="F246" s="317">
        <f>'Péréquation directe'!K252</f>
        <v>-139465.37809414699</v>
      </c>
      <c r="G246" s="330">
        <f>PCS!I252</f>
        <v>222942.56279242318</v>
      </c>
      <c r="H246" s="347">
        <f>'Facture policière'!L246</f>
        <v>39520.561737623386</v>
      </c>
      <c r="I246" s="464">
        <f t="shared" si="3"/>
        <v>122997.74643589958</v>
      </c>
      <c r="J246" s="182"/>
    </row>
    <row r="247" spans="1:10" s="87" customFormat="1" x14ac:dyDescent="0.25">
      <c r="A247" s="405">
        <f>Données!A247</f>
        <v>5831</v>
      </c>
      <c r="B247" s="409" t="str">
        <f>Données!B247</f>
        <v>Valbroye</v>
      </c>
      <c r="C247" s="407">
        <f>VPI!Q247</f>
        <v>70.5</v>
      </c>
      <c r="D247" s="412">
        <f>Données!Z247</f>
        <v>3373</v>
      </c>
      <c r="E247" s="180">
        <f>VPI!R247</f>
        <v>83737.262655956278</v>
      </c>
      <c r="F247" s="317">
        <f>'Péréquation directe'!K253</f>
        <v>-1616842.3828190553</v>
      </c>
      <c r="G247" s="330">
        <f>PCS!I253</f>
        <v>1475826.9075138685</v>
      </c>
      <c r="H247" s="347">
        <f>'Facture policière'!L247</f>
        <v>261109.48862425482</v>
      </c>
      <c r="I247" s="464">
        <f t="shared" si="3"/>
        <v>120094.01331906801</v>
      </c>
      <c r="J247" s="182"/>
    </row>
    <row r="248" spans="1:10" s="87" customFormat="1" x14ac:dyDescent="0.25">
      <c r="A248" s="405">
        <f>Données!A248</f>
        <v>5841</v>
      </c>
      <c r="B248" s="409" t="str">
        <f>Données!B248</f>
        <v>Château-d'Oex</v>
      </c>
      <c r="C248" s="407">
        <f>VPI!Q248</f>
        <v>81.5</v>
      </c>
      <c r="D248" s="412">
        <f>Données!Z248</f>
        <v>3494</v>
      </c>
      <c r="E248" s="180">
        <f>VPI!R248</f>
        <v>108627.58984858803</v>
      </c>
      <c r="F248" s="317">
        <f>'Péréquation directe'!K254</f>
        <v>-2448689.613057741</v>
      </c>
      <c r="G248" s="330">
        <f>PCS!I254</f>
        <v>2401762.3184608277</v>
      </c>
      <c r="H248" s="347">
        <f>'Facture policière'!L248</f>
        <v>332635.97178505512</v>
      </c>
      <c r="I248" s="464">
        <f t="shared" si="3"/>
        <v>285708.67718814185</v>
      </c>
      <c r="J248" s="182"/>
    </row>
    <row r="249" spans="1:10" s="87" customFormat="1" x14ac:dyDescent="0.25">
      <c r="A249" s="405">
        <f>Données!A249</f>
        <v>5842</v>
      </c>
      <c r="B249" s="409" t="str">
        <f>Données!B249</f>
        <v>Rossinière</v>
      </c>
      <c r="C249" s="407">
        <f>VPI!Q249</f>
        <v>81</v>
      </c>
      <c r="D249" s="412">
        <f>Données!Z249</f>
        <v>537</v>
      </c>
      <c r="E249" s="180">
        <f>VPI!R249</f>
        <v>14504.788146274859</v>
      </c>
      <c r="F249" s="317">
        <f>'Péréquation directe'!K255</f>
        <v>-439331.01040622295</v>
      </c>
      <c r="G249" s="330">
        <f>PCS!I255</f>
        <v>247881.84913167791</v>
      </c>
      <c r="H249" s="347">
        <f>'Facture policière'!L249</f>
        <v>45355.391899022026</v>
      </c>
      <c r="I249" s="464">
        <f t="shared" si="3"/>
        <v>-146093.76937552303</v>
      </c>
      <c r="J249" s="182"/>
    </row>
    <row r="250" spans="1:10" s="87" customFormat="1" x14ac:dyDescent="0.25">
      <c r="A250" s="405">
        <f>Données!A250</f>
        <v>5843</v>
      </c>
      <c r="B250" s="409" t="str">
        <f>Données!B250</f>
        <v>Rougemont</v>
      </c>
      <c r="C250" s="407">
        <f>VPI!Q250</f>
        <v>74</v>
      </c>
      <c r="D250" s="412">
        <f>Données!Z250</f>
        <v>863</v>
      </c>
      <c r="E250" s="180">
        <f>VPI!R250</f>
        <v>100453.05146272083</v>
      </c>
      <c r="F250" s="317">
        <f>'Péréquation directe'!K256</f>
        <v>1613916.4438868575</v>
      </c>
      <c r="G250" s="330">
        <f>PCS!I256</f>
        <v>3844645.3763237428</v>
      </c>
      <c r="H250" s="347">
        <f>'Facture policière'!L250</f>
        <v>203286.17322827954</v>
      </c>
      <c r="I250" s="464">
        <f t="shared" si="3"/>
        <v>5661847.99343888</v>
      </c>
      <c r="J250" s="182"/>
    </row>
    <row r="251" spans="1:10" s="87" customFormat="1" x14ac:dyDescent="0.25">
      <c r="A251" s="405">
        <f>Données!A251</f>
        <v>5851</v>
      </c>
      <c r="B251" s="409" t="str">
        <f>Données!B251</f>
        <v>Allaman</v>
      </c>
      <c r="C251" s="407">
        <f>VPI!Q251</f>
        <v>60</v>
      </c>
      <c r="D251" s="412">
        <f>Données!Z251</f>
        <v>443</v>
      </c>
      <c r="E251" s="180">
        <f>VPI!R251</f>
        <v>24279.81507965273</v>
      </c>
      <c r="F251" s="317">
        <f>'Péréquation directe'!K257</f>
        <v>410182.27052528388</v>
      </c>
      <c r="G251" s="330">
        <f>PCS!I257</f>
        <v>422619.99793361069</v>
      </c>
      <c r="H251" s="347">
        <f>'Facture policière'!L251</f>
        <v>69062.264882175048</v>
      </c>
      <c r="I251" s="464">
        <f t="shared" si="3"/>
        <v>901864.53334106959</v>
      </c>
      <c r="J251" s="182"/>
    </row>
    <row r="252" spans="1:10" s="87" customFormat="1" x14ac:dyDescent="0.25">
      <c r="A252" s="405">
        <f>Données!A252</f>
        <v>5852</v>
      </c>
      <c r="B252" s="409" t="str">
        <f>Données!B252</f>
        <v>Bursinel</v>
      </c>
      <c r="C252" s="407">
        <f>VPI!Q252</f>
        <v>65.5</v>
      </c>
      <c r="D252" s="412">
        <f>Données!Z252</f>
        <v>491</v>
      </c>
      <c r="E252" s="180">
        <f>VPI!R252</f>
        <v>40701.690718752099</v>
      </c>
      <c r="F252" s="317">
        <f>'Péréquation directe'!K258</f>
        <v>718813.05484437314</v>
      </c>
      <c r="G252" s="330">
        <f>PCS!I258</f>
        <v>1002815.8507867656</v>
      </c>
      <c r="H252" s="347">
        <f>'Facture policière'!L252</f>
        <v>94382.177187022142</v>
      </c>
      <c r="I252" s="464">
        <f t="shared" si="3"/>
        <v>1816011.0828181608</v>
      </c>
      <c r="J252" s="182"/>
    </row>
    <row r="253" spans="1:10" s="87" customFormat="1" x14ac:dyDescent="0.25">
      <c r="A253" s="405">
        <f>Données!A253</f>
        <v>5853</v>
      </c>
      <c r="B253" s="409" t="str">
        <f>Données!B253</f>
        <v>Bursins</v>
      </c>
      <c r="C253" s="407">
        <f>VPI!Q253</f>
        <v>71</v>
      </c>
      <c r="D253" s="412">
        <f>Données!Z253</f>
        <v>773</v>
      </c>
      <c r="E253" s="180">
        <f>VPI!R253</f>
        <v>41997.209489150475</v>
      </c>
      <c r="F253" s="317">
        <f>'Péréquation directe'!K259</f>
        <v>704246.76972662122</v>
      </c>
      <c r="G253" s="330">
        <f>PCS!I259</f>
        <v>1035809.467102922</v>
      </c>
      <c r="H253" s="347">
        <f>'Facture policière'!L253</f>
        <v>120030.75247183537</v>
      </c>
      <c r="I253" s="464">
        <f t="shared" si="3"/>
        <v>1860086.9893013786</v>
      </c>
      <c r="J253" s="182"/>
    </row>
    <row r="254" spans="1:10" s="87" customFormat="1" x14ac:dyDescent="0.25">
      <c r="A254" s="405">
        <f>Données!A254</f>
        <v>5854</v>
      </c>
      <c r="B254" s="409" t="str">
        <f>Données!B254</f>
        <v>Burtigny</v>
      </c>
      <c r="C254" s="407">
        <f>VPI!Q254</f>
        <v>80</v>
      </c>
      <c r="D254" s="412">
        <f>Données!Z254</f>
        <v>404</v>
      </c>
      <c r="E254" s="180">
        <f>VPI!R254</f>
        <v>10782.892174980714</v>
      </c>
      <c r="F254" s="317">
        <f>'Péréquation directe'!K260</f>
        <v>-81534.569436403282</v>
      </c>
      <c r="G254" s="330">
        <f>PCS!I260</f>
        <v>217841.81110596919</v>
      </c>
      <c r="H254" s="347">
        <f>'Facture policière'!L254</f>
        <v>33593.581807249138</v>
      </c>
      <c r="I254" s="464">
        <f t="shared" si="3"/>
        <v>169900.82347681504</v>
      </c>
      <c r="J254" s="182"/>
    </row>
    <row r="255" spans="1:10" s="87" customFormat="1" x14ac:dyDescent="0.25">
      <c r="A255" s="405">
        <f>Données!A255</f>
        <v>5855</v>
      </c>
      <c r="B255" s="409" t="str">
        <f>Données!B255</f>
        <v>Dully</v>
      </c>
      <c r="C255" s="407">
        <f>VPI!Q255</f>
        <v>49</v>
      </c>
      <c r="D255" s="412">
        <f>Données!Z255</f>
        <v>628</v>
      </c>
      <c r="E255" s="180">
        <f>VPI!R255</f>
        <v>98130.783845823462</v>
      </c>
      <c r="F255" s="317">
        <f>'Péréquation directe'!K261</f>
        <v>1770670.0522068823</v>
      </c>
      <c r="G255" s="330">
        <f>PCS!I261</f>
        <v>3210518.087392644</v>
      </c>
      <c r="H255" s="347">
        <f>'Facture policière'!L255</f>
        <v>180305.14226546002</v>
      </c>
      <c r="I255" s="464">
        <f t="shared" si="3"/>
        <v>5161493.2818649868</v>
      </c>
      <c r="J255" s="182"/>
    </row>
    <row r="256" spans="1:10" s="87" customFormat="1" x14ac:dyDescent="0.25">
      <c r="A256" s="405">
        <f>Données!A256</f>
        <v>5856</v>
      </c>
      <c r="B256" s="409" t="str">
        <f>Données!B256</f>
        <v>Essertines-sur-Rolle</v>
      </c>
      <c r="C256" s="407">
        <f>VPI!Q256</f>
        <v>66.5</v>
      </c>
      <c r="D256" s="412">
        <f>Données!Z256</f>
        <v>740</v>
      </c>
      <c r="E256" s="180">
        <f>VPI!R256</f>
        <v>35711.178597082457</v>
      </c>
      <c r="F256" s="317">
        <f>'Péréquation directe'!K262</f>
        <v>592338.77456294443</v>
      </c>
      <c r="G256" s="330">
        <f>PCS!I262</f>
        <v>681767.99383247539</v>
      </c>
      <c r="H256" s="347">
        <f>'Facture policière'!L256</f>
        <v>109095.29859106937</v>
      </c>
      <c r="I256" s="464">
        <f t="shared" si="3"/>
        <v>1383202.0669864891</v>
      </c>
      <c r="J256" s="182"/>
    </row>
    <row r="257" spans="1:10" s="87" customFormat="1" x14ac:dyDescent="0.25">
      <c r="A257" s="405">
        <f>Données!A257</f>
        <v>5857</v>
      </c>
      <c r="B257" s="409" t="str">
        <f>Données!B257</f>
        <v>Gilly</v>
      </c>
      <c r="C257" s="407">
        <f>VPI!Q257</f>
        <v>64.5</v>
      </c>
      <c r="D257" s="412">
        <f>Données!Z257</f>
        <v>1428</v>
      </c>
      <c r="E257" s="180">
        <f>VPI!R257</f>
        <v>82138.568992248052</v>
      </c>
      <c r="F257" s="317">
        <f>'Péréquation directe'!K263</f>
        <v>1300883.3307934604</v>
      </c>
      <c r="G257" s="330">
        <f>PCS!I263</f>
        <v>1568081.3958783688</v>
      </c>
      <c r="H257" s="347">
        <f>'Facture policière'!L257</f>
        <v>227629.96584868699</v>
      </c>
      <c r="I257" s="464">
        <f t="shared" si="3"/>
        <v>3096594.692520516</v>
      </c>
      <c r="J257" s="182"/>
    </row>
    <row r="258" spans="1:10" s="87" customFormat="1" x14ac:dyDescent="0.25">
      <c r="A258" s="405">
        <f>Données!A258</f>
        <v>5858</v>
      </c>
      <c r="B258" s="409" t="str">
        <f>Données!B258</f>
        <v>Luins</v>
      </c>
      <c r="C258" s="407">
        <f>VPI!Q258</f>
        <v>58.5</v>
      </c>
      <c r="D258" s="412">
        <f>Données!Z258</f>
        <v>619</v>
      </c>
      <c r="E258" s="180">
        <f>VPI!R258</f>
        <v>40277.440146315326</v>
      </c>
      <c r="F258" s="317">
        <f>'Péréquation directe'!K264</f>
        <v>694814.75318383495</v>
      </c>
      <c r="G258" s="330">
        <f>PCS!I264</f>
        <v>818468.91070685931</v>
      </c>
      <c r="H258" s="347">
        <f>'Facture policière'!L258</f>
        <v>104714.83133503064</v>
      </c>
      <c r="I258" s="464">
        <f t="shared" si="3"/>
        <v>1617998.495225725</v>
      </c>
      <c r="J258" s="182"/>
    </row>
    <row r="259" spans="1:10" s="87" customFormat="1" x14ac:dyDescent="0.25">
      <c r="A259" s="405">
        <f>Données!A259</f>
        <v>5859</v>
      </c>
      <c r="B259" s="409" t="str">
        <f>Données!B259</f>
        <v>Mont-sur-Rolle</v>
      </c>
      <c r="C259" s="407">
        <f>VPI!Q259</f>
        <v>63.5</v>
      </c>
      <c r="D259" s="412">
        <f>Données!Z259</f>
        <v>2646</v>
      </c>
      <c r="E259" s="180">
        <f>VPI!R259</f>
        <v>146440.66164065379</v>
      </c>
      <c r="F259" s="317">
        <f>'Péréquation directe'!K265</f>
        <v>2109804.9572329796</v>
      </c>
      <c r="G259" s="330">
        <f>PCS!I265</f>
        <v>2807899.5196483806</v>
      </c>
      <c r="H259" s="347">
        <f>'Facture policière'!L259</f>
        <v>414338.70605599892</v>
      </c>
      <c r="I259" s="464">
        <f t="shared" si="3"/>
        <v>5332043.1829373594</v>
      </c>
      <c r="J259" s="182"/>
    </row>
    <row r="260" spans="1:10" s="87" customFormat="1" x14ac:dyDescent="0.25">
      <c r="A260" s="405">
        <f>Données!A260</f>
        <v>5860</v>
      </c>
      <c r="B260" s="409" t="str">
        <f>Données!B260</f>
        <v>Perroy</v>
      </c>
      <c r="C260" s="407">
        <f>VPI!Q260</f>
        <v>58.5</v>
      </c>
      <c r="D260" s="412">
        <f>Données!Z260</f>
        <v>1518</v>
      </c>
      <c r="E260" s="180">
        <f>VPI!R260</f>
        <v>110194.28576674461</v>
      </c>
      <c r="F260" s="317">
        <f>'Péréquation directe'!K266</f>
        <v>1807080.7812333768</v>
      </c>
      <c r="G260" s="330">
        <f>PCS!I266</f>
        <v>2626799.884191114</v>
      </c>
      <c r="H260" s="347">
        <f>'Facture policière'!L260</f>
        <v>271567.07306409802</v>
      </c>
      <c r="I260" s="464">
        <f t="shared" si="3"/>
        <v>4705447.7384885885</v>
      </c>
      <c r="J260" s="182"/>
    </row>
    <row r="261" spans="1:10" s="87" customFormat="1" x14ac:dyDescent="0.25">
      <c r="A261" s="405">
        <f>Données!A261</f>
        <v>5861</v>
      </c>
      <c r="B261" s="409" t="str">
        <f>Données!B261</f>
        <v>Rolle</v>
      </c>
      <c r="C261" s="407">
        <f>VPI!Q261</f>
        <v>59.5</v>
      </c>
      <c r="D261" s="412">
        <f>Données!Z261</f>
        <v>6259</v>
      </c>
      <c r="E261" s="180">
        <f>VPI!R261</f>
        <v>663825.23287759279</v>
      </c>
      <c r="F261" s="317">
        <f>'Péréquation directe'!K267</f>
        <v>10156807.896486778</v>
      </c>
      <c r="G261" s="330">
        <f>PCS!I267</f>
        <v>18958156.103000596</v>
      </c>
      <c r="H261" s="347">
        <f>'Facture policière'!L261</f>
        <v>1390646.8167758686</v>
      </c>
      <c r="I261" s="464">
        <f t="shared" si="3"/>
        <v>30505610.816263244</v>
      </c>
      <c r="J261" s="182"/>
    </row>
    <row r="262" spans="1:10" s="87" customFormat="1" x14ac:dyDescent="0.25">
      <c r="A262" s="405">
        <f>Données!A262</f>
        <v>5862</v>
      </c>
      <c r="B262" s="409" t="str">
        <f>Données!B262</f>
        <v>Tartegnin</v>
      </c>
      <c r="C262" s="407">
        <f>VPI!Q262</f>
        <v>79</v>
      </c>
      <c r="D262" s="412">
        <f>Données!Z262</f>
        <v>236</v>
      </c>
      <c r="E262" s="180">
        <f>VPI!R262</f>
        <v>8093.970937390457</v>
      </c>
      <c r="F262" s="317">
        <f>'Péréquation directe'!K268</f>
        <v>55897.236944080767</v>
      </c>
      <c r="G262" s="330">
        <f>PCS!I268</f>
        <v>120493.27755178236</v>
      </c>
      <c r="H262" s="347">
        <f>'Facture policière'!L262</f>
        <v>25399.184938268831</v>
      </c>
      <c r="I262" s="464">
        <f t="shared" si="3"/>
        <v>201789.69943413194</v>
      </c>
      <c r="J262" s="182"/>
    </row>
    <row r="263" spans="1:10" s="87" customFormat="1" x14ac:dyDescent="0.25">
      <c r="A263" s="405">
        <f>Données!A263</f>
        <v>5863</v>
      </c>
      <c r="B263" s="409" t="str">
        <f>Données!B263</f>
        <v>Vinzel</v>
      </c>
      <c r="C263" s="407">
        <f>VPI!Q263</f>
        <v>67</v>
      </c>
      <c r="D263" s="412">
        <f>Données!Z263</f>
        <v>385</v>
      </c>
      <c r="E263" s="180">
        <f>VPI!R263</f>
        <v>21922.221840386148</v>
      </c>
      <c r="F263" s="317">
        <f>'Péréquation directe'!K269</f>
        <v>372211.14007520908</v>
      </c>
      <c r="G263" s="330">
        <f>PCS!I269</f>
        <v>437076.87342722033</v>
      </c>
      <c r="H263" s="347">
        <f>'Facture policière'!L263</f>
        <v>61082.429901912052</v>
      </c>
      <c r="I263" s="464">
        <f t="shared" ref="I263:I305" si="4">SUM(F263:H263)</f>
        <v>870370.44340434158</v>
      </c>
      <c r="J263" s="182"/>
    </row>
    <row r="264" spans="1:10" s="87" customFormat="1" x14ac:dyDescent="0.25">
      <c r="A264" s="405">
        <f>Données!A264</f>
        <v>5871</v>
      </c>
      <c r="B264" s="409" t="str">
        <f>Données!B264</f>
        <v>L'Abbaye</v>
      </c>
      <c r="C264" s="407">
        <f>VPI!Q264</f>
        <v>77.56</v>
      </c>
      <c r="D264" s="412">
        <f>Données!Z264</f>
        <v>1473</v>
      </c>
      <c r="E264" s="180">
        <f>VPI!R264</f>
        <v>49484.284679945325</v>
      </c>
      <c r="F264" s="317">
        <f>'Péréquation directe'!K270</f>
        <v>-135373.99394409743</v>
      </c>
      <c r="G264" s="330">
        <f>PCS!I270</f>
        <v>1082999.4493742674</v>
      </c>
      <c r="H264" s="347">
        <f>'Facture policière'!L264</f>
        <v>155841.81832175713</v>
      </c>
      <c r="I264" s="464">
        <f t="shared" si="4"/>
        <v>1103467.2737519271</v>
      </c>
      <c r="J264" s="182"/>
    </row>
    <row r="265" spans="1:10" s="87" customFormat="1" x14ac:dyDescent="0.25">
      <c r="A265" s="405">
        <f>Données!A265</f>
        <v>5872</v>
      </c>
      <c r="B265" s="409" t="str">
        <f>Données!B265</f>
        <v>Le Chenit</v>
      </c>
      <c r="C265" s="407">
        <f>VPI!Q265</f>
        <v>66.95</v>
      </c>
      <c r="D265" s="412">
        <f>Données!Z265</f>
        <v>4600</v>
      </c>
      <c r="E265" s="180">
        <f>VPI!R265</f>
        <v>234098.82523259622</v>
      </c>
      <c r="F265" s="317">
        <f>'Péréquation directe'!K271</f>
        <v>1334297.8029996166</v>
      </c>
      <c r="G265" s="330">
        <f>PCS!I271</f>
        <v>7516352.5254265564</v>
      </c>
      <c r="H265" s="347">
        <f>'Facture policière'!L265</f>
        <v>693823.09713235823</v>
      </c>
      <c r="I265" s="464">
        <f t="shared" si="4"/>
        <v>9544473.4255585317</v>
      </c>
      <c r="J265" s="182"/>
    </row>
    <row r="266" spans="1:10" s="87" customFormat="1" x14ac:dyDescent="0.25">
      <c r="A266" s="405">
        <f>Données!A266</f>
        <v>5873</v>
      </c>
      <c r="B266" s="409" t="str">
        <f>Données!B266</f>
        <v>Le Lieu</v>
      </c>
      <c r="C266" s="407">
        <f>VPI!Q266</f>
        <v>70</v>
      </c>
      <c r="D266" s="412">
        <f>Données!Z266</f>
        <v>888</v>
      </c>
      <c r="E266" s="180">
        <f>VPI!R266</f>
        <v>30412.639654224466</v>
      </c>
      <c r="F266" s="317">
        <f>'Péréquation directe'!K272</f>
        <v>-428140.8636530576</v>
      </c>
      <c r="G266" s="330">
        <f>PCS!I272</f>
        <v>814236.1888927645</v>
      </c>
      <c r="H266" s="347">
        <f>'Facture policière'!L266</f>
        <v>96041.394619758503</v>
      </c>
      <c r="I266" s="464">
        <f t="shared" si="4"/>
        <v>482136.71985946537</v>
      </c>
      <c r="J266" s="182"/>
    </row>
    <row r="267" spans="1:10" s="87" customFormat="1" x14ac:dyDescent="0.25">
      <c r="A267" s="405">
        <f>Données!A267</f>
        <v>5882</v>
      </c>
      <c r="B267" s="409" t="str">
        <f>Données!B267</f>
        <v>Chardonne</v>
      </c>
      <c r="C267" s="407">
        <f>VPI!Q267</f>
        <v>68</v>
      </c>
      <c r="D267" s="412">
        <f>Données!Z267</f>
        <v>3093</v>
      </c>
      <c r="E267" s="180">
        <f>VPI!R267</f>
        <v>178990.25503852809</v>
      </c>
      <c r="F267" s="317">
        <f>'Péréquation directe'!K273</f>
        <v>2179674.9264754197</v>
      </c>
      <c r="G267" s="330">
        <f>PCS!I273</f>
        <v>3778502.3040583511</v>
      </c>
      <c r="H267" s="347">
        <f>'Facture policière'!L267</f>
        <v>231498.88108384336</v>
      </c>
      <c r="I267" s="464">
        <f t="shared" si="4"/>
        <v>6189676.1116176145</v>
      </c>
      <c r="J267" s="182"/>
    </row>
    <row r="268" spans="1:10" s="87" customFormat="1" x14ac:dyDescent="0.25">
      <c r="A268" s="405">
        <f>Données!A268</f>
        <v>5883</v>
      </c>
      <c r="B268" s="409" t="str">
        <f>Données!B268</f>
        <v>Corseaux</v>
      </c>
      <c r="C268" s="407">
        <f>VPI!Q268</f>
        <v>67.5</v>
      </c>
      <c r="D268" s="412">
        <f>Données!Z268</f>
        <v>2311</v>
      </c>
      <c r="E268" s="180">
        <f>VPI!R268</f>
        <v>167834.94979180559</v>
      </c>
      <c r="F268" s="317">
        <f>'Péréquation directe'!K274</f>
        <v>2635946.8514592755</v>
      </c>
      <c r="G268" s="330">
        <f>PCS!I274</f>
        <v>4024806.9164949637</v>
      </c>
      <c r="H268" s="347">
        <f>'Facture policière'!L268</f>
        <v>217071.05269615201</v>
      </c>
      <c r="I268" s="464">
        <f t="shared" si="4"/>
        <v>6877824.8206503913</v>
      </c>
      <c r="J268" s="182"/>
    </row>
    <row r="269" spans="1:10" s="87" customFormat="1" x14ac:dyDescent="0.25">
      <c r="A269" s="405">
        <f>Données!A269</f>
        <v>5884</v>
      </c>
      <c r="B269" s="409" t="str">
        <f>Données!B269</f>
        <v>Corsier-sur-Vevey</v>
      </c>
      <c r="C269" s="407">
        <f>VPI!Q269</f>
        <v>66</v>
      </c>
      <c r="D269" s="412">
        <f>Données!Z269</f>
        <v>3420</v>
      </c>
      <c r="E269" s="180">
        <f>VPI!R269</f>
        <v>122060.78000997694</v>
      </c>
      <c r="F269" s="317">
        <f>'Péréquation directe'!K275</f>
        <v>-631558.40129250148</v>
      </c>
      <c r="G269" s="330">
        <f>PCS!I275</f>
        <v>2187084.5445544389</v>
      </c>
      <c r="H269" s="347">
        <f>'Facture policière'!L269</f>
        <v>157868.56100321462</v>
      </c>
      <c r="I269" s="464">
        <f t="shared" si="4"/>
        <v>1713394.7042651521</v>
      </c>
      <c r="J269" s="182"/>
    </row>
    <row r="270" spans="1:10" s="87" customFormat="1" x14ac:dyDescent="0.25">
      <c r="A270" s="405">
        <f>Données!A270</f>
        <v>5885</v>
      </c>
      <c r="B270" s="409" t="str">
        <f>Données!B270</f>
        <v>Jongny</v>
      </c>
      <c r="C270" s="407">
        <f>VPI!Q270</f>
        <v>69.5</v>
      </c>
      <c r="D270" s="412">
        <f>Données!Z270</f>
        <v>1670</v>
      </c>
      <c r="E270" s="180">
        <f>VPI!R270</f>
        <v>85101.147065913159</v>
      </c>
      <c r="F270" s="317">
        <f>'Péréquation directe'!K276</f>
        <v>1199960.4590197303</v>
      </c>
      <c r="G270" s="330">
        <f>PCS!I276</f>
        <v>1693135.3967362829</v>
      </c>
      <c r="H270" s="347">
        <f>'Facture policière'!L270</f>
        <v>110066.44088232538</v>
      </c>
      <c r="I270" s="464">
        <f t="shared" si="4"/>
        <v>3003162.2966383384</v>
      </c>
      <c r="J270" s="182"/>
    </row>
    <row r="271" spans="1:10" s="87" customFormat="1" x14ac:dyDescent="0.25">
      <c r="A271" s="405">
        <f>Données!A271</f>
        <v>5886</v>
      </c>
      <c r="B271" s="409" t="str">
        <f>Données!B271</f>
        <v>Montreux</v>
      </c>
      <c r="C271" s="407">
        <f>VPI!Q271</f>
        <v>65</v>
      </c>
      <c r="D271" s="412">
        <f>Données!Z271</f>
        <v>26180</v>
      </c>
      <c r="E271" s="180">
        <f>VPI!R271</f>
        <v>1096049.6436560636</v>
      </c>
      <c r="F271" s="317">
        <f>'Péréquation directe'!K277</f>
        <v>-8578411.5030303597</v>
      </c>
      <c r="G271" s="330">
        <f>PCS!I277</f>
        <v>27048804.826698348</v>
      </c>
      <c r="H271" s="347">
        <f>'Facture policière'!L271</f>
        <v>1417587.0416191486</v>
      </c>
      <c r="I271" s="464">
        <f t="shared" si="4"/>
        <v>19887980.365287136</v>
      </c>
      <c r="J271" s="182"/>
    </row>
    <row r="272" spans="1:10" s="87" customFormat="1" x14ac:dyDescent="0.25">
      <c r="A272" s="405">
        <f>Données!A272</f>
        <v>5889</v>
      </c>
      <c r="B272" s="409" t="str">
        <f>Données!B272</f>
        <v>La Tour-de-Peilz</v>
      </c>
      <c r="C272" s="407">
        <f>VPI!Q272</f>
        <v>64</v>
      </c>
      <c r="D272" s="412">
        <f>Données!Z272</f>
        <v>12088</v>
      </c>
      <c r="E272" s="180">
        <f>VPI!R272</f>
        <v>674464.00637600874</v>
      </c>
      <c r="F272" s="317">
        <f>'Péréquation directe'!K278</f>
        <v>5965670.1537680458</v>
      </c>
      <c r="G272" s="330">
        <f>PCS!I278</f>
        <v>13070739.758721873</v>
      </c>
      <c r="H272" s="347">
        <f>'Facture policière'!L272</f>
        <v>872324.93620260607</v>
      </c>
      <c r="I272" s="464">
        <f t="shared" si="4"/>
        <v>19908734.848692525</v>
      </c>
      <c r="J272" s="182"/>
    </row>
    <row r="273" spans="1:10" s="87" customFormat="1" x14ac:dyDescent="0.25">
      <c r="A273" s="405">
        <f>Données!A273</f>
        <v>5890</v>
      </c>
      <c r="B273" s="409" t="str">
        <f>Données!B273</f>
        <v>Vevey</v>
      </c>
      <c r="C273" s="407">
        <f>VPI!Q273</f>
        <v>74.5</v>
      </c>
      <c r="D273" s="412">
        <f>Données!Z273</f>
        <v>19780</v>
      </c>
      <c r="E273" s="180">
        <f>VPI!R273</f>
        <v>858874.45047675935</v>
      </c>
      <c r="F273" s="317">
        <f>'Péréquation directe'!K279</f>
        <v>-3167868.1282731853</v>
      </c>
      <c r="G273" s="330">
        <f>PCS!I279</f>
        <v>15931114.44996376</v>
      </c>
      <c r="H273" s="347">
        <f>'Facture policière'!L273</f>
        <v>1110834.0743694247</v>
      </c>
      <c r="I273" s="464">
        <f t="shared" si="4"/>
        <v>13874080.396059999</v>
      </c>
      <c r="J273" s="182"/>
    </row>
    <row r="274" spans="1:10" s="87" customFormat="1" x14ac:dyDescent="0.25">
      <c r="A274" s="405">
        <f>Données!A274</f>
        <v>5891</v>
      </c>
      <c r="B274" s="409" t="str">
        <f>Données!B274</f>
        <v>Veytaux</v>
      </c>
      <c r="C274" s="407">
        <f>VPI!Q274</f>
        <v>69.5</v>
      </c>
      <c r="D274" s="412">
        <f>Données!Z274</f>
        <v>956</v>
      </c>
      <c r="E274" s="180">
        <f>VPI!R274</f>
        <v>43940.417859726374</v>
      </c>
      <c r="F274" s="317">
        <f>'Péréquation directe'!K280</f>
        <v>262106.28047147219</v>
      </c>
      <c r="G274" s="330">
        <f>PCS!I280</f>
        <v>798917.5027145081</v>
      </c>
      <c r="H274" s="347">
        <f>'Facture policière'!L274</f>
        <v>56830.789847713218</v>
      </c>
      <c r="I274" s="464">
        <f t="shared" si="4"/>
        <v>1117854.5730336935</v>
      </c>
      <c r="J274" s="182"/>
    </row>
    <row r="275" spans="1:10" s="87" customFormat="1" x14ac:dyDescent="0.25">
      <c r="A275" s="405">
        <f>Données!A275</f>
        <v>5892</v>
      </c>
      <c r="B275" s="409" t="str">
        <f>Données!B275</f>
        <v>Blonay-Saint-Légier</v>
      </c>
      <c r="C275" s="407">
        <f>VPI!Q275</f>
        <v>68.5</v>
      </c>
      <c r="D275" s="412">
        <f>Données!Z275</f>
        <v>11737</v>
      </c>
      <c r="E275" s="180">
        <f>VPI!R275</f>
        <v>693176.17061999615</v>
      </c>
      <c r="F275" s="317">
        <f>'Péréquation directe'!K281</f>
        <v>4903911.2892067935</v>
      </c>
      <c r="G275" s="330">
        <f>PCS!I281</f>
        <v>15372305.128163241</v>
      </c>
      <c r="H275" s="347">
        <f>'Facture policière'!L275</f>
        <v>896526.50563557749</v>
      </c>
      <c r="I275" s="464">
        <f t="shared" si="4"/>
        <v>21172742.923005614</v>
      </c>
      <c r="J275" s="182"/>
    </row>
    <row r="276" spans="1:10" s="87" customFormat="1" x14ac:dyDescent="0.25">
      <c r="A276" s="405">
        <f>Données!A276</f>
        <v>5902</v>
      </c>
      <c r="B276" s="409" t="str">
        <f>Données!B276</f>
        <v>Belmont-sur-Yverdon</v>
      </c>
      <c r="C276" s="407">
        <f>VPI!Q276</f>
        <v>70</v>
      </c>
      <c r="D276" s="412">
        <f>Données!Z276</f>
        <v>396</v>
      </c>
      <c r="E276" s="180">
        <f>VPI!R276</f>
        <v>11718.07192496429</v>
      </c>
      <c r="F276" s="317">
        <f>'Péréquation directe'!K282</f>
        <v>42420.295669763349</v>
      </c>
      <c r="G276" s="330">
        <f>PCS!I282</f>
        <v>255356.76077556648</v>
      </c>
      <c r="H276" s="347">
        <f>'Facture policière'!L276</f>
        <v>36975.948575247086</v>
      </c>
      <c r="I276" s="464">
        <f t="shared" si="4"/>
        <v>334753.00502057688</v>
      </c>
      <c r="J276" s="182"/>
    </row>
    <row r="277" spans="1:10" s="87" customFormat="1" x14ac:dyDescent="0.25">
      <c r="A277" s="405">
        <f>Données!A277</f>
        <v>5903</v>
      </c>
      <c r="B277" s="409" t="str">
        <f>Données!B277</f>
        <v>Bioley-Magnoux</v>
      </c>
      <c r="C277" s="407">
        <f>VPI!Q277</f>
        <v>72</v>
      </c>
      <c r="D277" s="412">
        <f>Données!Z277</f>
        <v>230</v>
      </c>
      <c r="E277" s="180">
        <f>VPI!R277</f>
        <v>5023.7843849206347</v>
      </c>
      <c r="F277" s="317">
        <f>'Péréquation directe'!K283</f>
        <v>-187182.4592605705</v>
      </c>
      <c r="G277" s="330">
        <f>PCS!I283</f>
        <v>84297.915577715961</v>
      </c>
      <c r="H277" s="347">
        <f>'Facture policière'!L277</f>
        <v>15527.234974707026</v>
      </c>
      <c r="I277" s="464">
        <f t="shared" si="4"/>
        <v>-87357.30870814751</v>
      </c>
      <c r="J277" s="182"/>
    </row>
    <row r="278" spans="1:10" s="87" customFormat="1" x14ac:dyDescent="0.25">
      <c r="A278" s="405">
        <f>Données!A278</f>
        <v>5904</v>
      </c>
      <c r="B278" s="409" t="str">
        <f>Données!B278</f>
        <v>Chamblon</v>
      </c>
      <c r="C278" s="407">
        <f>VPI!Q278</f>
        <v>66</v>
      </c>
      <c r="D278" s="412">
        <f>Données!Z278</f>
        <v>559</v>
      </c>
      <c r="E278" s="180">
        <f>VPI!R278</f>
        <v>21692.89514545034</v>
      </c>
      <c r="F278" s="317">
        <f>'Péréquation directe'!K284</f>
        <v>274581.16069922596</v>
      </c>
      <c r="G278" s="330">
        <f>PCS!I284</f>
        <v>363179.60977222293</v>
      </c>
      <c r="H278" s="347">
        <f>'Facture policière'!L278</f>
        <v>28056.728298196562</v>
      </c>
      <c r="I278" s="464">
        <f t="shared" si="4"/>
        <v>665817.49876964546</v>
      </c>
      <c r="J278" s="182"/>
    </row>
    <row r="279" spans="1:10" s="87" customFormat="1" x14ac:dyDescent="0.25">
      <c r="A279" s="405">
        <f>Données!A279</f>
        <v>5905</v>
      </c>
      <c r="B279" s="409" t="str">
        <f>Données!B279</f>
        <v>Champvent</v>
      </c>
      <c r="C279" s="407">
        <f>VPI!Q279</f>
        <v>71</v>
      </c>
      <c r="D279" s="412">
        <f>Données!Z279</f>
        <v>696</v>
      </c>
      <c r="E279" s="180">
        <f>VPI!R279</f>
        <v>21633.757449586756</v>
      </c>
      <c r="F279" s="317">
        <f>'Péréquation directe'!K285</f>
        <v>27564.163895903446</v>
      </c>
      <c r="G279" s="330">
        <f>PCS!I285</f>
        <v>387376.37048031169</v>
      </c>
      <c r="H279" s="347">
        <f>'Facture policière'!L279</f>
        <v>68418.796288856916</v>
      </c>
      <c r="I279" s="464">
        <f t="shared" si="4"/>
        <v>483359.33066507208</v>
      </c>
      <c r="J279" s="182"/>
    </row>
    <row r="280" spans="1:10" s="87" customFormat="1" x14ac:dyDescent="0.25">
      <c r="A280" s="405">
        <f>Données!A280</f>
        <v>5907</v>
      </c>
      <c r="B280" s="409" t="str">
        <f>Données!B280</f>
        <v>Chavannes-le-Chêne</v>
      </c>
      <c r="C280" s="407">
        <f>VPI!Q280</f>
        <v>75</v>
      </c>
      <c r="D280" s="412">
        <f>Données!Z280</f>
        <v>324</v>
      </c>
      <c r="E280" s="180">
        <f>VPI!R280</f>
        <v>9890.8899187559018</v>
      </c>
      <c r="F280" s="317">
        <f>'Péréquation directe'!K286</f>
        <v>-13104.32324196276</v>
      </c>
      <c r="G280" s="330">
        <f>PCS!I286</f>
        <v>162558.07801747436</v>
      </c>
      <c r="H280" s="347">
        <f>'Facture policière'!L280</f>
        <v>31317.491699957762</v>
      </c>
      <c r="I280" s="464">
        <f t="shared" si="4"/>
        <v>180771.24647546935</v>
      </c>
      <c r="J280" s="182"/>
    </row>
    <row r="281" spans="1:10" s="87" customFormat="1" x14ac:dyDescent="0.25">
      <c r="A281" s="405">
        <f>Données!A281</f>
        <v>5908</v>
      </c>
      <c r="B281" s="409" t="str">
        <f>Données!B281</f>
        <v>Chêne-Pâquier</v>
      </c>
      <c r="C281" s="407">
        <f>VPI!Q281</f>
        <v>79</v>
      </c>
      <c r="D281" s="412">
        <f>Données!Z281</f>
        <v>144</v>
      </c>
      <c r="E281" s="180">
        <f>VPI!R281</f>
        <v>6502.346088577403</v>
      </c>
      <c r="F281" s="317">
        <f>'Péréquation directe'!K287</f>
        <v>7400.9029166845867</v>
      </c>
      <c r="G281" s="330">
        <f>PCS!I287</f>
        <v>100657.38978678432</v>
      </c>
      <c r="H281" s="347">
        <f>'Facture policière'!L281</f>
        <v>20651.409312057593</v>
      </c>
      <c r="I281" s="464">
        <f t="shared" si="4"/>
        <v>128709.70201552651</v>
      </c>
      <c r="J281" s="182"/>
    </row>
    <row r="282" spans="1:10" s="87" customFormat="1" x14ac:dyDescent="0.25">
      <c r="A282" s="405">
        <f>Données!A282</f>
        <v>5909</v>
      </c>
      <c r="B282" s="409" t="str">
        <f>Données!B282</f>
        <v>Cheseaux-Noréaz</v>
      </c>
      <c r="C282" s="407">
        <f>VPI!Q282</f>
        <v>67</v>
      </c>
      <c r="D282" s="412">
        <f>Données!Z282</f>
        <v>741</v>
      </c>
      <c r="E282" s="180">
        <f>VPI!R282</f>
        <v>39252.843107523055</v>
      </c>
      <c r="F282" s="317">
        <f>'Péréquation directe'!K288</f>
        <v>631675.3026138061</v>
      </c>
      <c r="G282" s="330">
        <f>PCS!I288</f>
        <v>688693.50062062067</v>
      </c>
      <c r="H282" s="347">
        <f>'Facture policière'!L282</f>
        <v>50768.066992223925</v>
      </c>
      <c r="I282" s="464">
        <f t="shared" si="4"/>
        <v>1371136.8702266507</v>
      </c>
      <c r="J282" s="182"/>
    </row>
    <row r="283" spans="1:10" s="87" customFormat="1" x14ac:dyDescent="0.25">
      <c r="A283" s="405">
        <f>Données!A283</f>
        <v>5910</v>
      </c>
      <c r="B283" s="409" t="str">
        <f>Données!B283</f>
        <v>Cronay</v>
      </c>
      <c r="C283" s="407">
        <f>VPI!Q283</f>
        <v>77</v>
      </c>
      <c r="D283" s="412">
        <f>Données!Z283</f>
        <v>393</v>
      </c>
      <c r="E283" s="180">
        <f>VPI!R283</f>
        <v>9974.6879714090483</v>
      </c>
      <c r="F283" s="317">
        <f>'Péréquation directe'!K289</f>
        <v>-151568.49035773752</v>
      </c>
      <c r="G283" s="330">
        <f>PCS!I289</f>
        <v>140479.66932826876</v>
      </c>
      <c r="H283" s="347">
        <f>'Facture policière'!L283</f>
        <v>31322.708408097868</v>
      </c>
      <c r="I283" s="464">
        <f t="shared" si="4"/>
        <v>20233.887378629108</v>
      </c>
      <c r="J283" s="182"/>
    </row>
    <row r="284" spans="1:10" s="87" customFormat="1" x14ac:dyDescent="0.25">
      <c r="A284" s="405">
        <f>Données!A284</f>
        <v>5911</v>
      </c>
      <c r="B284" s="409" t="str">
        <f>Données!B284</f>
        <v>Cuarny</v>
      </c>
      <c r="C284" s="407">
        <f>VPI!Q284</f>
        <v>77</v>
      </c>
      <c r="D284" s="412">
        <f>Données!Z284</f>
        <v>234</v>
      </c>
      <c r="E284" s="180">
        <f>VPI!R284</f>
        <v>6938.982891321557</v>
      </c>
      <c r="F284" s="317">
        <f>'Péréquation directe'!K290</f>
        <v>3814.9479653711605</v>
      </c>
      <c r="G284" s="330">
        <f>PCS!I290</f>
        <v>102311.58497450544</v>
      </c>
      <c r="H284" s="347">
        <f>'Facture policière'!L284</f>
        <v>21913.01718604302</v>
      </c>
      <c r="I284" s="464">
        <f t="shared" si="4"/>
        <v>128039.55012591963</v>
      </c>
      <c r="J284" s="182"/>
    </row>
    <row r="285" spans="1:10" s="87" customFormat="1" x14ac:dyDescent="0.25">
      <c r="A285" s="405">
        <f>Données!A285</f>
        <v>5912</v>
      </c>
      <c r="B285" s="409" t="str">
        <f>Données!B285</f>
        <v>Démoret</v>
      </c>
      <c r="C285" s="407">
        <f>VPI!Q285</f>
        <v>81</v>
      </c>
      <c r="D285" s="412">
        <f>Données!Z285</f>
        <v>158</v>
      </c>
      <c r="E285" s="180">
        <f>VPI!R285</f>
        <v>4068.1026902439612</v>
      </c>
      <c r="F285" s="317">
        <f>'Péréquation directe'!K291</f>
        <v>-37176.620279124312</v>
      </c>
      <c r="G285" s="330">
        <f>PCS!I291</f>
        <v>70774.187685527868</v>
      </c>
      <c r="H285" s="347">
        <f>'Facture policière'!L285</f>
        <v>12856.214114530878</v>
      </c>
      <c r="I285" s="464">
        <f t="shared" si="4"/>
        <v>46453.781520934434</v>
      </c>
      <c r="J285" s="182"/>
    </row>
    <row r="286" spans="1:10" s="87" customFormat="1" x14ac:dyDescent="0.25">
      <c r="A286" s="405">
        <f>Données!A286</f>
        <v>5913</v>
      </c>
      <c r="B286" s="409" t="str">
        <f>Données!B286</f>
        <v>Donneloye</v>
      </c>
      <c r="C286" s="407">
        <f>VPI!Q286</f>
        <v>73</v>
      </c>
      <c r="D286" s="412">
        <f>Données!Z286</f>
        <v>829</v>
      </c>
      <c r="E286" s="180">
        <f>VPI!R286</f>
        <v>19877.397448309883</v>
      </c>
      <c r="F286" s="317">
        <f>'Péréquation directe'!K292</f>
        <v>-156759.39499264117</v>
      </c>
      <c r="G286" s="330">
        <f>PCS!I292</f>
        <v>336277.10567923944</v>
      </c>
      <c r="H286" s="347">
        <f>'Facture policière'!L286</f>
        <v>62199.845707053595</v>
      </c>
      <c r="I286" s="464">
        <f t="shared" si="4"/>
        <v>241717.55639365187</v>
      </c>
      <c r="J286" s="182"/>
    </row>
    <row r="287" spans="1:10" s="87" customFormat="1" x14ac:dyDescent="0.25">
      <c r="A287" s="405">
        <f>Données!A287</f>
        <v>5914</v>
      </c>
      <c r="B287" s="409" t="str">
        <f>Données!B287</f>
        <v>Ependes</v>
      </c>
      <c r="C287" s="407">
        <f>VPI!Q287</f>
        <v>73.5</v>
      </c>
      <c r="D287" s="412">
        <f>Données!Z287</f>
        <v>388</v>
      </c>
      <c r="E287" s="180">
        <f>VPI!R287</f>
        <v>10654.485759200121</v>
      </c>
      <c r="F287" s="317">
        <f>'Péréquation directe'!K293</f>
        <v>-65386.88626089436</v>
      </c>
      <c r="G287" s="330">
        <f>PCS!I293</f>
        <v>179844.7771841897</v>
      </c>
      <c r="H287" s="347">
        <f>'Facture policière'!L287</f>
        <v>13780.088369881649</v>
      </c>
      <c r="I287" s="464">
        <f t="shared" si="4"/>
        <v>128237.97929317699</v>
      </c>
      <c r="J287" s="182"/>
    </row>
    <row r="288" spans="1:10" s="87" customFormat="1" x14ac:dyDescent="0.25">
      <c r="A288" s="405">
        <f>Données!A288</f>
        <v>5919</v>
      </c>
      <c r="B288" s="409" t="str">
        <f>Données!B288</f>
        <v>Mathod</v>
      </c>
      <c r="C288" s="407">
        <f>VPI!Q288</f>
        <v>72</v>
      </c>
      <c r="D288" s="412">
        <f>Données!Z288</f>
        <v>651</v>
      </c>
      <c r="E288" s="180">
        <f>VPI!R288</f>
        <v>21548.298328397002</v>
      </c>
      <c r="F288" s="317">
        <f>'Péréquation directe'!K294</f>
        <v>-52951.525906832598</v>
      </c>
      <c r="G288" s="330">
        <f>PCS!I294</f>
        <v>451130.5371775502</v>
      </c>
      <c r="H288" s="347">
        <f>'Facture policière'!L288</f>
        <v>27869.71252267891</v>
      </c>
      <c r="I288" s="464">
        <f t="shared" si="4"/>
        <v>426048.72379339649</v>
      </c>
      <c r="J288" s="182"/>
    </row>
    <row r="289" spans="1:10" s="87" customFormat="1" x14ac:dyDescent="0.25">
      <c r="A289" s="405">
        <f>Données!A289</f>
        <v>5921</v>
      </c>
      <c r="B289" s="409" t="str">
        <f>Données!B289</f>
        <v>Molondin</v>
      </c>
      <c r="C289" s="407">
        <f>VPI!Q289</f>
        <v>81</v>
      </c>
      <c r="D289" s="412">
        <f>Données!Z289</f>
        <v>252</v>
      </c>
      <c r="E289" s="180">
        <f>VPI!R289</f>
        <v>5680.8817283950611</v>
      </c>
      <c r="F289" s="317">
        <f>'Péréquation directe'!K295</f>
        <v>-142840.63407661236</v>
      </c>
      <c r="G289" s="330">
        <f>PCS!I295</f>
        <v>94888.521598595835</v>
      </c>
      <c r="H289" s="347">
        <f>'Facture policière'!L289</f>
        <v>17876.7641458496</v>
      </c>
      <c r="I289" s="464">
        <f t="shared" si="4"/>
        <v>-30075.348332166926</v>
      </c>
      <c r="J289" s="182"/>
    </row>
    <row r="290" spans="1:10" s="87" customFormat="1" x14ac:dyDescent="0.25">
      <c r="A290" s="405">
        <f>Données!A290</f>
        <v>5922</v>
      </c>
      <c r="B290" s="409" t="str">
        <f>Données!B290</f>
        <v>Montagny-près-Yverdon</v>
      </c>
      <c r="C290" s="407">
        <f>VPI!Q290</f>
        <v>63.5</v>
      </c>
      <c r="D290" s="412">
        <f>Données!Z290</f>
        <v>737</v>
      </c>
      <c r="E290" s="180">
        <f>VPI!R290</f>
        <v>33186.709071572135</v>
      </c>
      <c r="F290" s="317">
        <f>'Péréquation directe'!K296</f>
        <v>371516.14217553305</v>
      </c>
      <c r="G290" s="330">
        <f>PCS!I296</f>
        <v>629894.03093154565</v>
      </c>
      <c r="H290" s="347">
        <f>'Facture policière'!L290</f>
        <v>99111.838499397854</v>
      </c>
      <c r="I290" s="464">
        <f t="shared" si="4"/>
        <v>1100522.0116064767</v>
      </c>
      <c r="J290" s="182"/>
    </row>
    <row r="291" spans="1:10" s="87" customFormat="1" x14ac:dyDescent="0.25">
      <c r="A291" s="405">
        <f>Données!A291</f>
        <v>5923</v>
      </c>
      <c r="B291" s="409" t="str">
        <f>Données!B291</f>
        <v>Oppens</v>
      </c>
      <c r="C291" s="407">
        <f>VPI!Q291</f>
        <v>81</v>
      </c>
      <c r="D291" s="412">
        <f>Données!Z291</f>
        <v>201</v>
      </c>
      <c r="E291" s="180">
        <f>VPI!R291</f>
        <v>4798.3716723042917</v>
      </c>
      <c r="F291" s="317">
        <f>'Péréquation directe'!K297</f>
        <v>-109587.04019433045</v>
      </c>
      <c r="G291" s="330">
        <f>PCS!I297</f>
        <v>86148.491868333964</v>
      </c>
      <c r="H291" s="347">
        <f>'Facture policière'!L291</f>
        <v>15164.97887810722</v>
      </c>
      <c r="I291" s="464">
        <f t="shared" si="4"/>
        <v>-8273.5694478892619</v>
      </c>
      <c r="J291" s="182"/>
    </row>
    <row r="292" spans="1:10" s="87" customFormat="1" x14ac:dyDescent="0.25">
      <c r="A292" s="405">
        <f>Données!A292</f>
        <v>5924</v>
      </c>
      <c r="B292" s="409" t="str">
        <f>Données!B292</f>
        <v>Orges</v>
      </c>
      <c r="C292" s="407">
        <f>VPI!Q292</f>
        <v>74</v>
      </c>
      <c r="D292" s="412">
        <f>Données!Z292</f>
        <v>343</v>
      </c>
      <c r="E292" s="180">
        <f>VPI!R292</f>
        <v>12515.741993747673</v>
      </c>
      <c r="F292" s="317">
        <f>'Péréquation directe'!K298</f>
        <v>124554.00309132246</v>
      </c>
      <c r="G292" s="330">
        <f>PCS!I298</f>
        <v>272190.33670361171</v>
      </c>
      <c r="H292" s="347">
        <f>'Facture policière'!L292</f>
        <v>39637.03637622291</v>
      </c>
      <c r="I292" s="464">
        <f t="shared" si="4"/>
        <v>436381.37617115706</v>
      </c>
      <c r="J292" s="182"/>
    </row>
    <row r="293" spans="1:10" s="87" customFormat="1" x14ac:dyDescent="0.25">
      <c r="A293" s="405">
        <f>Données!A293</f>
        <v>5925</v>
      </c>
      <c r="B293" s="409" t="str">
        <f>Données!B293</f>
        <v>Orzens</v>
      </c>
      <c r="C293" s="407">
        <f>VPI!Q293</f>
        <v>79</v>
      </c>
      <c r="D293" s="412">
        <f>Données!Z293</f>
        <v>201</v>
      </c>
      <c r="E293" s="180">
        <f>VPI!R293</f>
        <v>5885.1778481012652</v>
      </c>
      <c r="F293" s="317">
        <f>'Péréquation directe'!K299</f>
        <v>-8322.4626468858041</v>
      </c>
      <c r="G293" s="330">
        <f>PCS!I299</f>
        <v>154407.9280766127</v>
      </c>
      <c r="H293" s="347">
        <f>'Facture policière'!L293</f>
        <v>18546.109525913307</v>
      </c>
      <c r="I293" s="464">
        <f t="shared" si="4"/>
        <v>164631.57495564022</v>
      </c>
      <c r="J293" s="182"/>
    </row>
    <row r="294" spans="1:10" s="87" customFormat="1" x14ac:dyDescent="0.25">
      <c r="A294" s="405">
        <f>Données!A294</f>
        <v>5926</v>
      </c>
      <c r="B294" s="409" t="str">
        <f>Données!B294</f>
        <v>Pomy</v>
      </c>
      <c r="C294" s="407">
        <f>VPI!Q294</f>
        <v>71</v>
      </c>
      <c r="D294" s="412">
        <f>Données!Z294</f>
        <v>803</v>
      </c>
      <c r="E294" s="180">
        <f>VPI!R294</f>
        <v>27361.56181889947</v>
      </c>
      <c r="F294" s="317">
        <f>'Péréquation directe'!K300</f>
        <v>213952.75973451376</v>
      </c>
      <c r="G294" s="330">
        <f>PCS!I300</f>
        <v>488430.07869085245</v>
      </c>
      <c r="H294" s="347">
        <f>'Facture policière'!L294</f>
        <v>35388.356446657897</v>
      </c>
      <c r="I294" s="464">
        <f t="shared" si="4"/>
        <v>737771.19487202412</v>
      </c>
      <c r="J294" s="182"/>
    </row>
    <row r="295" spans="1:10" s="87" customFormat="1" x14ac:dyDescent="0.25">
      <c r="A295" s="405">
        <f>Données!A295</f>
        <v>5928</v>
      </c>
      <c r="B295" s="409" t="str">
        <f>Données!B295</f>
        <v>Rovray</v>
      </c>
      <c r="C295" s="407">
        <f>VPI!Q295</f>
        <v>71.5</v>
      </c>
      <c r="D295" s="412">
        <f>Données!Z295</f>
        <v>204</v>
      </c>
      <c r="E295" s="180">
        <f>VPI!R295</f>
        <v>5562.4200865991261</v>
      </c>
      <c r="F295" s="317">
        <f>'Péréquation directe'!K301</f>
        <v>2478.0263372933841</v>
      </c>
      <c r="G295" s="330">
        <f>PCS!I301</f>
        <v>85200.738719890607</v>
      </c>
      <c r="H295" s="347">
        <f>'Facture policière'!L295</f>
        <v>17685.570691999823</v>
      </c>
      <c r="I295" s="464">
        <f t="shared" si="4"/>
        <v>105364.33574918381</v>
      </c>
      <c r="J295" s="182"/>
    </row>
    <row r="296" spans="1:10" s="87" customFormat="1" x14ac:dyDescent="0.25">
      <c r="A296" s="405">
        <f>Données!A296</f>
        <v>5929</v>
      </c>
      <c r="B296" s="409" t="str">
        <f>Données!B296</f>
        <v>Suchy</v>
      </c>
      <c r="C296" s="407">
        <f>VPI!Q296</f>
        <v>70</v>
      </c>
      <c r="D296" s="412">
        <f>Données!Z296</f>
        <v>656</v>
      </c>
      <c r="E296" s="180">
        <f>VPI!R296</f>
        <v>19817.928233868191</v>
      </c>
      <c r="F296" s="317">
        <f>'Péréquation directe'!K302</f>
        <v>79425.822506839933</v>
      </c>
      <c r="G296" s="330">
        <f>PCS!I302</f>
        <v>337360.89613798511</v>
      </c>
      <c r="H296" s="347">
        <f>'Facture policière'!L296</f>
        <v>25631.720623856607</v>
      </c>
      <c r="I296" s="464">
        <f t="shared" si="4"/>
        <v>442418.43926868163</v>
      </c>
      <c r="J296" s="182"/>
    </row>
    <row r="297" spans="1:10" s="87" customFormat="1" x14ac:dyDescent="0.25">
      <c r="A297" s="405">
        <f>Données!A297</f>
        <v>5930</v>
      </c>
      <c r="B297" s="409" t="str">
        <f>Données!B297</f>
        <v>Suscévaz</v>
      </c>
      <c r="C297" s="407">
        <f>VPI!Q297</f>
        <v>72</v>
      </c>
      <c r="D297" s="412">
        <f>Données!Z297</f>
        <v>204</v>
      </c>
      <c r="E297" s="180">
        <f>VPI!R297</f>
        <v>5767.7688822867358</v>
      </c>
      <c r="F297" s="317">
        <f>'Péréquation directe'!K303</f>
        <v>-24947.021481807562</v>
      </c>
      <c r="G297" s="330">
        <f>PCS!I303</f>
        <v>86730.629515236898</v>
      </c>
      <c r="H297" s="347">
        <f>'Facture policière'!L297</f>
        <v>7459.8030061031932</v>
      </c>
      <c r="I297" s="464">
        <f t="shared" si="4"/>
        <v>69243.411039532526</v>
      </c>
      <c r="J297" s="182"/>
    </row>
    <row r="298" spans="1:10" s="87" customFormat="1" x14ac:dyDescent="0.25">
      <c r="A298" s="405">
        <f>Données!A298</f>
        <v>5931</v>
      </c>
      <c r="B298" s="409" t="str">
        <f>Données!B298</f>
        <v>Treycovagnes</v>
      </c>
      <c r="C298" s="407">
        <f>VPI!Q298</f>
        <v>75</v>
      </c>
      <c r="D298" s="412">
        <f>Données!Z298</f>
        <v>485</v>
      </c>
      <c r="E298" s="180">
        <f>VPI!R298</f>
        <v>15378.452365711239</v>
      </c>
      <c r="F298" s="317">
        <f>'Péréquation directe'!K304</f>
        <v>44817.987502762902</v>
      </c>
      <c r="G298" s="330">
        <f>PCS!I304</f>
        <v>272322.80756278709</v>
      </c>
      <c r="H298" s="347">
        <f>'Facture policière'!L298</f>
        <v>19889.879003172638</v>
      </c>
      <c r="I298" s="464">
        <f t="shared" si="4"/>
        <v>337030.67406872264</v>
      </c>
      <c r="J298" s="182"/>
    </row>
    <row r="299" spans="1:10" s="87" customFormat="1" x14ac:dyDescent="0.25">
      <c r="A299" s="405">
        <f>Données!A299</f>
        <v>5932</v>
      </c>
      <c r="B299" s="409" t="str">
        <f>Données!B299</f>
        <v>Ursins</v>
      </c>
      <c r="C299" s="407">
        <f>VPI!Q299</f>
        <v>75</v>
      </c>
      <c r="D299" s="412">
        <f>Données!Z299</f>
        <v>238</v>
      </c>
      <c r="E299" s="180">
        <f>VPI!R299</f>
        <v>6819.2739438524613</v>
      </c>
      <c r="F299" s="317">
        <f>'Péréquation directe'!K305</f>
        <v>-14193.772412322403</v>
      </c>
      <c r="G299" s="330">
        <f>PCS!I305</f>
        <v>99563.00613911821</v>
      </c>
      <c r="H299" s="347">
        <f>'Facture policière'!L299</f>
        <v>21517.627076912271</v>
      </c>
      <c r="I299" s="464">
        <f t="shared" si="4"/>
        <v>106886.86080370808</v>
      </c>
      <c r="J299" s="182"/>
    </row>
    <row r="300" spans="1:10" s="87" customFormat="1" x14ac:dyDescent="0.25">
      <c r="A300" s="405">
        <f>Données!A300</f>
        <v>5933</v>
      </c>
      <c r="B300" s="409" t="str">
        <f>Données!B300</f>
        <v>Valeyres-sous-Montagny</v>
      </c>
      <c r="C300" s="407">
        <f>VPI!Q300</f>
        <v>70.5</v>
      </c>
      <c r="D300" s="412">
        <f>Données!Z300</f>
        <v>714</v>
      </c>
      <c r="E300" s="180">
        <f>VPI!R300</f>
        <v>22563.405559232429</v>
      </c>
      <c r="F300" s="317">
        <f>'Péréquation directe'!K306</f>
        <v>-49592.347180777229</v>
      </c>
      <c r="G300" s="330">
        <f>PCS!I306</f>
        <v>366258.79689777159</v>
      </c>
      <c r="H300" s="347">
        <f>'Facture policière'!L300</f>
        <v>70835.397451530705</v>
      </c>
      <c r="I300" s="464">
        <f t="shared" si="4"/>
        <v>387501.8471685251</v>
      </c>
      <c r="J300" s="182"/>
    </row>
    <row r="301" spans="1:10" s="87" customFormat="1" x14ac:dyDescent="0.25">
      <c r="A301" s="405">
        <f>Données!A301</f>
        <v>5934</v>
      </c>
      <c r="B301" s="409" t="str">
        <f>Données!B301</f>
        <v>Valeyres-sous-Ursins</v>
      </c>
      <c r="C301" s="407">
        <f>VPI!Q301</f>
        <v>79</v>
      </c>
      <c r="D301" s="412">
        <f>Données!Z301</f>
        <v>241</v>
      </c>
      <c r="E301" s="180">
        <f>VPI!R301</f>
        <v>7577.6382278481005</v>
      </c>
      <c r="F301" s="317">
        <f>'Péréquation directe'!K307</f>
        <v>21151.974815173759</v>
      </c>
      <c r="G301" s="330">
        <f>PCS!I307</f>
        <v>128508.59334917724</v>
      </c>
      <c r="H301" s="347">
        <f>'Facture policière'!L301</f>
        <v>24209.234303999248</v>
      </c>
      <c r="I301" s="464">
        <f t="shared" si="4"/>
        <v>173869.80246835024</v>
      </c>
      <c r="J301" s="182"/>
    </row>
    <row r="302" spans="1:10" s="87" customFormat="1" x14ac:dyDescent="0.25">
      <c r="A302" s="405">
        <f>Données!A302</f>
        <v>5935</v>
      </c>
      <c r="B302" s="409" t="str">
        <f>Données!B302</f>
        <v>Villars-Epeney</v>
      </c>
      <c r="C302" s="407">
        <f>VPI!Q302</f>
        <v>60</v>
      </c>
      <c r="D302" s="412">
        <f>Données!Z302</f>
        <v>101</v>
      </c>
      <c r="E302" s="180">
        <f>VPI!R302</f>
        <v>3928.0620213791694</v>
      </c>
      <c r="F302" s="317">
        <f>'Péréquation directe'!K308</f>
        <v>47012.981619847298</v>
      </c>
      <c r="G302" s="330">
        <f>PCS!I308</f>
        <v>71772.255927794962</v>
      </c>
      <c r="H302" s="347">
        <f>'Facture policière'!L302</f>
        <v>12281.889989159423</v>
      </c>
      <c r="I302" s="464">
        <f t="shared" si="4"/>
        <v>131067.12753680168</v>
      </c>
      <c r="J302" s="182"/>
    </row>
    <row r="303" spans="1:10" s="87" customFormat="1" x14ac:dyDescent="0.25">
      <c r="A303" s="405">
        <f>Données!A303</f>
        <v>5937</v>
      </c>
      <c r="B303" s="409" t="str">
        <f>Données!B303</f>
        <v>Vugelles-La Mothe</v>
      </c>
      <c r="C303" s="407">
        <f>VPI!Q303</f>
        <v>70</v>
      </c>
      <c r="D303" s="412">
        <f>Données!Z303</f>
        <v>138</v>
      </c>
      <c r="E303" s="180">
        <f>VPI!R303</f>
        <v>3185.9394172567995</v>
      </c>
      <c r="F303" s="317">
        <f>'Péréquation directe'!K309</f>
        <v>-41937.600995616369</v>
      </c>
      <c r="G303" s="330">
        <f>PCS!I309</f>
        <v>54552.341070277624</v>
      </c>
      <c r="H303" s="347">
        <f>'Facture policière'!L303</f>
        <v>10035.211543241869</v>
      </c>
      <c r="I303" s="464">
        <f t="shared" si="4"/>
        <v>22649.951617903123</v>
      </c>
      <c r="J303" s="182"/>
    </row>
    <row r="304" spans="1:10" s="87" customFormat="1" x14ac:dyDescent="0.25">
      <c r="A304" s="405">
        <f>Données!A304</f>
        <v>5938</v>
      </c>
      <c r="B304" s="409" t="str">
        <f>Données!B304</f>
        <v>Yverdon-les-Bains</v>
      </c>
      <c r="C304" s="407">
        <f>VPI!Q304</f>
        <v>75</v>
      </c>
      <c r="D304" s="412">
        <f>Données!Z304</f>
        <v>29981</v>
      </c>
      <c r="E304" s="180">
        <f>VPI!R304</f>
        <v>794891.37980729085</v>
      </c>
      <c r="F304" s="317">
        <f>'Péréquation directe'!K310</f>
        <v>-32348019.383975025</v>
      </c>
      <c r="G304" s="330">
        <f>PCS!I310</f>
        <v>14998465.624360442</v>
      </c>
      <c r="H304" s="347">
        <f>'Facture policière'!L304</f>
        <v>1028080.9140641214</v>
      </c>
      <c r="I304" s="464">
        <f t="shared" si="4"/>
        <v>-16321472.845550463</v>
      </c>
      <c r="J304" s="182"/>
    </row>
    <row r="305" spans="1:10" s="87" customFormat="1" x14ac:dyDescent="0.25">
      <c r="A305" s="406">
        <f>Données!A305</f>
        <v>5939</v>
      </c>
      <c r="B305" s="410" t="str">
        <f>Données!B305</f>
        <v>Yvonand</v>
      </c>
      <c r="C305" s="407">
        <f>VPI!Q305</f>
        <v>71.5</v>
      </c>
      <c r="D305" s="413">
        <f>Données!Z305</f>
        <v>3467</v>
      </c>
      <c r="E305" s="180">
        <f>VPI!R305</f>
        <v>92828.645169819079</v>
      </c>
      <c r="F305" s="337">
        <f>'Péréquation directe'!K311</f>
        <v>-1236187.5321574206</v>
      </c>
      <c r="G305" s="527">
        <f>PCS!I311</f>
        <v>1715164.549063236</v>
      </c>
      <c r="H305" s="348">
        <f>'Facture policière'!L305</f>
        <v>289720.63304200745</v>
      </c>
      <c r="I305" s="490">
        <f t="shared" si="4"/>
        <v>768697.64994782279</v>
      </c>
      <c r="J305" s="182"/>
    </row>
    <row r="306" spans="1:10" x14ac:dyDescent="0.25">
      <c r="A306" s="208"/>
      <c r="B306" s="408">
        <f>COUNTA(B6:B305)</f>
        <v>300</v>
      </c>
      <c r="C306" s="418">
        <f>VPI!Q306</f>
        <v>67.569303017074205</v>
      </c>
      <c r="D306" s="419">
        <f>SUM(D6:D305)</f>
        <v>815300</v>
      </c>
      <c r="E306" s="419">
        <f>SUM(E6:E305)</f>
        <v>37643741.933631986</v>
      </c>
      <c r="F306" s="485">
        <f>ROUND(SUM(F6:F305),5)</f>
        <v>450000</v>
      </c>
      <c r="G306" s="486">
        <f>ROUND(SUM(G6:G305),5)</f>
        <v>810939700</v>
      </c>
      <c r="H306" s="487">
        <f>ROUND(SUM(H6:H305),5)</f>
        <v>71025442</v>
      </c>
      <c r="I306" s="488">
        <f>SUM(I6:I305)</f>
        <v>882415142.0000006</v>
      </c>
    </row>
    <row r="307" spans="1:10" x14ac:dyDescent="0.25">
      <c r="D307" s="11"/>
      <c r="E307" s="11"/>
      <c r="G307" s="5"/>
      <c r="H307" s="5"/>
      <c r="I307" s="5"/>
      <c r="J307" s="5"/>
    </row>
    <row r="308" spans="1:10" x14ac:dyDescent="0.25">
      <c r="G308" s="5"/>
      <c r="H308" s="5"/>
      <c r="I308" s="5"/>
      <c r="J308" s="5"/>
    </row>
  </sheetData>
  <sheetProtection sheet="1" objects="1" scenarios="1"/>
  <mergeCells count="9">
    <mergeCell ref="B4:B5"/>
    <mergeCell ref="A4:A5"/>
    <mergeCell ref="H4:H5"/>
    <mergeCell ref="I4:I5"/>
    <mergeCell ref="F4:F5"/>
    <mergeCell ref="E4:E5"/>
    <mergeCell ref="D4:D5"/>
    <mergeCell ref="G4:G5"/>
    <mergeCell ref="C4:C5"/>
  </mergeCells>
  <phoneticPr fontId="0" type="noConversion"/>
  <conditionalFormatting sqref="F306">
    <cfRule type="cellIs" dxfId="2" priority="1" operator="equal">
      <formula>450000</formula>
    </cfRule>
  </conditionalFormatting>
  <hyperlinks>
    <hyperlink ref="D1" location="'Table des matières'!A1" display="Table des matières" xr:uid="{090680B4-EB0E-4E15-8AAA-D0F34968B211}"/>
    <hyperlink ref="C1" location="'Facture policière'!A1" display="← Précédent" xr:uid="{64470B6D-289A-4292-A2C1-B49B6B7BEF3C}"/>
    <hyperlink ref="E1" location="'Décompte vs acomptes'!A1" display="Suivant →" xr:uid="{272CB11A-40D6-45B0-BD95-5E8B832019FD}"/>
  </hyperlink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6" operator="equal" id="{22D5F1E9-3566-45DB-B374-CBC4C9778E66}">
            <xm:f>Paramètres!$B$15</xm:f>
            <x14:dxf>
              <fill>
                <patternFill>
                  <bgColor rgb="FF00B050"/>
                </patternFill>
              </fill>
            </x14:dxf>
          </x14:cfRule>
          <xm:sqref>G306</xm:sqref>
        </x14:conditionalFormatting>
        <x14:conditionalFormatting xmlns:xm="http://schemas.microsoft.com/office/excel/2006/main">
          <x14:cfRule type="cellIs" priority="5" operator="equal" id="{B3933958-71B3-4AD2-B33A-F05BD16E4DE8}">
            <xm:f>Paramètres!$B$55</xm:f>
            <x14:dxf>
              <fill>
                <patternFill>
                  <bgColor rgb="FF00B050"/>
                </patternFill>
              </fill>
            </x14:dxf>
          </x14:cfRule>
          <xm:sqref>H306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theme="3" tint="0.59999389629810485"/>
  </sheetPr>
  <dimension ref="A1:W310"/>
  <sheetViews>
    <sheetView workbookViewId="0"/>
  </sheetViews>
  <sheetFormatPr baseColWidth="10" defaultColWidth="11" defaultRowHeight="12.75" x14ac:dyDescent="0.2"/>
  <cols>
    <col min="1" max="1" width="11" style="268"/>
    <col min="2" max="2" width="26.375" style="268" customWidth="1"/>
    <col min="3" max="11" width="12.25" style="268" customWidth="1"/>
    <col min="12" max="12" width="15" style="267" bestFit="1" customWidth="1"/>
    <col min="13" max="13" width="11.125" style="267" bestFit="1" customWidth="1"/>
    <col min="14" max="14" width="15" style="267" bestFit="1" customWidth="1"/>
    <col min="15" max="15" width="11.125" style="267" bestFit="1" customWidth="1"/>
    <col min="16" max="16" width="14" style="267" bestFit="1" customWidth="1"/>
    <col min="17" max="17" width="11.125" style="267" bestFit="1" customWidth="1"/>
    <col min="18" max="18" width="14" style="267" bestFit="1" customWidth="1"/>
    <col min="19" max="19" width="11.125" style="267" bestFit="1" customWidth="1"/>
    <col min="20" max="20" width="13" style="267" bestFit="1" customWidth="1"/>
    <col min="21" max="21" width="11.125" style="267" bestFit="1" customWidth="1"/>
    <col min="22" max="22" width="13" style="267" bestFit="1" customWidth="1"/>
    <col min="23" max="23" width="11.125" style="267" bestFit="1" customWidth="1"/>
    <col min="24" max="16384" width="11" style="268"/>
  </cols>
  <sheetData>
    <row r="1" spans="1:11" s="267" customFormat="1" ht="27" customHeight="1" x14ac:dyDescent="0.2">
      <c r="A1" s="299" t="s">
        <v>408</v>
      </c>
      <c r="B1" s="300"/>
      <c r="C1" s="415" t="s">
        <v>409</v>
      </c>
      <c r="D1" s="315" t="s">
        <v>401</v>
      </c>
      <c r="E1" s="439"/>
      <c r="F1" s="34"/>
      <c r="G1" s="222"/>
      <c r="H1" s="222"/>
      <c r="I1" s="34"/>
      <c r="J1" s="222"/>
      <c r="K1" s="222"/>
    </row>
    <row r="2" spans="1:11" s="267" customFormat="1" ht="21" x14ac:dyDescent="0.2">
      <c r="A2" s="361"/>
      <c r="B2" s="33"/>
      <c r="C2" s="261"/>
      <c r="D2" s="262"/>
      <c r="E2" s="262"/>
      <c r="F2" s="34"/>
      <c r="G2" s="222"/>
      <c r="H2" s="222"/>
      <c r="I2" s="34"/>
      <c r="J2" s="222"/>
      <c r="K2" s="222"/>
    </row>
    <row r="3" spans="1:11" s="267" customFormat="1" ht="15" x14ac:dyDescent="0.2">
      <c r="A3"/>
      <c r="B3" s="34"/>
      <c r="C3" s="34"/>
      <c r="D3" s="34"/>
      <c r="E3" s="34"/>
      <c r="F3" s="34"/>
      <c r="G3" s="34"/>
      <c r="H3" s="34"/>
      <c r="I3" s="34"/>
      <c r="J3" s="34"/>
      <c r="K3" s="34"/>
    </row>
    <row r="4" spans="1:11" s="267" customFormat="1" ht="31.5" customHeight="1" x14ac:dyDescent="0.2">
      <c r="A4" s="606" t="s">
        <v>44</v>
      </c>
      <c r="B4" s="667" t="s">
        <v>393</v>
      </c>
      <c r="C4" s="669" t="s">
        <v>397</v>
      </c>
      <c r="D4" s="670"/>
      <c r="E4" s="671"/>
      <c r="F4" s="672" t="s">
        <v>394</v>
      </c>
      <c r="G4" s="672"/>
      <c r="H4" s="673"/>
      <c r="I4" s="665" t="s">
        <v>414</v>
      </c>
      <c r="J4" s="665"/>
      <c r="K4" s="666"/>
    </row>
    <row r="5" spans="1:11" s="267" customFormat="1" ht="15" x14ac:dyDescent="0.2">
      <c r="A5" s="607"/>
      <c r="B5" s="668"/>
      <c r="C5" s="322" t="s">
        <v>395</v>
      </c>
      <c r="D5" s="491" t="s">
        <v>396</v>
      </c>
      <c r="E5" s="491" t="s">
        <v>539</v>
      </c>
      <c r="F5" s="495" t="s">
        <v>395</v>
      </c>
      <c r="G5" s="496" t="s">
        <v>396</v>
      </c>
      <c r="H5" s="496" t="s">
        <v>539</v>
      </c>
      <c r="I5" s="499" t="s">
        <v>395</v>
      </c>
      <c r="J5" s="500" t="s">
        <v>396</v>
      </c>
      <c r="K5" s="500" t="s">
        <v>539</v>
      </c>
    </row>
    <row r="6" spans="1:11" s="267" customFormat="1" ht="15" x14ac:dyDescent="0.25">
      <c r="A6" s="86">
        <f>Données!A6</f>
        <v>5401</v>
      </c>
      <c r="B6" s="409" t="str">
        <f>Données!B6</f>
        <v>Aigle</v>
      </c>
      <c r="C6" s="264">
        <f>Synthèse!G6</f>
        <v>5242465.4664148707</v>
      </c>
      <c r="D6" s="492" t="s">
        <v>540</v>
      </c>
      <c r="E6" s="493" t="s">
        <v>540</v>
      </c>
      <c r="F6" s="263">
        <f>Synthèse!F6</f>
        <v>-6703272.993908369</v>
      </c>
      <c r="G6" s="497" t="s">
        <v>540</v>
      </c>
      <c r="H6" s="497" t="s">
        <v>540</v>
      </c>
      <c r="I6" s="264">
        <f>Synthèse!H6</f>
        <v>367259.43443525274</v>
      </c>
      <c r="J6" s="501" t="s">
        <v>540</v>
      </c>
      <c r="K6" s="501" t="s">
        <v>540</v>
      </c>
    </row>
    <row r="7" spans="1:11" s="267" customFormat="1" ht="15" x14ac:dyDescent="0.25">
      <c r="A7" s="86">
        <f>Données!A7</f>
        <v>5402</v>
      </c>
      <c r="B7" s="409" t="str">
        <f>Données!B7</f>
        <v>Bex</v>
      </c>
      <c r="C7" s="264">
        <f>Synthèse!G7</f>
        <v>3231029.6252428126</v>
      </c>
      <c r="D7" s="492" t="s">
        <v>540</v>
      </c>
      <c r="E7" s="493" t="s">
        <v>540</v>
      </c>
      <c r="F7" s="263">
        <f>Synthèse!F7</f>
        <v>-5797488.9742594687</v>
      </c>
      <c r="G7" s="497" t="s">
        <v>540</v>
      </c>
      <c r="H7" s="497" t="s">
        <v>540</v>
      </c>
      <c r="I7" s="264">
        <f>Synthèse!H7</f>
        <v>231437.04557181426</v>
      </c>
      <c r="J7" s="501" t="s">
        <v>540</v>
      </c>
      <c r="K7" s="501" t="s">
        <v>540</v>
      </c>
    </row>
    <row r="8" spans="1:11" s="267" customFormat="1" ht="15" x14ac:dyDescent="0.25">
      <c r="A8" s="86">
        <f>Données!A8</f>
        <v>5403</v>
      </c>
      <c r="B8" s="409" t="str">
        <f>Données!B8</f>
        <v>Chessel</v>
      </c>
      <c r="C8" s="264">
        <f>Synthèse!G8</f>
        <v>216364.31626166109</v>
      </c>
      <c r="D8" s="492" t="s">
        <v>540</v>
      </c>
      <c r="E8" s="493" t="s">
        <v>540</v>
      </c>
      <c r="F8" s="263">
        <f>Synthèse!F8</f>
        <v>-76698.041396673128</v>
      </c>
      <c r="G8" s="497" t="s">
        <v>540</v>
      </c>
      <c r="H8" s="497" t="s">
        <v>540</v>
      </c>
      <c r="I8" s="264">
        <f>Synthèse!H8</f>
        <v>33128.989408220892</v>
      </c>
      <c r="J8" s="501" t="s">
        <v>540</v>
      </c>
      <c r="K8" s="501" t="s">
        <v>540</v>
      </c>
    </row>
    <row r="9" spans="1:11" s="267" customFormat="1" ht="15" x14ac:dyDescent="0.25">
      <c r="A9" s="86">
        <f>Données!A9</f>
        <v>5404</v>
      </c>
      <c r="B9" s="409" t="str">
        <f>Données!B9</f>
        <v>Corbeyrier</v>
      </c>
      <c r="C9" s="264">
        <f>Synthèse!G9</f>
        <v>224900.53210058011</v>
      </c>
      <c r="D9" s="492" t="s">
        <v>540</v>
      </c>
      <c r="E9" s="493" t="s">
        <v>540</v>
      </c>
      <c r="F9" s="263">
        <f>Synthèse!F9</f>
        <v>-174946.23227387224</v>
      </c>
      <c r="G9" s="497" t="s">
        <v>540</v>
      </c>
      <c r="H9" s="497" t="s">
        <v>540</v>
      </c>
      <c r="I9" s="264">
        <f>Synthèse!H9</f>
        <v>34631.765026765701</v>
      </c>
      <c r="J9" s="501" t="s">
        <v>540</v>
      </c>
      <c r="K9" s="501" t="s">
        <v>540</v>
      </c>
    </row>
    <row r="10" spans="1:11" s="267" customFormat="1" ht="15" x14ac:dyDescent="0.25">
      <c r="A10" s="86">
        <f>Données!A10</f>
        <v>5405</v>
      </c>
      <c r="B10" s="409" t="str">
        <f>Données!B10</f>
        <v>Gryon</v>
      </c>
      <c r="C10" s="264">
        <f>Synthèse!G10</f>
        <v>1485066.8139834227</v>
      </c>
      <c r="D10" s="492" t="s">
        <v>540</v>
      </c>
      <c r="E10" s="493" t="s">
        <v>540</v>
      </c>
      <c r="F10" s="263">
        <f>Synthèse!F10</f>
        <v>192392.73232259462</v>
      </c>
      <c r="G10" s="497" t="s">
        <v>540</v>
      </c>
      <c r="H10" s="497" t="s">
        <v>540</v>
      </c>
      <c r="I10" s="264">
        <f>Synthèse!H10</f>
        <v>205320.93062854599</v>
      </c>
      <c r="J10" s="501" t="s">
        <v>540</v>
      </c>
      <c r="K10" s="501" t="s">
        <v>540</v>
      </c>
    </row>
    <row r="11" spans="1:11" s="267" customFormat="1" ht="15" x14ac:dyDescent="0.25">
      <c r="A11" s="86">
        <f>Données!A11</f>
        <v>5406</v>
      </c>
      <c r="B11" s="409" t="str">
        <f>Données!B11</f>
        <v>Lavey-Morcles</v>
      </c>
      <c r="C11" s="264">
        <f>Synthèse!G11</f>
        <v>423883.55151723477</v>
      </c>
      <c r="D11" s="492" t="s">
        <v>540</v>
      </c>
      <c r="E11" s="493" t="s">
        <v>540</v>
      </c>
      <c r="F11" s="263">
        <f>Synthèse!F11</f>
        <v>-319956.52392409765</v>
      </c>
      <c r="G11" s="497" t="s">
        <v>540</v>
      </c>
      <c r="H11" s="497" t="s">
        <v>540</v>
      </c>
      <c r="I11" s="264">
        <f>Synthèse!H11</f>
        <v>67397.577960100229</v>
      </c>
      <c r="J11" s="501" t="s">
        <v>540</v>
      </c>
      <c r="K11" s="501" t="s">
        <v>540</v>
      </c>
    </row>
    <row r="12" spans="1:11" s="267" customFormat="1" ht="15" x14ac:dyDescent="0.25">
      <c r="A12" s="86">
        <f>Données!A12</f>
        <v>5407</v>
      </c>
      <c r="B12" s="409" t="str">
        <f>Données!B12</f>
        <v>Leysin</v>
      </c>
      <c r="C12" s="264">
        <f>Synthèse!G12</f>
        <v>1719121.0059753601</v>
      </c>
      <c r="D12" s="492" t="s">
        <v>540</v>
      </c>
      <c r="E12" s="493" t="s">
        <v>540</v>
      </c>
      <c r="F12" s="263">
        <f>Synthèse!F12</f>
        <v>-3002707.9744373988</v>
      </c>
      <c r="G12" s="497" t="s">
        <v>540</v>
      </c>
      <c r="H12" s="497" t="s">
        <v>540</v>
      </c>
      <c r="I12" s="264">
        <f>Synthèse!H12</f>
        <v>275880.78468802915</v>
      </c>
      <c r="J12" s="501" t="s">
        <v>540</v>
      </c>
      <c r="K12" s="501" t="s">
        <v>540</v>
      </c>
    </row>
    <row r="13" spans="1:11" s="267" customFormat="1" ht="15" x14ac:dyDescent="0.25">
      <c r="A13" s="86">
        <f>Données!A13</f>
        <v>5408</v>
      </c>
      <c r="B13" s="409" t="str">
        <f>Données!B13</f>
        <v>Noville</v>
      </c>
      <c r="C13" s="264">
        <f>Synthèse!G13</f>
        <v>791520.62295515393</v>
      </c>
      <c r="D13" s="492" t="s">
        <v>540</v>
      </c>
      <c r="E13" s="493" t="s">
        <v>540</v>
      </c>
      <c r="F13" s="263">
        <f>Synthèse!F13</f>
        <v>247902.80634150456</v>
      </c>
      <c r="G13" s="497" t="s">
        <v>540</v>
      </c>
      <c r="H13" s="497" t="s">
        <v>540</v>
      </c>
      <c r="I13" s="264">
        <f>Synthèse!H13</f>
        <v>134401.1745139077</v>
      </c>
      <c r="J13" s="501" t="s">
        <v>540</v>
      </c>
      <c r="K13" s="501" t="s">
        <v>540</v>
      </c>
    </row>
    <row r="14" spans="1:11" s="267" customFormat="1" ht="15" x14ac:dyDescent="0.25">
      <c r="A14" s="86">
        <f>Données!A14</f>
        <v>5409</v>
      </c>
      <c r="B14" s="409" t="str">
        <f>Données!B14</f>
        <v>Ollon</v>
      </c>
      <c r="C14" s="264">
        <f>Synthèse!G14</f>
        <v>7924303.2060555108</v>
      </c>
      <c r="D14" s="492" t="s">
        <v>540</v>
      </c>
      <c r="E14" s="493" t="s">
        <v>540</v>
      </c>
      <c r="F14" s="263">
        <f>Synthèse!F14</f>
        <v>1296358.9685021555</v>
      </c>
      <c r="G14" s="497" t="s">
        <v>540</v>
      </c>
      <c r="H14" s="497" t="s">
        <v>540</v>
      </c>
      <c r="I14" s="264">
        <f>Synthèse!H14</f>
        <v>503099.7048216018</v>
      </c>
      <c r="J14" s="501" t="s">
        <v>540</v>
      </c>
      <c r="K14" s="501" t="s">
        <v>540</v>
      </c>
    </row>
    <row r="15" spans="1:11" s="267" customFormat="1" ht="15" x14ac:dyDescent="0.25">
      <c r="A15" s="86">
        <f>Données!A15</f>
        <v>5410</v>
      </c>
      <c r="B15" s="409" t="str">
        <f>Données!B15</f>
        <v>Ormont-Dessous</v>
      </c>
      <c r="C15" s="264">
        <f>Synthèse!G15</f>
        <v>796542.14642458828</v>
      </c>
      <c r="D15" s="492" t="s">
        <v>540</v>
      </c>
      <c r="E15" s="493" t="s">
        <v>540</v>
      </c>
      <c r="F15" s="263">
        <f>Synthèse!F15</f>
        <v>-585574.93709300272</v>
      </c>
      <c r="G15" s="497" t="s">
        <v>540</v>
      </c>
      <c r="H15" s="497" t="s">
        <v>540</v>
      </c>
      <c r="I15" s="264">
        <f>Synthèse!H15</f>
        <v>119910.12020344642</v>
      </c>
      <c r="J15" s="501" t="s">
        <v>540</v>
      </c>
      <c r="K15" s="501" t="s">
        <v>540</v>
      </c>
    </row>
    <row r="16" spans="1:11" s="267" customFormat="1" ht="15" x14ac:dyDescent="0.25">
      <c r="A16" s="86">
        <f>Données!A16</f>
        <v>5411</v>
      </c>
      <c r="B16" s="409" t="str">
        <f>Données!B16</f>
        <v>Ormont-Dessus</v>
      </c>
      <c r="C16" s="264">
        <f>Synthèse!G16</f>
        <v>1461467.5269063266</v>
      </c>
      <c r="D16" s="492" t="s">
        <v>540</v>
      </c>
      <c r="E16" s="493" t="s">
        <v>540</v>
      </c>
      <c r="F16" s="263">
        <f>Synthèse!F16</f>
        <v>88591.652901988942</v>
      </c>
      <c r="G16" s="497" t="s">
        <v>540</v>
      </c>
      <c r="H16" s="497" t="s">
        <v>540</v>
      </c>
      <c r="I16" s="264">
        <f>Synthèse!H16</f>
        <v>202068.40214028442</v>
      </c>
      <c r="J16" s="501" t="s">
        <v>540</v>
      </c>
      <c r="K16" s="501" t="s">
        <v>540</v>
      </c>
    </row>
    <row r="17" spans="1:11" s="267" customFormat="1" ht="15" x14ac:dyDescent="0.25">
      <c r="A17" s="86">
        <f>Données!A17</f>
        <v>5412</v>
      </c>
      <c r="B17" s="409" t="str">
        <f>Données!B17</f>
        <v>Rennaz</v>
      </c>
      <c r="C17" s="264">
        <f>Synthèse!G17</f>
        <v>657071.50747431221</v>
      </c>
      <c r="D17" s="492" t="s">
        <v>540</v>
      </c>
      <c r="E17" s="493" t="s">
        <v>540</v>
      </c>
      <c r="F17" s="263">
        <f>Synthèse!F17</f>
        <v>-54307.997738743725</v>
      </c>
      <c r="G17" s="497" t="s">
        <v>540</v>
      </c>
      <c r="H17" s="497" t="s">
        <v>540</v>
      </c>
      <c r="I17" s="264">
        <f>Synthèse!H17</f>
        <v>72381.703665607987</v>
      </c>
      <c r="J17" s="501" t="s">
        <v>540</v>
      </c>
      <c r="K17" s="501" t="s">
        <v>540</v>
      </c>
    </row>
    <row r="18" spans="1:11" s="267" customFormat="1" ht="15" x14ac:dyDescent="0.25">
      <c r="A18" s="86">
        <f>Données!A18</f>
        <v>5413</v>
      </c>
      <c r="B18" s="409" t="str">
        <f>Données!B18</f>
        <v>Roche</v>
      </c>
      <c r="C18" s="264">
        <f>Synthèse!G18</f>
        <v>922903.41247738898</v>
      </c>
      <c r="D18" s="492" t="s">
        <v>540</v>
      </c>
      <c r="E18" s="493" t="s">
        <v>540</v>
      </c>
      <c r="F18" s="263">
        <f>Synthèse!F18</f>
        <v>-214387.67361201195</v>
      </c>
      <c r="G18" s="497" t="s">
        <v>540</v>
      </c>
      <c r="H18" s="497" t="s">
        <v>540</v>
      </c>
      <c r="I18" s="264">
        <f>Synthèse!H18</f>
        <v>148118.73348432482</v>
      </c>
      <c r="J18" s="501" t="s">
        <v>540</v>
      </c>
      <c r="K18" s="501" t="s">
        <v>540</v>
      </c>
    </row>
    <row r="19" spans="1:11" s="267" customFormat="1" ht="15" x14ac:dyDescent="0.25">
      <c r="A19" s="86">
        <f>Données!A19</f>
        <v>5414</v>
      </c>
      <c r="B19" s="409" t="str">
        <f>Données!B19</f>
        <v>Villeneuve</v>
      </c>
      <c r="C19" s="264">
        <f>Synthèse!G19</f>
        <v>3206008.0831986954</v>
      </c>
      <c r="D19" s="492" t="s">
        <v>540</v>
      </c>
      <c r="E19" s="493" t="s">
        <v>540</v>
      </c>
      <c r="F19" s="263">
        <f>Synthèse!F19</f>
        <v>-3705109.2820544061</v>
      </c>
      <c r="G19" s="497" t="s">
        <v>540</v>
      </c>
      <c r="H19" s="497" t="s">
        <v>540</v>
      </c>
      <c r="I19" s="264">
        <f>Synthèse!H19</f>
        <v>483082.67921021965</v>
      </c>
      <c r="J19" s="501" t="s">
        <v>540</v>
      </c>
      <c r="K19" s="501" t="s">
        <v>540</v>
      </c>
    </row>
    <row r="20" spans="1:11" s="267" customFormat="1" ht="15" x14ac:dyDescent="0.25">
      <c r="A20" s="86">
        <f>Données!A20</f>
        <v>5415</v>
      </c>
      <c r="B20" s="409" t="str">
        <f>Données!B20</f>
        <v>Yvorne</v>
      </c>
      <c r="C20" s="264">
        <f>Synthèse!G20</f>
        <v>740169.38698677777</v>
      </c>
      <c r="D20" s="492" t="s">
        <v>540</v>
      </c>
      <c r="E20" s="493" t="s">
        <v>540</v>
      </c>
      <c r="F20" s="263">
        <f>Synthèse!F20</f>
        <v>174261.76155256515</v>
      </c>
      <c r="G20" s="497" t="s">
        <v>540</v>
      </c>
      <c r="H20" s="497" t="s">
        <v>540</v>
      </c>
      <c r="I20" s="264">
        <f>Synthèse!H20</f>
        <v>118591.9081232376</v>
      </c>
      <c r="J20" s="501" t="s">
        <v>540</v>
      </c>
      <c r="K20" s="501" t="s">
        <v>540</v>
      </c>
    </row>
    <row r="21" spans="1:11" s="267" customFormat="1" ht="15" x14ac:dyDescent="0.25">
      <c r="A21" s="86">
        <f>Données!A21</f>
        <v>5422</v>
      </c>
      <c r="B21" s="409" t="str">
        <f>Données!B21</f>
        <v>Aubonne</v>
      </c>
      <c r="C21" s="264">
        <f>Synthèse!G21</f>
        <v>6122289.0859540235</v>
      </c>
      <c r="D21" s="492" t="s">
        <v>540</v>
      </c>
      <c r="E21" s="493" t="s">
        <v>540</v>
      </c>
      <c r="F21" s="263">
        <f>Synthèse!F21</f>
        <v>3728559.8654237133</v>
      </c>
      <c r="G21" s="497" t="s">
        <v>540</v>
      </c>
      <c r="H21" s="497" t="s">
        <v>540</v>
      </c>
      <c r="I21" s="264">
        <f>Synthèse!H21</f>
        <v>652554.24499014835</v>
      </c>
      <c r="J21" s="501" t="s">
        <v>540</v>
      </c>
      <c r="K21" s="501" t="s">
        <v>540</v>
      </c>
    </row>
    <row r="22" spans="1:11" s="267" customFormat="1" ht="15" x14ac:dyDescent="0.25">
      <c r="A22" s="86">
        <f>Données!A22</f>
        <v>5423</v>
      </c>
      <c r="B22" s="409" t="str">
        <f>Données!B22</f>
        <v>Ballens</v>
      </c>
      <c r="C22" s="264">
        <f>Synthèse!G22</f>
        <v>288667.18738306605</v>
      </c>
      <c r="D22" s="492" t="s">
        <v>540</v>
      </c>
      <c r="E22" s="493" t="s">
        <v>540</v>
      </c>
      <c r="F22" s="263">
        <f>Synthèse!F22</f>
        <v>-69632.45977488911</v>
      </c>
      <c r="G22" s="497" t="s">
        <v>540</v>
      </c>
      <c r="H22" s="497" t="s">
        <v>540</v>
      </c>
      <c r="I22" s="264">
        <f>Synthèse!H22</f>
        <v>54023.329669538842</v>
      </c>
      <c r="J22" s="501" t="s">
        <v>540</v>
      </c>
      <c r="K22" s="501" t="s">
        <v>540</v>
      </c>
    </row>
    <row r="23" spans="1:11" s="267" customFormat="1" ht="15" x14ac:dyDescent="0.25">
      <c r="A23" s="86">
        <f>Données!A23</f>
        <v>5424</v>
      </c>
      <c r="B23" s="409" t="str">
        <f>Données!B23</f>
        <v>Berolle</v>
      </c>
      <c r="C23" s="264">
        <f>Synthèse!G23</f>
        <v>155035.42709293289</v>
      </c>
      <c r="D23" s="492" t="s">
        <v>540</v>
      </c>
      <c r="E23" s="493" t="s">
        <v>540</v>
      </c>
      <c r="F23" s="263">
        <f>Synthèse!F23</f>
        <v>-32348.374050904415</v>
      </c>
      <c r="G23" s="497" t="s">
        <v>540</v>
      </c>
      <c r="H23" s="497" t="s">
        <v>540</v>
      </c>
      <c r="I23" s="264">
        <f>Synthèse!H23</f>
        <v>28661.82438029677</v>
      </c>
      <c r="J23" s="501" t="s">
        <v>540</v>
      </c>
      <c r="K23" s="501" t="s">
        <v>540</v>
      </c>
    </row>
    <row r="24" spans="1:11" s="267" customFormat="1" ht="15" x14ac:dyDescent="0.25">
      <c r="A24" s="86">
        <f>Données!A24</f>
        <v>5425</v>
      </c>
      <c r="B24" s="409" t="str">
        <f>Données!B24</f>
        <v>Bière</v>
      </c>
      <c r="C24" s="264">
        <f>Synthèse!G24</f>
        <v>729791.27281768748</v>
      </c>
      <c r="D24" s="492" t="s">
        <v>540</v>
      </c>
      <c r="E24" s="493" t="s">
        <v>540</v>
      </c>
      <c r="F24" s="263">
        <f>Synthèse!F24</f>
        <v>-834062.21192575817</v>
      </c>
      <c r="G24" s="497" t="s">
        <v>540</v>
      </c>
      <c r="H24" s="497" t="s">
        <v>540</v>
      </c>
      <c r="I24" s="264">
        <f>Synthèse!H24</f>
        <v>126557.00923295201</v>
      </c>
      <c r="J24" s="501" t="s">
        <v>540</v>
      </c>
      <c r="K24" s="501" t="s">
        <v>540</v>
      </c>
    </row>
    <row r="25" spans="1:11" s="267" customFormat="1" ht="15" x14ac:dyDescent="0.25">
      <c r="A25" s="86">
        <f>Données!A25</f>
        <v>5426</v>
      </c>
      <c r="B25" s="409" t="str">
        <f>Données!B25</f>
        <v>Bougy-Villars</v>
      </c>
      <c r="C25" s="264">
        <f>Synthèse!G25</f>
        <v>1797524.0274296328</v>
      </c>
      <c r="D25" s="492" t="s">
        <v>540</v>
      </c>
      <c r="E25" s="493" t="s">
        <v>540</v>
      </c>
      <c r="F25" s="263">
        <f>Synthèse!F25</f>
        <v>1005987.6425808088</v>
      </c>
      <c r="G25" s="497" t="s">
        <v>540</v>
      </c>
      <c r="H25" s="497" t="s">
        <v>540</v>
      </c>
      <c r="I25" s="264">
        <f>Synthèse!H25</f>
        <v>112463.75040766173</v>
      </c>
      <c r="J25" s="501" t="s">
        <v>540</v>
      </c>
      <c r="K25" s="501" t="s">
        <v>540</v>
      </c>
    </row>
    <row r="26" spans="1:11" s="267" customFormat="1" ht="15" x14ac:dyDescent="0.25">
      <c r="A26" s="86">
        <f>Données!A26</f>
        <v>5427</v>
      </c>
      <c r="B26" s="409" t="str">
        <f>Données!B26</f>
        <v>Féchy</v>
      </c>
      <c r="C26" s="264">
        <f>Synthèse!G26</f>
        <v>1991124.6538460574</v>
      </c>
      <c r="D26" s="492" t="s">
        <v>540</v>
      </c>
      <c r="E26" s="493" t="s">
        <v>540</v>
      </c>
      <c r="F26" s="263">
        <f>Synthèse!F26</f>
        <v>1367390.303785661</v>
      </c>
      <c r="G26" s="497" t="s">
        <v>540</v>
      </c>
      <c r="H26" s="497" t="s">
        <v>540</v>
      </c>
      <c r="I26" s="264">
        <f>Synthèse!H26</f>
        <v>173470.10905935982</v>
      </c>
      <c r="J26" s="501" t="s">
        <v>540</v>
      </c>
      <c r="K26" s="501" t="s">
        <v>540</v>
      </c>
    </row>
    <row r="27" spans="1:11" s="267" customFormat="1" ht="15" x14ac:dyDescent="0.25">
      <c r="A27" s="86">
        <f>Données!A27</f>
        <v>5428</v>
      </c>
      <c r="B27" s="409" t="str">
        <f>Données!B27</f>
        <v>Gimel</v>
      </c>
      <c r="C27" s="264">
        <f>Synthèse!G27</f>
        <v>1517092.4699799786</v>
      </c>
      <c r="D27" s="492" t="s">
        <v>540</v>
      </c>
      <c r="E27" s="493" t="s">
        <v>540</v>
      </c>
      <c r="F27" s="263">
        <f>Synthèse!F27</f>
        <v>-291406.38345688232</v>
      </c>
      <c r="G27" s="497" t="s">
        <v>540</v>
      </c>
      <c r="H27" s="497" t="s">
        <v>540</v>
      </c>
      <c r="I27" s="264">
        <f>Synthèse!H27</f>
        <v>220404.90305601398</v>
      </c>
      <c r="J27" s="501" t="s">
        <v>540</v>
      </c>
      <c r="K27" s="501" t="s">
        <v>540</v>
      </c>
    </row>
    <row r="28" spans="1:11" s="267" customFormat="1" ht="15" x14ac:dyDescent="0.25">
      <c r="A28" s="86">
        <f>Données!A28</f>
        <v>5429</v>
      </c>
      <c r="B28" s="409" t="str">
        <f>Données!B28</f>
        <v>Longirod</v>
      </c>
      <c r="C28" s="264">
        <f>Synthèse!G28</f>
        <v>282272.58096702071</v>
      </c>
      <c r="D28" s="492" t="s">
        <v>540</v>
      </c>
      <c r="E28" s="493" t="s">
        <v>540</v>
      </c>
      <c r="F28" s="263">
        <f>Synthèse!F28</f>
        <v>-35055.121151518193</v>
      </c>
      <c r="G28" s="497" t="s">
        <v>540</v>
      </c>
      <c r="H28" s="497" t="s">
        <v>540</v>
      </c>
      <c r="I28" s="264">
        <f>Synthèse!H28</f>
        <v>50414.881510302985</v>
      </c>
      <c r="J28" s="501" t="s">
        <v>540</v>
      </c>
      <c r="K28" s="501" t="s">
        <v>540</v>
      </c>
    </row>
    <row r="29" spans="1:11" s="267" customFormat="1" ht="15" x14ac:dyDescent="0.25">
      <c r="A29" s="86">
        <f>Données!A29</f>
        <v>5430</v>
      </c>
      <c r="B29" s="409" t="str">
        <f>Données!B29</f>
        <v>Marchissy</v>
      </c>
      <c r="C29" s="264">
        <f>Synthèse!G29</f>
        <v>260750.61810218601</v>
      </c>
      <c r="D29" s="492" t="s">
        <v>540</v>
      </c>
      <c r="E29" s="493" t="s">
        <v>540</v>
      </c>
      <c r="F29" s="263">
        <f>Synthèse!F29</f>
        <v>-319837.57184691541</v>
      </c>
      <c r="G29" s="497" t="s">
        <v>540</v>
      </c>
      <c r="H29" s="497" t="s">
        <v>540</v>
      </c>
      <c r="I29" s="264">
        <f>Synthèse!H29</f>
        <v>46452.486838864905</v>
      </c>
      <c r="J29" s="501" t="s">
        <v>540</v>
      </c>
      <c r="K29" s="501" t="s">
        <v>540</v>
      </c>
    </row>
    <row r="30" spans="1:11" s="267" customFormat="1" ht="15" x14ac:dyDescent="0.25">
      <c r="A30" s="86">
        <f>Données!A30</f>
        <v>5431</v>
      </c>
      <c r="B30" s="409" t="str">
        <f>Données!B30</f>
        <v>Mollens</v>
      </c>
      <c r="C30" s="264">
        <f>Synthèse!G30</f>
        <v>222922.95040311391</v>
      </c>
      <c r="D30" s="492" t="s">
        <v>540</v>
      </c>
      <c r="E30" s="493" t="s">
        <v>540</v>
      </c>
      <c r="F30" s="263">
        <f>Synthèse!F30</f>
        <v>-65470.344534831587</v>
      </c>
      <c r="G30" s="497" t="s">
        <v>540</v>
      </c>
      <c r="H30" s="497" t="s">
        <v>540</v>
      </c>
      <c r="I30" s="264">
        <f>Synthèse!H30</f>
        <v>29328.741340773428</v>
      </c>
      <c r="J30" s="501" t="s">
        <v>540</v>
      </c>
      <c r="K30" s="501" t="s">
        <v>540</v>
      </c>
    </row>
    <row r="31" spans="1:11" s="267" customFormat="1" ht="15" x14ac:dyDescent="0.25">
      <c r="A31" s="86">
        <f>Données!A31</f>
        <v>5434</v>
      </c>
      <c r="B31" s="409" t="str">
        <f>Données!B31</f>
        <v>Saint-George</v>
      </c>
      <c r="C31" s="264">
        <f>Synthèse!G31</f>
        <v>710604.82244556118</v>
      </c>
      <c r="D31" s="492" t="s">
        <v>540</v>
      </c>
      <c r="E31" s="493" t="s">
        <v>540</v>
      </c>
      <c r="F31" s="263">
        <f>Synthèse!F31</f>
        <v>406978.94625167584</v>
      </c>
      <c r="G31" s="497" t="s">
        <v>540</v>
      </c>
      <c r="H31" s="497" t="s">
        <v>540</v>
      </c>
      <c r="I31" s="264">
        <f>Synthèse!H31</f>
        <v>127508.55538594126</v>
      </c>
      <c r="J31" s="501" t="s">
        <v>540</v>
      </c>
      <c r="K31" s="501" t="s">
        <v>540</v>
      </c>
    </row>
    <row r="32" spans="1:11" s="267" customFormat="1" ht="15" x14ac:dyDescent="0.25">
      <c r="A32" s="86">
        <f>Données!A32</f>
        <v>5435</v>
      </c>
      <c r="B32" s="409" t="str">
        <f>Données!B32</f>
        <v>Saint-Livres</v>
      </c>
      <c r="C32" s="264">
        <f>Synthèse!G32</f>
        <v>454252.25768077187</v>
      </c>
      <c r="D32" s="492" t="s">
        <v>540</v>
      </c>
      <c r="E32" s="493" t="s">
        <v>540</v>
      </c>
      <c r="F32" s="263">
        <f>Synthèse!F32</f>
        <v>280432.95334485662</v>
      </c>
      <c r="G32" s="497" t="s">
        <v>540</v>
      </c>
      <c r="H32" s="497" t="s">
        <v>540</v>
      </c>
      <c r="I32" s="264">
        <f>Synthèse!H32</f>
        <v>83092.100472107675</v>
      </c>
      <c r="J32" s="501" t="s">
        <v>540</v>
      </c>
      <c r="K32" s="501" t="s">
        <v>540</v>
      </c>
    </row>
    <row r="33" spans="1:11" s="267" customFormat="1" ht="15" x14ac:dyDescent="0.25">
      <c r="A33" s="86">
        <f>Données!A33</f>
        <v>5436</v>
      </c>
      <c r="B33" s="409" t="str">
        <f>Données!B33</f>
        <v>Saint-Oyens</v>
      </c>
      <c r="C33" s="264">
        <f>Synthèse!G33</f>
        <v>275518.99826225184</v>
      </c>
      <c r="D33" s="492" t="s">
        <v>540</v>
      </c>
      <c r="E33" s="493" t="s">
        <v>540</v>
      </c>
      <c r="F33" s="263">
        <f>Synthèse!F33</f>
        <v>144976.36115026832</v>
      </c>
      <c r="G33" s="497" t="s">
        <v>540</v>
      </c>
      <c r="H33" s="497" t="s">
        <v>540</v>
      </c>
      <c r="I33" s="264">
        <f>Synthèse!H33</f>
        <v>53019.228806817497</v>
      </c>
      <c r="J33" s="501" t="s">
        <v>540</v>
      </c>
      <c r="K33" s="501" t="s">
        <v>540</v>
      </c>
    </row>
    <row r="34" spans="1:11" s="267" customFormat="1" ht="15" x14ac:dyDescent="0.25">
      <c r="A34" s="86">
        <f>Données!A34</f>
        <v>5437</v>
      </c>
      <c r="B34" s="409" t="str">
        <f>Données!B34</f>
        <v>Saubraz</v>
      </c>
      <c r="C34" s="264">
        <f>Synthèse!G34</f>
        <v>249107.48338628683</v>
      </c>
      <c r="D34" s="492" t="s">
        <v>540</v>
      </c>
      <c r="E34" s="493" t="s">
        <v>540</v>
      </c>
      <c r="F34" s="263">
        <f>Synthèse!F34</f>
        <v>31510.625403960265</v>
      </c>
      <c r="G34" s="497" t="s">
        <v>540</v>
      </c>
      <c r="H34" s="497" t="s">
        <v>540</v>
      </c>
      <c r="I34" s="264">
        <f>Synthèse!H34</f>
        <v>42316.044097670157</v>
      </c>
      <c r="J34" s="501" t="s">
        <v>540</v>
      </c>
      <c r="K34" s="501" t="s">
        <v>540</v>
      </c>
    </row>
    <row r="35" spans="1:11" s="267" customFormat="1" ht="15" x14ac:dyDescent="0.25">
      <c r="A35" s="86">
        <f>Données!A35</f>
        <v>5451</v>
      </c>
      <c r="B35" s="409" t="str">
        <f>Données!B35</f>
        <v>Avenches</v>
      </c>
      <c r="C35" s="264">
        <f>Synthèse!G35</f>
        <v>2355854.8104043007</v>
      </c>
      <c r="D35" s="492" t="s">
        <v>540</v>
      </c>
      <c r="E35" s="493" t="s">
        <v>540</v>
      </c>
      <c r="F35" s="263">
        <f>Synthèse!F35</f>
        <v>-1833852.434519581</v>
      </c>
      <c r="G35" s="497" t="s">
        <v>540</v>
      </c>
      <c r="H35" s="497" t="s">
        <v>540</v>
      </c>
      <c r="I35" s="264">
        <f>Synthèse!H35</f>
        <v>390274.70574682317</v>
      </c>
      <c r="J35" s="501" t="s">
        <v>540</v>
      </c>
      <c r="K35" s="501" t="s">
        <v>540</v>
      </c>
    </row>
    <row r="36" spans="1:11" s="267" customFormat="1" ht="15" x14ac:dyDescent="0.25">
      <c r="A36" s="86">
        <f>Données!A36</f>
        <v>5456</v>
      </c>
      <c r="B36" s="409" t="str">
        <f>Données!B36</f>
        <v>Cudrefin</v>
      </c>
      <c r="C36" s="264">
        <f>Synthèse!G36</f>
        <v>1120125.0417215058</v>
      </c>
      <c r="D36" s="492" t="s">
        <v>540</v>
      </c>
      <c r="E36" s="493" t="s">
        <v>540</v>
      </c>
      <c r="F36" s="263">
        <f>Synthèse!F36</f>
        <v>351476.00246037485</v>
      </c>
      <c r="G36" s="497" t="s">
        <v>540</v>
      </c>
      <c r="H36" s="497" t="s">
        <v>540</v>
      </c>
      <c r="I36" s="264">
        <f>Synthèse!H36</f>
        <v>200142.22986859633</v>
      </c>
      <c r="J36" s="501" t="s">
        <v>540</v>
      </c>
      <c r="K36" s="501" t="s">
        <v>540</v>
      </c>
    </row>
    <row r="37" spans="1:11" s="267" customFormat="1" ht="15" x14ac:dyDescent="0.25">
      <c r="A37" s="86">
        <f>Données!A37</f>
        <v>5458</v>
      </c>
      <c r="B37" s="409" t="str">
        <f>Données!B37</f>
        <v>Faoug</v>
      </c>
      <c r="C37" s="264">
        <f>Synthèse!G37</f>
        <v>552624.55956653424</v>
      </c>
      <c r="D37" s="492" t="s">
        <v>540</v>
      </c>
      <c r="E37" s="493" t="s">
        <v>540</v>
      </c>
      <c r="F37" s="263">
        <f>Synthèse!F37</f>
        <v>254131.60044745239</v>
      </c>
      <c r="G37" s="497" t="s">
        <v>540</v>
      </c>
      <c r="H37" s="497" t="s">
        <v>540</v>
      </c>
      <c r="I37" s="264">
        <f>Synthèse!H37</f>
        <v>99166.884950747204</v>
      </c>
      <c r="J37" s="501" t="s">
        <v>540</v>
      </c>
      <c r="K37" s="501" t="s">
        <v>540</v>
      </c>
    </row>
    <row r="38" spans="1:11" s="267" customFormat="1" ht="15" x14ac:dyDescent="0.25">
      <c r="A38" s="86">
        <f>Données!A38</f>
        <v>5464</v>
      </c>
      <c r="B38" s="409" t="str">
        <f>Données!B38</f>
        <v>Vully-les-Lacs</v>
      </c>
      <c r="C38" s="264">
        <f>Synthèse!G38</f>
        <v>1861546.754502502</v>
      </c>
      <c r="D38" s="492" t="s">
        <v>540</v>
      </c>
      <c r="E38" s="493" t="s">
        <v>540</v>
      </c>
      <c r="F38" s="263">
        <f>Synthèse!F38</f>
        <v>7773.9499026024714</v>
      </c>
      <c r="G38" s="497" t="s">
        <v>540</v>
      </c>
      <c r="H38" s="497" t="s">
        <v>540</v>
      </c>
      <c r="I38" s="264">
        <f>Synthèse!H38</f>
        <v>346660.46824178181</v>
      </c>
      <c r="J38" s="501" t="s">
        <v>540</v>
      </c>
      <c r="K38" s="501" t="s">
        <v>540</v>
      </c>
    </row>
    <row r="39" spans="1:11" s="267" customFormat="1" ht="15" x14ac:dyDescent="0.25">
      <c r="A39" s="86">
        <f>Données!A39</f>
        <v>5471</v>
      </c>
      <c r="B39" s="409" t="str">
        <f>Données!B39</f>
        <v>Bettens</v>
      </c>
      <c r="C39" s="264">
        <f>Synthèse!G39</f>
        <v>332843.57883435488</v>
      </c>
      <c r="D39" s="492" t="s">
        <v>540</v>
      </c>
      <c r="E39" s="493" t="s">
        <v>540</v>
      </c>
      <c r="F39" s="263">
        <f>Synthèse!F39</f>
        <v>113519.74783865782</v>
      </c>
      <c r="G39" s="497" t="s">
        <v>540</v>
      </c>
      <c r="H39" s="497" t="s">
        <v>540</v>
      </c>
      <c r="I39" s="264">
        <f>Synthèse!H39</f>
        <v>63240.155996082234</v>
      </c>
      <c r="J39" s="501" t="s">
        <v>540</v>
      </c>
      <c r="K39" s="501" t="s">
        <v>540</v>
      </c>
    </row>
    <row r="40" spans="1:11" s="267" customFormat="1" ht="15" x14ac:dyDescent="0.25">
      <c r="A40" s="86">
        <f>Données!A40</f>
        <v>5472</v>
      </c>
      <c r="B40" s="409" t="str">
        <f>Données!B40</f>
        <v>Bournens</v>
      </c>
      <c r="C40" s="264">
        <f>Synthèse!G40</f>
        <v>381210.07332930091</v>
      </c>
      <c r="D40" s="492" t="s">
        <v>540</v>
      </c>
      <c r="E40" s="493" t="s">
        <v>540</v>
      </c>
      <c r="F40" s="263">
        <f>Synthèse!F40</f>
        <v>257890.77221236259</v>
      </c>
      <c r="G40" s="497" t="s">
        <v>540</v>
      </c>
      <c r="H40" s="497" t="s">
        <v>540</v>
      </c>
      <c r="I40" s="264">
        <f>Synthèse!H40</f>
        <v>63749.886279401486</v>
      </c>
      <c r="J40" s="501" t="s">
        <v>540</v>
      </c>
      <c r="K40" s="501" t="s">
        <v>540</v>
      </c>
    </row>
    <row r="41" spans="1:11" s="267" customFormat="1" ht="15" x14ac:dyDescent="0.25">
      <c r="A41" s="86">
        <f>Données!A41</f>
        <v>5473</v>
      </c>
      <c r="B41" s="409" t="str">
        <f>Données!B41</f>
        <v>Boussens</v>
      </c>
      <c r="C41" s="264">
        <f>Synthèse!G41</f>
        <v>599926.41297257412</v>
      </c>
      <c r="D41" s="492" t="s">
        <v>540</v>
      </c>
      <c r="E41" s="493" t="s">
        <v>540</v>
      </c>
      <c r="F41" s="263">
        <f>Synthèse!F41</f>
        <v>447414.33390004694</v>
      </c>
      <c r="G41" s="497" t="s">
        <v>540</v>
      </c>
      <c r="H41" s="497" t="s">
        <v>540</v>
      </c>
      <c r="I41" s="264">
        <f>Synthèse!H41</f>
        <v>118674.8318406403</v>
      </c>
      <c r="J41" s="501" t="s">
        <v>540</v>
      </c>
      <c r="K41" s="501" t="s">
        <v>540</v>
      </c>
    </row>
    <row r="42" spans="1:11" s="267" customFormat="1" ht="15" x14ac:dyDescent="0.25">
      <c r="A42" s="86">
        <f>Données!A42</f>
        <v>5474</v>
      </c>
      <c r="B42" s="409" t="str">
        <f>Données!B42</f>
        <v>La Chaux (Cossonay)</v>
      </c>
      <c r="C42" s="264">
        <f>Synthèse!G42</f>
        <v>246730.45868299159</v>
      </c>
      <c r="D42" s="492" t="s">
        <v>540</v>
      </c>
      <c r="E42" s="493" t="s">
        <v>540</v>
      </c>
      <c r="F42" s="263">
        <f>Synthèse!F42</f>
        <v>-133917.44749063786</v>
      </c>
      <c r="G42" s="497" t="s">
        <v>540</v>
      </c>
      <c r="H42" s="497" t="s">
        <v>540</v>
      </c>
      <c r="I42" s="264">
        <f>Synthèse!H42</f>
        <v>41540.394103663362</v>
      </c>
      <c r="J42" s="501" t="s">
        <v>540</v>
      </c>
      <c r="K42" s="501" t="s">
        <v>540</v>
      </c>
    </row>
    <row r="43" spans="1:11" s="267" customFormat="1" ht="15" x14ac:dyDescent="0.25">
      <c r="A43" s="86">
        <f>Données!A43</f>
        <v>5475</v>
      </c>
      <c r="B43" s="409" t="str">
        <f>Données!B43</f>
        <v>Chavannes-le-Veyron</v>
      </c>
      <c r="C43" s="264">
        <f>Synthèse!G43</f>
        <v>68333.139234620292</v>
      </c>
      <c r="D43" s="492" t="s">
        <v>540</v>
      </c>
      <c r="E43" s="493" t="s">
        <v>540</v>
      </c>
      <c r="F43" s="263">
        <f>Synthèse!F43</f>
        <v>-50361.131244818665</v>
      </c>
      <c r="G43" s="497" t="s">
        <v>540</v>
      </c>
      <c r="H43" s="497" t="s">
        <v>540</v>
      </c>
      <c r="I43" s="264">
        <f>Synthèse!H43</f>
        <v>12168.361699155083</v>
      </c>
      <c r="J43" s="501" t="s">
        <v>540</v>
      </c>
      <c r="K43" s="501" t="s">
        <v>540</v>
      </c>
    </row>
    <row r="44" spans="1:11" s="267" customFormat="1" ht="15" x14ac:dyDescent="0.25">
      <c r="A44" s="86">
        <f>Données!A44</f>
        <v>5476</v>
      </c>
      <c r="B44" s="409" t="str">
        <f>Données!B44</f>
        <v>Chevilly</v>
      </c>
      <c r="C44" s="264">
        <f>Synthèse!G44</f>
        <v>179509.37153512862</v>
      </c>
      <c r="D44" s="492" t="s">
        <v>540</v>
      </c>
      <c r="E44" s="493" t="s">
        <v>540</v>
      </c>
      <c r="F44" s="263">
        <f>Synthèse!F44</f>
        <v>122028.68988308719</v>
      </c>
      <c r="G44" s="497" t="s">
        <v>540</v>
      </c>
      <c r="H44" s="497" t="s">
        <v>540</v>
      </c>
      <c r="I44" s="264">
        <f>Synthèse!H44</f>
        <v>37348.641085375624</v>
      </c>
      <c r="J44" s="501" t="s">
        <v>540</v>
      </c>
      <c r="K44" s="501" t="s">
        <v>540</v>
      </c>
    </row>
    <row r="45" spans="1:11" s="267" customFormat="1" ht="15" x14ac:dyDescent="0.25">
      <c r="A45" s="86">
        <f>Données!A45</f>
        <v>5477</v>
      </c>
      <c r="B45" s="409" t="str">
        <f>Données!B45</f>
        <v>Cossonay</v>
      </c>
      <c r="C45" s="264">
        <f>Synthèse!G45</f>
        <v>2469795.8665449321</v>
      </c>
      <c r="D45" s="492" t="s">
        <v>540</v>
      </c>
      <c r="E45" s="493" t="s">
        <v>540</v>
      </c>
      <c r="F45" s="263">
        <f>Synthèse!F45</f>
        <v>-1463741.761557695</v>
      </c>
      <c r="G45" s="497" t="s">
        <v>540</v>
      </c>
      <c r="H45" s="497" t="s">
        <v>540</v>
      </c>
      <c r="I45" s="264">
        <f>Synthèse!H45</f>
        <v>369982.43018344359</v>
      </c>
      <c r="J45" s="501" t="s">
        <v>540</v>
      </c>
      <c r="K45" s="501" t="s">
        <v>540</v>
      </c>
    </row>
    <row r="46" spans="1:11" s="267" customFormat="1" ht="15" x14ac:dyDescent="0.25">
      <c r="A46" s="86">
        <f>Données!A46</f>
        <v>5479</v>
      </c>
      <c r="B46" s="409" t="str">
        <f>Données!B46</f>
        <v>Cuarnens</v>
      </c>
      <c r="C46" s="264">
        <f>Synthèse!G46</f>
        <v>347450.57264261629</v>
      </c>
      <c r="D46" s="492" t="s">
        <v>540</v>
      </c>
      <c r="E46" s="493" t="s">
        <v>540</v>
      </c>
      <c r="F46" s="263">
        <f>Synthèse!F46</f>
        <v>41982.284630210197</v>
      </c>
      <c r="G46" s="497" t="s">
        <v>540</v>
      </c>
      <c r="H46" s="497" t="s">
        <v>540</v>
      </c>
      <c r="I46" s="264">
        <f>Synthèse!H46</f>
        <v>57214.26373311998</v>
      </c>
      <c r="J46" s="501" t="s">
        <v>540</v>
      </c>
      <c r="K46" s="501" t="s">
        <v>540</v>
      </c>
    </row>
    <row r="47" spans="1:11" s="267" customFormat="1" ht="15" x14ac:dyDescent="0.25">
      <c r="A47" s="86">
        <f>Données!A47</f>
        <v>5480</v>
      </c>
      <c r="B47" s="409" t="str">
        <f>Données!B47</f>
        <v>Daillens</v>
      </c>
      <c r="C47" s="264">
        <f>Synthèse!G47</f>
        <v>764641.25096023863</v>
      </c>
      <c r="D47" s="492" t="s">
        <v>540</v>
      </c>
      <c r="E47" s="493" t="s">
        <v>540</v>
      </c>
      <c r="F47" s="263">
        <f>Synthèse!F47</f>
        <v>80688.149181118119</v>
      </c>
      <c r="G47" s="497" t="s">
        <v>540</v>
      </c>
      <c r="H47" s="497" t="s">
        <v>540</v>
      </c>
      <c r="I47" s="264">
        <f>Synthèse!H47</f>
        <v>125278.19785615707</v>
      </c>
      <c r="J47" s="501" t="s">
        <v>540</v>
      </c>
      <c r="K47" s="501" t="s">
        <v>540</v>
      </c>
    </row>
    <row r="48" spans="1:11" s="267" customFormat="1" ht="15" x14ac:dyDescent="0.25">
      <c r="A48" s="86">
        <f>Données!A48</f>
        <v>5481</v>
      </c>
      <c r="B48" s="409" t="str">
        <f>Données!B48</f>
        <v>Dizy</v>
      </c>
      <c r="C48" s="264">
        <f>Synthèse!G48</f>
        <v>122194.04165642547</v>
      </c>
      <c r="D48" s="492" t="s">
        <v>540</v>
      </c>
      <c r="E48" s="493" t="s">
        <v>540</v>
      </c>
      <c r="F48" s="263">
        <f>Synthèse!F48</f>
        <v>48304.957214576192</v>
      </c>
      <c r="G48" s="497" t="s">
        <v>540</v>
      </c>
      <c r="H48" s="497" t="s">
        <v>540</v>
      </c>
      <c r="I48" s="264">
        <f>Synthèse!H48</f>
        <v>25653.299918896875</v>
      </c>
      <c r="J48" s="501" t="s">
        <v>540</v>
      </c>
      <c r="K48" s="501" t="s">
        <v>540</v>
      </c>
    </row>
    <row r="49" spans="1:11" s="267" customFormat="1" ht="15" x14ac:dyDescent="0.25">
      <c r="A49" s="86">
        <f>Données!A49</f>
        <v>5482</v>
      </c>
      <c r="B49" s="409" t="str">
        <f>Données!B49</f>
        <v>Eclépens</v>
      </c>
      <c r="C49" s="264">
        <f>Synthèse!G49</f>
        <v>1325385.1495779678</v>
      </c>
      <c r="D49" s="492" t="s">
        <v>540</v>
      </c>
      <c r="E49" s="493" t="s">
        <v>540</v>
      </c>
      <c r="F49" s="263">
        <f>Synthèse!F49</f>
        <v>1148908.6804384768</v>
      </c>
      <c r="G49" s="497" t="s">
        <v>540</v>
      </c>
      <c r="H49" s="497" t="s">
        <v>540</v>
      </c>
      <c r="I49" s="264">
        <f>Synthèse!H49</f>
        <v>194811.38912606833</v>
      </c>
      <c r="J49" s="501" t="s">
        <v>540</v>
      </c>
      <c r="K49" s="501" t="s">
        <v>540</v>
      </c>
    </row>
    <row r="50" spans="1:11" s="267" customFormat="1" ht="15" x14ac:dyDescent="0.25">
      <c r="A50" s="86">
        <f>Données!A50</f>
        <v>5483</v>
      </c>
      <c r="B50" s="409" t="str">
        <f>Données!B50</f>
        <v>Ferreyres</v>
      </c>
      <c r="C50" s="264">
        <f>Synthèse!G50</f>
        <v>167538.99940440926</v>
      </c>
      <c r="D50" s="492" t="s">
        <v>540</v>
      </c>
      <c r="E50" s="493" t="s">
        <v>540</v>
      </c>
      <c r="F50" s="263">
        <f>Synthèse!F50</f>
        <v>77403.85930484577</v>
      </c>
      <c r="G50" s="497" t="s">
        <v>540</v>
      </c>
      <c r="H50" s="497" t="s">
        <v>540</v>
      </c>
      <c r="I50" s="264">
        <f>Synthèse!H50</f>
        <v>34111.362507308979</v>
      </c>
      <c r="J50" s="501" t="s">
        <v>540</v>
      </c>
      <c r="K50" s="501" t="s">
        <v>540</v>
      </c>
    </row>
    <row r="51" spans="1:11" s="267" customFormat="1" ht="15" x14ac:dyDescent="0.25">
      <c r="A51" s="86">
        <f>Données!A51</f>
        <v>5484</v>
      </c>
      <c r="B51" s="409" t="str">
        <f>Données!B51</f>
        <v>Gollion</v>
      </c>
      <c r="C51" s="264">
        <f>Synthèse!G51</f>
        <v>622932.80999315449</v>
      </c>
      <c r="D51" s="492" t="s">
        <v>540</v>
      </c>
      <c r="E51" s="493" t="s">
        <v>540</v>
      </c>
      <c r="F51" s="263">
        <f>Synthèse!F51</f>
        <v>87437.943745140336</v>
      </c>
      <c r="G51" s="497" t="s">
        <v>540</v>
      </c>
      <c r="H51" s="497" t="s">
        <v>540</v>
      </c>
      <c r="I51" s="264">
        <f>Synthèse!H51</f>
        <v>109995.29555552419</v>
      </c>
      <c r="J51" s="501" t="s">
        <v>540</v>
      </c>
      <c r="K51" s="501" t="s">
        <v>540</v>
      </c>
    </row>
    <row r="52" spans="1:11" s="267" customFormat="1" ht="15" x14ac:dyDescent="0.25">
      <c r="A52" s="86">
        <f>Données!A52</f>
        <v>5485</v>
      </c>
      <c r="B52" s="409" t="str">
        <f>Données!B52</f>
        <v>Grancy</v>
      </c>
      <c r="C52" s="264">
        <f>Synthèse!G52</f>
        <v>293580.10554635664</v>
      </c>
      <c r="D52" s="492" t="s">
        <v>540</v>
      </c>
      <c r="E52" s="493" t="s">
        <v>540</v>
      </c>
      <c r="F52" s="263">
        <f>Synthèse!F52</f>
        <v>104017.2829479221</v>
      </c>
      <c r="G52" s="497" t="s">
        <v>540</v>
      </c>
      <c r="H52" s="497" t="s">
        <v>540</v>
      </c>
      <c r="I52" s="264">
        <f>Synthèse!H52</f>
        <v>45693.846803618464</v>
      </c>
      <c r="J52" s="501" t="s">
        <v>540</v>
      </c>
      <c r="K52" s="501" t="s">
        <v>540</v>
      </c>
    </row>
    <row r="53" spans="1:11" s="267" customFormat="1" ht="15" x14ac:dyDescent="0.25">
      <c r="A53" s="86">
        <f>Données!A53</f>
        <v>5486</v>
      </c>
      <c r="B53" s="409" t="str">
        <f>Données!B53</f>
        <v>L'Isle</v>
      </c>
      <c r="C53" s="264">
        <f>Synthèse!G53</f>
        <v>619068.30208066525</v>
      </c>
      <c r="D53" s="492" t="s">
        <v>540</v>
      </c>
      <c r="E53" s="493" t="s">
        <v>540</v>
      </c>
      <c r="F53" s="263">
        <f>Synthèse!F53</f>
        <v>36580.652857852401</v>
      </c>
      <c r="G53" s="497" t="s">
        <v>540</v>
      </c>
      <c r="H53" s="497" t="s">
        <v>540</v>
      </c>
      <c r="I53" s="264">
        <f>Synthèse!H53</f>
        <v>117944.80725937127</v>
      </c>
      <c r="J53" s="501" t="s">
        <v>540</v>
      </c>
      <c r="K53" s="501" t="s">
        <v>540</v>
      </c>
    </row>
    <row r="54" spans="1:11" s="267" customFormat="1" ht="15" x14ac:dyDescent="0.25">
      <c r="A54" s="86">
        <f>Données!A54</f>
        <v>5487</v>
      </c>
      <c r="B54" s="409" t="str">
        <f>Données!B54</f>
        <v>Lussery-Villars</v>
      </c>
      <c r="C54" s="264">
        <f>Synthèse!G54</f>
        <v>203720.31126465212</v>
      </c>
      <c r="D54" s="492" t="s">
        <v>540</v>
      </c>
      <c r="E54" s="493" t="s">
        <v>540</v>
      </c>
      <c r="F54" s="263">
        <f>Synthèse!F54</f>
        <v>-30236.783189026115</v>
      </c>
      <c r="G54" s="497" t="s">
        <v>540</v>
      </c>
      <c r="H54" s="497" t="s">
        <v>540</v>
      </c>
      <c r="I54" s="264">
        <f>Synthèse!H54</f>
        <v>40319.641368699093</v>
      </c>
      <c r="J54" s="501" t="s">
        <v>540</v>
      </c>
      <c r="K54" s="501" t="s">
        <v>540</v>
      </c>
    </row>
    <row r="55" spans="1:11" s="267" customFormat="1" ht="15" x14ac:dyDescent="0.25">
      <c r="A55" s="86">
        <f>Données!A55</f>
        <v>5488</v>
      </c>
      <c r="B55" s="409" t="str">
        <f>Données!B55</f>
        <v>Mauraz</v>
      </c>
      <c r="C55" s="264">
        <f>Synthèse!G55</f>
        <v>23826.170241167987</v>
      </c>
      <c r="D55" s="492" t="s">
        <v>540</v>
      </c>
      <c r="E55" s="493" t="s">
        <v>540</v>
      </c>
      <c r="F55" s="263">
        <f>Synthèse!F55</f>
        <v>-713.14274202151137</v>
      </c>
      <c r="G55" s="497" t="s">
        <v>540</v>
      </c>
      <c r="H55" s="497" t="s">
        <v>540</v>
      </c>
      <c r="I55" s="264">
        <f>Synthèse!H55</f>
        <v>5155.587776477998</v>
      </c>
      <c r="J55" s="501" t="s">
        <v>540</v>
      </c>
      <c r="K55" s="501" t="s">
        <v>540</v>
      </c>
    </row>
    <row r="56" spans="1:11" s="267" customFormat="1" ht="15" x14ac:dyDescent="0.25">
      <c r="A56" s="86">
        <f>Données!A56</f>
        <v>5489</v>
      </c>
      <c r="B56" s="409" t="str">
        <f>Données!B56</f>
        <v>Mex</v>
      </c>
      <c r="C56" s="264">
        <f>Synthèse!G56</f>
        <v>1491982.4432973568</v>
      </c>
      <c r="D56" s="492" t="s">
        <v>540</v>
      </c>
      <c r="E56" s="493" t="s">
        <v>540</v>
      </c>
      <c r="F56" s="263">
        <f>Synthèse!F56</f>
        <v>999770.90936036594</v>
      </c>
      <c r="G56" s="497" t="s">
        <v>540</v>
      </c>
      <c r="H56" s="497" t="s">
        <v>540</v>
      </c>
      <c r="I56" s="264">
        <f>Synthèse!H56</f>
        <v>141573.82131843144</v>
      </c>
      <c r="J56" s="501" t="s">
        <v>540</v>
      </c>
      <c r="K56" s="501" t="s">
        <v>540</v>
      </c>
    </row>
    <row r="57" spans="1:11" s="267" customFormat="1" ht="15" x14ac:dyDescent="0.25">
      <c r="A57" s="86">
        <f>Données!A57</f>
        <v>5490</v>
      </c>
      <c r="B57" s="409" t="str">
        <f>Données!B57</f>
        <v>Moiry</v>
      </c>
      <c r="C57" s="264">
        <f>Synthèse!G57</f>
        <v>146201.38174078791</v>
      </c>
      <c r="D57" s="492" t="s">
        <v>540</v>
      </c>
      <c r="E57" s="493" t="s">
        <v>540</v>
      </c>
      <c r="F57" s="263">
        <f>Synthèse!F57</f>
        <v>-32757.502358003141</v>
      </c>
      <c r="G57" s="497" t="s">
        <v>540</v>
      </c>
      <c r="H57" s="497" t="s">
        <v>540</v>
      </c>
      <c r="I57" s="264">
        <f>Synthèse!H57</f>
        <v>27316.642614705044</v>
      </c>
      <c r="J57" s="501" t="s">
        <v>540</v>
      </c>
      <c r="K57" s="501" t="s">
        <v>540</v>
      </c>
    </row>
    <row r="58" spans="1:11" s="267" customFormat="1" ht="15" x14ac:dyDescent="0.25">
      <c r="A58" s="86">
        <f>Données!A58</f>
        <v>5491</v>
      </c>
      <c r="B58" s="409" t="str">
        <f>Données!B58</f>
        <v>Mont-la-Ville</v>
      </c>
      <c r="C58" s="264">
        <f>Synthèse!G58</f>
        <v>256128.37784749383</v>
      </c>
      <c r="D58" s="492" t="s">
        <v>540</v>
      </c>
      <c r="E58" s="493" t="s">
        <v>540</v>
      </c>
      <c r="F58" s="263">
        <f>Synthèse!F58</f>
        <v>-56661.788072736817</v>
      </c>
      <c r="G58" s="497" t="s">
        <v>540</v>
      </c>
      <c r="H58" s="497" t="s">
        <v>540</v>
      </c>
      <c r="I58" s="264">
        <f>Synthèse!H58</f>
        <v>44712.154025401454</v>
      </c>
      <c r="J58" s="501" t="s">
        <v>540</v>
      </c>
      <c r="K58" s="501" t="s">
        <v>540</v>
      </c>
    </row>
    <row r="59" spans="1:11" s="267" customFormat="1" ht="15" x14ac:dyDescent="0.25">
      <c r="A59" s="86">
        <f>Données!A59</f>
        <v>5492</v>
      </c>
      <c r="B59" s="409" t="str">
        <f>Données!B59</f>
        <v>Montricher</v>
      </c>
      <c r="C59" s="264">
        <f>Synthèse!G59</f>
        <v>5727423.480632199</v>
      </c>
      <c r="D59" s="492" t="s">
        <v>540</v>
      </c>
      <c r="E59" s="493" t="s">
        <v>540</v>
      </c>
      <c r="F59" s="263">
        <f>Synthèse!F59</f>
        <v>1977399.8213895983</v>
      </c>
      <c r="G59" s="497" t="s">
        <v>540</v>
      </c>
      <c r="H59" s="497" t="s">
        <v>540</v>
      </c>
      <c r="I59" s="264">
        <f>Synthèse!H59</f>
        <v>285191.6820381257</v>
      </c>
      <c r="J59" s="501" t="s">
        <v>540</v>
      </c>
      <c r="K59" s="501" t="s">
        <v>540</v>
      </c>
    </row>
    <row r="60" spans="1:11" s="267" customFormat="1" ht="15" x14ac:dyDescent="0.25">
      <c r="A60" s="86">
        <f>Données!A60</f>
        <v>5493</v>
      </c>
      <c r="B60" s="409" t="str">
        <f>Données!B60</f>
        <v>Orny</v>
      </c>
      <c r="C60" s="264">
        <f>Synthèse!G60</f>
        <v>271262.82140465186</v>
      </c>
      <c r="D60" s="492" t="s">
        <v>540</v>
      </c>
      <c r="E60" s="493" t="s">
        <v>540</v>
      </c>
      <c r="F60" s="263">
        <f>Synthèse!F60</f>
        <v>9357.6290067354275</v>
      </c>
      <c r="G60" s="497" t="s">
        <v>540</v>
      </c>
      <c r="H60" s="497" t="s">
        <v>540</v>
      </c>
      <c r="I60" s="264">
        <f>Synthèse!H60</f>
        <v>40738.365434360836</v>
      </c>
      <c r="J60" s="501" t="s">
        <v>540</v>
      </c>
      <c r="K60" s="501" t="s">
        <v>540</v>
      </c>
    </row>
    <row r="61" spans="1:11" s="267" customFormat="1" ht="15" x14ac:dyDescent="0.25">
      <c r="A61" s="86">
        <f>Données!A61</f>
        <v>5495</v>
      </c>
      <c r="B61" s="409" t="str">
        <f>Données!B61</f>
        <v>Penthalaz</v>
      </c>
      <c r="C61" s="264">
        <f>Synthèse!G61</f>
        <v>1651365.4975513243</v>
      </c>
      <c r="D61" s="492" t="s">
        <v>540</v>
      </c>
      <c r="E61" s="493" t="s">
        <v>540</v>
      </c>
      <c r="F61" s="263">
        <f>Synthèse!F61</f>
        <v>-941811.8902204195</v>
      </c>
      <c r="G61" s="497" t="s">
        <v>540</v>
      </c>
      <c r="H61" s="497" t="s">
        <v>540</v>
      </c>
      <c r="I61" s="264">
        <f>Synthèse!H61</f>
        <v>292502.09811989707</v>
      </c>
      <c r="J61" s="501" t="s">
        <v>540</v>
      </c>
      <c r="K61" s="501" t="s">
        <v>540</v>
      </c>
    </row>
    <row r="62" spans="1:11" s="267" customFormat="1" ht="15" x14ac:dyDescent="0.25">
      <c r="A62" s="86">
        <f>Données!A62</f>
        <v>5496</v>
      </c>
      <c r="B62" s="409" t="str">
        <f>Données!B62</f>
        <v>Penthaz</v>
      </c>
      <c r="C62" s="264">
        <f>Synthèse!G62</f>
        <v>1057709.7100984249</v>
      </c>
      <c r="D62" s="492" t="s">
        <v>540</v>
      </c>
      <c r="E62" s="493" t="s">
        <v>540</v>
      </c>
      <c r="F62" s="263">
        <f>Synthèse!F62</f>
        <v>30711.573861982208</v>
      </c>
      <c r="G62" s="497" t="s">
        <v>540</v>
      </c>
      <c r="H62" s="497" t="s">
        <v>540</v>
      </c>
      <c r="I62" s="264">
        <f>Synthèse!H62</f>
        <v>187663.7242902845</v>
      </c>
      <c r="J62" s="501" t="s">
        <v>540</v>
      </c>
      <c r="K62" s="501" t="s">
        <v>540</v>
      </c>
    </row>
    <row r="63" spans="1:11" s="267" customFormat="1" ht="15" x14ac:dyDescent="0.25">
      <c r="A63" s="86">
        <f>Données!A63</f>
        <v>5497</v>
      </c>
      <c r="B63" s="409" t="str">
        <f>Données!B63</f>
        <v>Pompaples</v>
      </c>
      <c r="C63" s="264">
        <f>Synthèse!G63</f>
        <v>378365.91758123005</v>
      </c>
      <c r="D63" s="492" t="s">
        <v>540</v>
      </c>
      <c r="E63" s="493" t="s">
        <v>540</v>
      </c>
      <c r="F63" s="263">
        <f>Synthèse!F63</f>
        <v>-140036.73782008636</v>
      </c>
      <c r="G63" s="497" t="s">
        <v>540</v>
      </c>
      <c r="H63" s="497" t="s">
        <v>540</v>
      </c>
      <c r="I63" s="264">
        <f>Synthèse!H63</f>
        <v>62637.965570911605</v>
      </c>
      <c r="J63" s="501" t="s">
        <v>540</v>
      </c>
      <c r="K63" s="501" t="s">
        <v>540</v>
      </c>
    </row>
    <row r="64" spans="1:11" s="267" customFormat="1" ht="15" x14ac:dyDescent="0.25">
      <c r="A64" s="86">
        <f>Données!A64</f>
        <v>5498</v>
      </c>
      <c r="B64" s="409" t="str">
        <f>Données!B64</f>
        <v>La Sarraz</v>
      </c>
      <c r="C64" s="264">
        <f>Synthèse!G64</f>
        <v>1301933.4269422281</v>
      </c>
      <c r="D64" s="492" t="s">
        <v>540</v>
      </c>
      <c r="E64" s="493" t="s">
        <v>540</v>
      </c>
      <c r="F64" s="263">
        <f>Synthèse!F64</f>
        <v>-359706.65209219488</v>
      </c>
      <c r="G64" s="497" t="s">
        <v>540</v>
      </c>
      <c r="H64" s="497" t="s">
        <v>540</v>
      </c>
      <c r="I64" s="264">
        <f>Synthèse!H64</f>
        <v>242459.73331445552</v>
      </c>
      <c r="J64" s="501" t="s">
        <v>540</v>
      </c>
      <c r="K64" s="501" t="s">
        <v>540</v>
      </c>
    </row>
    <row r="65" spans="1:11" s="267" customFormat="1" ht="15" x14ac:dyDescent="0.25">
      <c r="A65" s="86">
        <f>Données!A65</f>
        <v>5499</v>
      </c>
      <c r="B65" s="409" t="str">
        <f>Données!B65</f>
        <v>Senarclens</v>
      </c>
      <c r="C65" s="264">
        <f>Synthèse!G65</f>
        <v>412311.58625870943</v>
      </c>
      <c r="D65" s="492" t="s">
        <v>540</v>
      </c>
      <c r="E65" s="493" t="s">
        <v>540</v>
      </c>
      <c r="F65" s="263">
        <f>Synthèse!F65</f>
        <v>36107.190933400474</v>
      </c>
      <c r="G65" s="497" t="s">
        <v>540</v>
      </c>
      <c r="H65" s="497" t="s">
        <v>540</v>
      </c>
      <c r="I65" s="264">
        <f>Synthèse!H65</f>
        <v>61798.755369667284</v>
      </c>
      <c r="J65" s="501" t="s">
        <v>540</v>
      </c>
      <c r="K65" s="501" t="s">
        <v>540</v>
      </c>
    </row>
    <row r="66" spans="1:11" s="267" customFormat="1" ht="15" x14ac:dyDescent="0.25">
      <c r="A66" s="86">
        <f>Données!A66</f>
        <v>5501</v>
      </c>
      <c r="B66" s="409" t="str">
        <f>Données!B66</f>
        <v>Sullens</v>
      </c>
      <c r="C66" s="264">
        <f>Synthèse!G66</f>
        <v>874898.70181130921</v>
      </c>
      <c r="D66" s="492" t="s">
        <v>540</v>
      </c>
      <c r="E66" s="493" t="s">
        <v>540</v>
      </c>
      <c r="F66" s="263">
        <f>Synthèse!F66</f>
        <v>533213.30374915246</v>
      </c>
      <c r="G66" s="497" t="s">
        <v>540</v>
      </c>
      <c r="H66" s="497" t="s">
        <v>540</v>
      </c>
      <c r="I66" s="264">
        <f>Synthèse!H66</f>
        <v>131401.75313344708</v>
      </c>
      <c r="J66" s="501" t="s">
        <v>540</v>
      </c>
      <c r="K66" s="501" t="s">
        <v>540</v>
      </c>
    </row>
    <row r="67" spans="1:11" s="267" customFormat="1" ht="15" x14ac:dyDescent="0.25">
      <c r="A67" s="86">
        <f>Données!A67</f>
        <v>5503</v>
      </c>
      <c r="B67" s="409" t="str">
        <f>Données!B67</f>
        <v>Vufflens-la-Ville</v>
      </c>
      <c r="C67" s="264">
        <f>Synthèse!G67</f>
        <v>1202812.2135433648</v>
      </c>
      <c r="D67" s="492" t="s">
        <v>540</v>
      </c>
      <c r="E67" s="493" t="s">
        <v>540</v>
      </c>
      <c r="F67" s="263">
        <f>Synthèse!F67</f>
        <v>1048317.0557282452</v>
      </c>
      <c r="G67" s="497" t="s">
        <v>540</v>
      </c>
      <c r="H67" s="497" t="s">
        <v>540</v>
      </c>
      <c r="I67" s="264">
        <f>Synthèse!H67</f>
        <v>202010.0232535192</v>
      </c>
      <c r="J67" s="501" t="s">
        <v>540</v>
      </c>
      <c r="K67" s="501" t="s">
        <v>540</v>
      </c>
    </row>
    <row r="68" spans="1:11" s="267" customFormat="1" ht="15" x14ac:dyDescent="0.25">
      <c r="A68" s="86">
        <f>Données!A68</f>
        <v>5511</v>
      </c>
      <c r="B68" s="409" t="str">
        <f>Données!B68</f>
        <v>Assens</v>
      </c>
      <c r="C68" s="264">
        <f>Synthèse!G68</f>
        <v>1156767.6719174611</v>
      </c>
      <c r="D68" s="492" t="s">
        <v>540</v>
      </c>
      <c r="E68" s="493" t="s">
        <v>540</v>
      </c>
      <c r="F68" s="263">
        <f>Synthèse!F68</f>
        <v>546182.45467889367</v>
      </c>
      <c r="G68" s="497" t="s">
        <v>540</v>
      </c>
      <c r="H68" s="497" t="s">
        <v>540</v>
      </c>
      <c r="I68" s="264">
        <f>Synthèse!H68</f>
        <v>208179.98465393024</v>
      </c>
      <c r="J68" s="501" t="s">
        <v>540</v>
      </c>
      <c r="K68" s="501" t="s">
        <v>540</v>
      </c>
    </row>
    <row r="69" spans="1:11" s="267" customFormat="1" ht="15" x14ac:dyDescent="0.25">
      <c r="A69" s="86">
        <f>Données!A69</f>
        <v>5512</v>
      </c>
      <c r="B69" s="409" t="str">
        <f>Données!B69</f>
        <v>Bercher</v>
      </c>
      <c r="C69" s="264">
        <f>Synthèse!G69</f>
        <v>672628.03862539842</v>
      </c>
      <c r="D69" s="492" t="s">
        <v>540</v>
      </c>
      <c r="E69" s="493" t="s">
        <v>540</v>
      </c>
      <c r="F69" s="263">
        <f>Synthèse!F69</f>
        <v>-217909.13955927943</v>
      </c>
      <c r="G69" s="497" t="s">
        <v>540</v>
      </c>
      <c r="H69" s="497" t="s">
        <v>540</v>
      </c>
      <c r="I69" s="264">
        <f>Synthèse!H69</f>
        <v>125885.25443713131</v>
      </c>
      <c r="J69" s="501" t="s">
        <v>540</v>
      </c>
      <c r="K69" s="501" t="s">
        <v>540</v>
      </c>
    </row>
    <row r="70" spans="1:11" s="267" customFormat="1" ht="15" x14ac:dyDescent="0.25">
      <c r="A70" s="86">
        <f>Données!A70</f>
        <v>5514</v>
      </c>
      <c r="B70" s="409" t="str">
        <f>Données!B70</f>
        <v>Bottens</v>
      </c>
      <c r="C70" s="264">
        <f>Synthèse!G70</f>
        <v>738436.77645927132</v>
      </c>
      <c r="D70" s="492" t="s">
        <v>540</v>
      </c>
      <c r="E70" s="493" t="s">
        <v>540</v>
      </c>
      <c r="F70" s="263">
        <f>Synthèse!F70</f>
        <v>246250.50166066189</v>
      </c>
      <c r="G70" s="497" t="s">
        <v>540</v>
      </c>
      <c r="H70" s="497" t="s">
        <v>540</v>
      </c>
      <c r="I70" s="264">
        <f>Synthèse!H70</f>
        <v>138744.79506383886</v>
      </c>
      <c r="J70" s="501" t="s">
        <v>540</v>
      </c>
      <c r="K70" s="501" t="s">
        <v>540</v>
      </c>
    </row>
    <row r="71" spans="1:11" s="267" customFormat="1" ht="15" x14ac:dyDescent="0.25">
      <c r="A71" s="86">
        <f>Données!A71</f>
        <v>5515</v>
      </c>
      <c r="B71" s="409" t="str">
        <f>Données!B71</f>
        <v>Bretigny-sur-Morrens</v>
      </c>
      <c r="C71" s="264">
        <f>Synthèse!G71</f>
        <v>550700.48429495958</v>
      </c>
      <c r="D71" s="492" t="s">
        <v>540</v>
      </c>
      <c r="E71" s="493" t="s">
        <v>540</v>
      </c>
      <c r="F71" s="263">
        <f>Synthèse!F71</f>
        <v>142825.47667942429</v>
      </c>
      <c r="G71" s="497" t="s">
        <v>540</v>
      </c>
      <c r="H71" s="497" t="s">
        <v>540</v>
      </c>
      <c r="I71" s="264">
        <f>Synthèse!H71</f>
        <v>93020.351392253491</v>
      </c>
      <c r="J71" s="501" t="s">
        <v>540</v>
      </c>
      <c r="K71" s="501" t="s">
        <v>540</v>
      </c>
    </row>
    <row r="72" spans="1:11" s="267" customFormat="1" ht="15" x14ac:dyDescent="0.25">
      <c r="A72" s="86">
        <f>Données!A72</f>
        <v>5516</v>
      </c>
      <c r="B72" s="409" t="str">
        <f>Données!B72</f>
        <v>Cugy</v>
      </c>
      <c r="C72" s="264">
        <f>Synthèse!G72</f>
        <v>1949394.1474843617</v>
      </c>
      <c r="D72" s="492" t="s">
        <v>540</v>
      </c>
      <c r="E72" s="493" t="s">
        <v>540</v>
      </c>
      <c r="F72" s="263">
        <f>Synthèse!F72</f>
        <v>655615.27075402671</v>
      </c>
      <c r="G72" s="497" t="s">
        <v>540</v>
      </c>
      <c r="H72" s="497" t="s">
        <v>540</v>
      </c>
      <c r="I72" s="264">
        <f>Synthèse!H72</f>
        <v>336407.70571426488</v>
      </c>
      <c r="J72" s="501" t="s">
        <v>540</v>
      </c>
      <c r="K72" s="501" t="s">
        <v>540</v>
      </c>
    </row>
    <row r="73" spans="1:11" s="267" customFormat="1" ht="15" x14ac:dyDescent="0.25">
      <c r="A73" s="86">
        <f>Données!A73</f>
        <v>5518</v>
      </c>
      <c r="B73" s="409" t="str">
        <f>Données!B73</f>
        <v>Echallens</v>
      </c>
      <c r="C73" s="264">
        <f>Synthèse!G73</f>
        <v>3217846.8048403193</v>
      </c>
      <c r="D73" s="492" t="s">
        <v>540</v>
      </c>
      <c r="E73" s="493" t="s">
        <v>540</v>
      </c>
      <c r="F73" s="263">
        <f>Synthèse!F73</f>
        <v>-1822602.3516410971</v>
      </c>
      <c r="G73" s="497" t="s">
        <v>540</v>
      </c>
      <c r="H73" s="497" t="s">
        <v>540</v>
      </c>
      <c r="I73" s="264">
        <f>Synthèse!H73</f>
        <v>557024.81549046061</v>
      </c>
      <c r="J73" s="501" t="s">
        <v>540</v>
      </c>
      <c r="K73" s="501" t="s">
        <v>540</v>
      </c>
    </row>
    <row r="74" spans="1:11" s="267" customFormat="1" ht="15" x14ac:dyDescent="0.25">
      <c r="A74" s="86">
        <f>Données!A74</f>
        <v>5520</v>
      </c>
      <c r="B74" s="409" t="str">
        <f>Données!B74</f>
        <v>Essertines-sur-Yverdon</v>
      </c>
      <c r="C74" s="264">
        <f>Synthèse!G74</f>
        <v>565992.33775132697</v>
      </c>
      <c r="D74" s="492" t="s">
        <v>540</v>
      </c>
      <c r="E74" s="493" t="s">
        <v>540</v>
      </c>
      <c r="F74" s="263">
        <f>Synthèse!F74</f>
        <v>-95983.660974907805</v>
      </c>
      <c r="G74" s="497" t="s">
        <v>540</v>
      </c>
      <c r="H74" s="497" t="s">
        <v>540</v>
      </c>
      <c r="I74" s="264">
        <f>Synthèse!H74</f>
        <v>92552.274419570778</v>
      </c>
      <c r="J74" s="501" t="s">
        <v>540</v>
      </c>
      <c r="K74" s="501" t="s">
        <v>540</v>
      </c>
    </row>
    <row r="75" spans="1:11" s="267" customFormat="1" ht="15" x14ac:dyDescent="0.25">
      <c r="A75" s="86">
        <f>Données!A75</f>
        <v>5521</v>
      </c>
      <c r="B75" s="409" t="str">
        <f>Données!B75</f>
        <v>Etagnières</v>
      </c>
      <c r="C75" s="264">
        <f>Synthèse!G75</f>
        <v>777073.30230111524</v>
      </c>
      <c r="D75" s="492" t="s">
        <v>540</v>
      </c>
      <c r="E75" s="493" t="s">
        <v>540</v>
      </c>
      <c r="F75" s="263">
        <f>Synthèse!F75</f>
        <v>517598.83185938891</v>
      </c>
      <c r="G75" s="497" t="s">
        <v>540</v>
      </c>
      <c r="H75" s="497" t="s">
        <v>540</v>
      </c>
      <c r="I75" s="264">
        <f>Synthèse!H75</f>
        <v>146219.92079824844</v>
      </c>
      <c r="J75" s="501" t="s">
        <v>540</v>
      </c>
      <c r="K75" s="501" t="s">
        <v>540</v>
      </c>
    </row>
    <row r="76" spans="1:11" s="267" customFormat="1" ht="15" x14ac:dyDescent="0.25">
      <c r="A76" s="86">
        <f>Données!A76</f>
        <v>5522</v>
      </c>
      <c r="B76" s="409" t="str">
        <f>Données!B76</f>
        <v>Fey</v>
      </c>
      <c r="C76" s="264">
        <f>Synthèse!G76</f>
        <v>374304.87114512379</v>
      </c>
      <c r="D76" s="492" t="s">
        <v>540</v>
      </c>
      <c r="E76" s="493" t="s">
        <v>540</v>
      </c>
      <c r="F76" s="263">
        <f>Synthèse!F76</f>
        <v>8292.5307930717245</v>
      </c>
      <c r="G76" s="497" t="s">
        <v>540</v>
      </c>
      <c r="H76" s="497" t="s">
        <v>540</v>
      </c>
      <c r="I76" s="264">
        <f>Synthèse!H76</f>
        <v>74363.508910588047</v>
      </c>
      <c r="J76" s="501" t="s">
        <v>540</v>
      </c>
      <c r="K76" s="501" t="s">
        <v>540</v>
      </c>
    </row>
    <row r="77" spans="1:11" s="267" customFormat="1" ht="15" x14ac:dyDescent="0.25">
      <c r="A77" s="86">
        <f>Données!A77</f>
        <v>5523</v>
      </c>
      <c r="B77" s="409" t="str">
        <f>Données!B77</f>
        <v>Froideville</v>
      </c>
      <c r="C77" s="264">
        <f>Synthèse!G77</f>
        <v>1395342.5530433841</v>
      </c>
      <c r="D77" s="492" t="s">
        <v>540</v>
      </c>
      <c r="E77" s="493" t="s">
        <v>540</v>
      </c>
      <c r="F77" s="263">
        <f>Synthèse!F77</f>
        <v>12441.281308193924</v>
      </c>
      <c r="G77" s="497" t="s">
        <v>540</v>
      </c>
      <c r="H77" s="497" t="s">
        <v>540</v>
      </c>
      <c r="I77" s="264">
        <f>Synthèse!H77</f>
        <v>267745.94397710159</v>
      </c>
      <c r="J77" s="501" t="s">
        <v>540</v>
      </c>
      <c r="K77" s="501" t="s">
        <v>540</v>
      </c>
    </row>
    <row r="78" spans="1:11" s="267" customFormat="1" ht="15" x14ac:dyDescent="0.25">
      <c r="A78" s="86">
        <f>Données!A78</f>
        <v>5527</v>
      </c>
      <c r="B78" s="409" t="str">
        <f>Données!B78</f>
        <v>Morrens</v>
      </c>
      <c r="C78" s="264">
        <f>Synthèse!G78</f>
        <v>673789.46103666222</v>
      </c>
      <c r="D78" s="492" t="s">
        <v>540</v>
      </c>
      <c r="E78" s="493" t="s">
        <v>540</v>
      </c>
      <c r="F78" s="263">
        <f>Synthèse!F78</f>
        <v>238912.28491943865</v>
      </c>
      <c r="G78" s="497" t="s">
        <v>540</v>
      </c>
      <c r="H78" s="497" t="s">
        <v>540</v>
      </c>
      <c r="I78" s="264">
        <f>Synthèse!H78</f>
        <v>127085.16473408832</v>
      </c>
      <c r="J78" s="501" t="s">
        <v>540</v>
      </c>
      <c r="K78" s="501" t="s">
        <v>540</v>
      </c>
    </row>
    <row r="79" spans="1:11" s="267" customFormat="1" ht="15" x14ac:dyDescent="0.25">
      <c r="A79" s="86">
        <f>Données!A79</f>
        <v>5529</v>
      </c>
      <c r="B79" s="409" t="str">
        <f>Données!B79</f>
        <v>Oulens-sous-Echallens</v>
      </c>
      <c r="C79" s="264">
        <f>Synthèse!G79</f>
        <v>316936.8485470647</v>
      </c>
      <c r="D79" s="492" t="s">
        <v>540</v>
      </c>
      <c r="E79" s="493" t="s">
        <v>540</v>
      </c>
      <c r="F79" s="263">
        <f>Synthèse!F79</f>
        <v>81213.82909220393</v>
      </c>
      <c r="G79" s="497" t="s">
        <v>540</v>
      </c>
      <c r="H79" s="497" t="s">
        <v>540</v>
      </c>
      <c r="I79" s="264">
        <f>Synthèse!H79</f>
        <v>62994.113401282812</v>
      </c>
      <c r="J79" s="501" t="s">
        <v>540</v>
      </c>
      <c r="K79" s="501" t="s">
        <v>540</v>
      </c>
    </row>
    <row r="80" spans="1:11" s="267" customFormat="1" ht="15" x14ac:dyDescent="0.25">
      <c r="A80" s="86">
        <f>Données!A80</f>
        <v>5530</v>
      </c>
      <c r="B80" s="409" t="str">
        <f>Données!B80</f>
        <v>Pailly</v>
      </c>
      <c r="C80" s="264">
        <f>Synthèse!G80</f>
        <v>279593.38273851189</v>
      </c>
      <c r="D80" s="492" t="s">
        <v>540</v>
      </c>
      <c r="E80" s="493" t="s">
        <v>540</v>
      </c>
      <c r="F80" s="263">
        <f>Synthèse!F80</f>
        <v>-275552.03808673931</v>
      </c>
      <c r="G80" s="497" t="s">
        <v>540</v>
      </c>
      <c r="H80" s="497" t="s">
        <v>540</v>
      </c>
      <c r="I80" s="264">
        <f>Synthèse!H80</f>
        <v>57458.060896851945</v>
      </c>
      <c r="J80" s="501" t="s">
        <v>540</v>
      </c>
      <c r="K80" s="501" t="s">
        <v>540</v>
      </c>
    </row>
    <row r="81" spans="1:11" s="267" customFormat="1" ht="15" x14ac:dyDescent="0.25">
      <c r="A81" s="86">
        <f>Données!A81</f>
        <v>5531</v>
      </c>
      <c r="B81" s="409" t="str">
        <f>Données!B81</f>
        <v>Penthéréaz</v>
      </c>
      <c r="C81" s="264">
        <f>Synthèse!G81</f>
        <v>230078.10457693951</v>
      </c>
      <c r="D81" s="492" t="s">
        <v>540</v>
      </c>
      <c r="E81" s="493" t="s">
        <v>540</v>
      </c>
      <c r="F81" s="263">
        <f>Synthèse!F81</f>
        <v>26310.742748274875</v>
      </c>
      <c r="G81" s="497" t="s">
        <v>540</v>
      </c>
      <c r="H81" s="497" t="s">
        <v>540</v>
      </c>
      <c r="I81" s="264">
        <f>Synthèse!H81</f>
        <v>43479.854883359345</v>
      </c>
      <c r="J81" s="501" t="s">
        <v>540</v>
      </c>
      <c r="K81" s="501" t="s">
        <v>540</v>
      </c>
    </row>
    <row r="82" spans="1:11" s="267" customFormat="1" ht="15" x14ac:dyDescent="0.25">
      <c r="A82" s="86">
        <f>Données!A82</f>
        <v>5533</v>
      </c>
      <c r="B82" s="409" t="str">
        <f>Données!B82</f>
        <v>Poliez-Pittet</v>
      </c>
      <c r="C82" s="264">
        <f>Synthèse!G82</f>
        <v>567188.56829908059</v>
      </c>
      <c r="D82" s="492" t="s">
        <v>540</v>
      </c>
      <c r="E82" s="493" t="s">
        <v>540</v>
      </c>
      <c r="F82" s="263">
        <f>Synthèse!F82</f>
        <v>148075.59211006493</v>
      </c>
      <c r="G82" s="497" t="s">
        <v>540</v>
      </c>
      <c r="H82" s="497" t="s">
        <v>540</v>
      </c>
      <c r="I82" s="264">
        <f>Synthèse!H82</f>
        <v>85279.633066042588</v>
      </c>
      <c r="J82" s="501" t="s">
        <v>540</v>
      </c>
      <c r="K82" s="501" t="s">
        <v>540</v>
      </c>
    </row>
    <row r="83" spans="1:11" s="267" customFormat="1" ht="15" x14ac:dyDescent="0.25">
      <c r="A83" s="86">
        <f>Données!A83</f>
        <v>5534</v>
      </c>
      <c r="B83" s="409" t="str">
        <f>Données!B83</f>
        <v>Rueyres</v>
      </c>
      <c r="C83" s="264">
        <f>Synthèse!G83</f>
        <v>167480.00475410369</v>
      </c>
      <c r="D83" s="492" t="s">
        <v>540</v>
      </c>
      <c r="E83" s="493" t="s">
        <v>540</v>
      </c>
      <c r="F83" s="263">
        <f>Synthèse!F83</f>
        <v>97684.062001455619</v>
      </c>
      <c r="G83" s="497" t="s">
        <v>540</v>
      </c>
      <c r="H83" s="497" t="s">
        <v>540</v>
      </c>
      <c r="I83" s="264">
        <f>Synthèse!H83</f>
        <v>29894.055568124539</v>
      </c>
      <c r="J83" s="501" t="s">
        <v>540</v>
      </c>
      <c r="K83" s="501" t="s">
        <v>540</v>
      </c>
    </row>
    <row r="84" spans="1:11" s="267" customFormat="1" ht="15" x14ac:dyDescent="0.25">
      <c r="A84" s="86">
        <f>Données!A84</f>
        <v>5535</v>
      </c>
      <c r="B84" s="409" t="str">
        <f>Données!B84</f>
        <v>Saint-Barthélemy</v>
      </c>
      <c r="C84" s="264">
        <f>Synthèse!G84</f>
        <v>359666.36920433515</v>
      </c>
      <c r="D84" s="492" t="s">
        <v>540</v>
      </c>
      <c r="E84" s="493" t="s">
        <v>540</v>
      </c>
      <c r="F84" s="263">
        <f>Synthèse!F84</f>
        <v>26181.251852877147</v>
      </c>
      <c r="G84" s="497" t="s">
        <v>540</v>
      </c>
      <c r="H84" s="497" t="s">
        <v>540</v>
      </c>
      <c r="I84" s="264">
        <f>Synthèse!H84</f>
        <v>70219.975398291019</v>
      </c>
      <c r="J84" s="501" t="s">
        <v>540</v>
      </c>
      <c r="K84" s="501" t="s">
        <v>540</v>
      </c>
    </row>
    <row r="85" spans="1:11" s="267" customFormat="1" ht="15" x14ac:dyDescent="0.25">
      <c r="A85" s="86">
        <f>Données!A85</f>
        <v>5537</v>
      </c>
      <c r="B85" s="409" t="str">
        <f>Données!B85</f>
        <v>Villars-le-Terroir</v>
      </c>
      <c r="C85" s="264">
        <f>Synthèse!G85</f>
        <v>651614.75899029046</v>
      </c>
      <c r="D85" s="492" t="s">
        <v>540</v>
      </c>
      <c r="E85" s="493" t="s">
        <v>540</v>
      </c>
      <c r="F85" s="263">
        <f>Synthèse!F85</f>
        <v>12422.226555552101</v>
      </c>
      <c r="G85" s="497" t="s">
        <v>540</v>
      </c>
      <c r="H85" s="497" t="s">
        <v>540</v>
      </c>
      <c r="I85" s="264">
        <f>Synthèse!H85</f>
        <v>118544.05618086118</v>
      </c>
      <c r="J85" s="501" t="s">
        <v>540</v>
      </c>
      <c r="K85" s="501" t="s">
        <v>540</v>
      </c>
    </row>
    <row r="86" spans="1:11" s="267" customFormat="1" ht="15" x14ac:dyDescent="0.25">
      <c r="A86" s="86">
        <f>Données!A86</f>
        <v>5539</v>
      </c>
      <c r="B86" s="409" t="str">
        <f>Données!B86</f>
        <v>Vuarrens</v>
      </c>
      <c r="C86" s="264">
        <f>Synthèse!G86</f>
        <v>691205.29541168071</v>
      </c>
      <c r="D86" s="492" t="s">
        <v>540</v>
      </c>
      <c r="E86" s="493" t="s">
        <v>540</v>
      </c>
      <c r="F86" s="263">
        <f>Synthèse!F86</f>
        <v>227086.35532393679</v>
      </c>
      <c r="G86" s="497" t="s">
        <v>540</v>
      </c>
      <c r="H86" s="497" t="s">
        <v>540</v>
      </c>
      <c r="I86" s="264">
        <f>Synthèse!H86</f>
        <v>113182.56846560977</v>
      </c>
      <c r="J86" s="501" t="s">
        <v>540</v>
      </c>
      <c r="K86" s="501" t="s">
        <v>540</v>
      </c>
    </row>
    <row r="87" spans="1:11" s="267" customFormat="1" ht="15" x14ac:dyDescent="0.25">
      <c r="A87" s="86">
        <f>Données!A87</f>
        <v>5540</v>
      </c>
      <c r="B87" s="409" t="str">
        <f>Données!B87</f>
        <v>Montilliez</v>
      </c>
      <c r="C87" s="264">
        <f>Synthèse!G87</f>
        <v>1065384.2391425311</v>
      </c>
      <c r="D87" s="492" t="s">
        <v>540</v>
      </c>
      <c r="E87" s="493" t="s">
        <v>540</v>
      </c>
      <c r="F87" s="263">
        <f>Synthèse!F87</f>
        <v>182867.8403435268</v>
      </c>
      <c r="G87" s="497" t="s">
        <v>540</v>
      </c>
      <c r="H87" s="497" t="s">
        <v>540</v>
      </c>
      <c r="I87" s="264">
        <f>Synthèse!H87</f>
        <v>208029.62558606669</v>
      </c>
      <c r="J87" s="501" t="s">
        <v>540</v>
      </c>
      <c r="K87" s="501" t="s">
        <v>540</v>
      </c>
    </row>
    <row r="88" spans="1:11" s="267" customFormat="1" ht="15" x14ac:dyDescent="0.25">
      <c r="A88" s="86">
        <f>Données!A88</f>
        <v>5541</v>
      </c>
      <c r="B88" s="409" t="str">
        <f>Données!B88</f>
        <v>Goumoëns</v>
      </c>
      <c r="C88" s="264">
        <f>Synthèse!G88</f>
        <v>669810.73026323004</v>
      </c>
      <c r="D88" s="492" t="s">
        <v>540</v>
      </c>
      <c r="E88" s="493" t="s">
        <v>540</v>
      </c>
      <c r="F88" s="263">
        <f>Synthèse!F88</f>
        <v>146837.34507962875</v>
      </c>
      <c r="G88" s="497" t="s">
        <v>540</v>
      </c>
      <c r="H88" s="497" t="s">
        <v>540</v>
      </c>
      <c r="I88" s="264">
        <f>Synthèse!H88</f>
        <v>116178.65426055266</v>
      </c>
      <c r="J88" s="501" t="s">
        <v>540</v>
      </c>
      <c r="K88" s="501" t="s">
        <v>540</v>
      </c>
    </row>
    <row r="89" spans="1:11" s="267" customFormat="1" ht="15" x14ac:dyDescent="0.25">
      <c r="A89" s="86">
        <f>Données!A89</f>
        <v>5551</v>
      </c>
      <c r="B89" s="409" t="str">
        <f>Données!B89</f>
        <v>Bonvillars</v>
      </c>
      <c r="C89" s="264">
        <f>Synthèse!G89</f>
        <v>304642.19086071511</v>
      </c>
      <c r="D89" s="492" t="s">
        <v>540</v>
      </c>
      <c r="E89" s="493" t="s">
        <v>540</v>
      </c>
      <c r="F89" s="263">
        <f>Synthèse!F89</f>
        <v>209461.47564021265</v>
      </c>
      <c r="G89" s="497" t="s">
        <v>540</v>
      </c>
      <c r="H89" s="497" t="s">
        <v>540</v>
      </c>
      <c r="I89" s="264">
        <f>Synthèse!H89</f>
        <v>58344.331479012661</v>
      </c>
      <c r="J89" s="501" t="s">
        <v>540</v>
      </c>
      <c r="K89" s="501" t="s">
        <v>540</v>
      </c>
    </row>
    <row r="90" spans="1:11" s="267" customFormat="1" ht="15" x14ac:dyDescent="0.25">
      <c r="A90" s="86">
        <f>Données!A90</f>
        <v>5552</v>
      </c>
      <c r="B90" s="409" t="str">
        <f>Données!B90</f>
        <v>Bullet</v>
      </c>
      <c r="C90" s="264">
        <f>Synthèse!G90</f>
        <v>328560.45941418229</v>
      </c>
      <c r="D90" s="492" t="s">
        <v>540</v>
      </c>
      <c r="E90" s="493" t="s">
        <v>540</v>
      </c>
      <c r="F90" s="263">
        <f>Synthèse!F90</f>
        <v>-190420.7272356184</v>
      </c>
      <c r="G90" s="497" t="s">
        <v>540</v>
      </c>
      <c r="H90" s="497" t="s">
        <v>540</v>
      </c>
      <c r="I90" s="264">
        <f>Synthèse!H90</f>
        <v>54426.18207502694</v>
      </c>
      <c r="J90" s="501" t="s">
        <v>540</v>
      </c>
      <c r="K90" s="501" t="s">
        <v>540</v>
      </c>
    </row>
    <row r="91" spans="1:11" s="267" customFormat="1" ht="15" x14ac:dyDescent="0.25">
      <c r="A91" s="86">
        <f>Données!A91</f>
        <v>5553</v>
      </c>
      <c r="B91" s="409" t="str">
        <f>Données!B91</f>
        <v>Champagne</v>
      </c>
      <c r="C91" s="264">
        <f>Synthèse!G91</f>
        <v>720904.86265132087</v>
      </c>
      <c r="D91" s="492" t="s">
        <v>540</v>
      </c>
      <c r="E91" s="493" t="s">
        <v>540</v>
      </c>
      <c r="F91" s="263">
        <f>Synthèse!F91</f>
        <v>274465.07888315408</v>
      </c>
      <c r="G91" s="497" t="s">
        <v>540</v>
      </c>
      <c r="H91" s="497" t="s">
        <v>540</v>
      </c>
      <c r="I91" s="264">
        <f>Synthèse!H91</f>
        <v>119215.40037902766</v>
      </c>
      <c r="J91" s="501" t="s">
        <v>540</v>
      </c>
      <c r="K91" s="501" t="s">
        <v>540</v>
      </c>
    </row>
    <row r="92" spans="1:11" s="267" customFormat="1" ht="15" x14ac:dyDescent="0.25">
      <c r="A92" s="86">
        <f>Données!A92</f>
        <v>5554</v>
      </c>
      <c r="B92" s="409" t="str">
        <f>Données!B92</f>
        <v>Concise</v>
      </c>
      <c r="C92" s="264">
        <f>Synthèse!G92</f>
        <v>596554.92000724841</v>
      </c>
      <c r="D92" s="492" t="s">
        <v>540</v>
      </c>
      <c r="E92" s="493" t="s">
        <v>540</v>
      </c>
      <c r="F92" s="263">
        <f>Synthèse!F92</f>
        <v>-14447.982929625083</v>
      </c>
      <c r="G92" s="497" t="s">
        <v>540</v>
      </c>
      <c r="H92" s="497" t="s">
        <v>540</v>
      </c>
      <c r="I92" s="264">
        <f>Synthèse!H92</f>
        <v>101885.72515788062</v>
      </c>
      <c r="J92" s="501" t="s">
        <v>540</v>
      </c>
      <c r="K92" s="501" t="s">
        <v>540</v>
      </c>
    </row>
    <row r="93" spans="1:11" s="267" customFormat="1" ht="15" x14ac:dyDescent="0.25">
      <c r="A93" s="86">
        <f>Données!A93</f>
        <v>5555</v>
      </c>
      <c r="B93" s="409" t="str">
        <f>Données!B93</f>
        <v>Corcelles-près-Concise</v>
      </c>
      <c r="C93" s="264">
        <f>Synthèse!G93</f>
        <v>289553.20258381299</v>
      </c>
      <c r="D93" s="492" t="s">
        <v>540</v>
      </c>
      <c r="E93" s="493" t="s">
        <v>540</v>
      </c>
      <c r="F93" s="263">
        <f>Synthèse!F93</f>
        <v>-69926.653568182373</v>
      </c>
      <c r="G93" s="497" t="s">
        <v>540</v>
      </c>
      <c r="H93" s="497" t="s">
        <v>540</v>
      </c>
      <c r="I93" s="264">
        <f>Synthèse!H93</f>
        <v>42030.543823355052</v>
      </c>
      <c r="J93" s="501" t="s">
        <v>540</v>
      </c>
      <c r="K93" s="501" t="s">
        <v>540</v>
      </c>
    </row>
    <row r="94" spans="1:11" s="267" customFormat="1" ht="15" x14ac:dyDescent="0.25">
      <c r="A94" s="86">
        <f>Données!A94</f>
        <v>5556</v>
      </c>
      <c r="B94" s="409" t="str">
        <f>Données!B94</f>
        <v>Fiez</v>
      </c>
      <c r="C94" s="264">
        <f>Synthèse!G94</f>
        <v>247015.7443682951</v>
      </c>
      <c r="D94" s="492" t="s">
        <v>540</v>
      </c>
      <c r="E94" s="493" t="s">
        <v>540</v>
      </c>
      <c r="F94" s="263">
        <f>Synthèse!F94</f>
        <v>56438.248383198981</v>
      </c>
      <c r="G94" s="497" t="s">
        <v>540</v>
      </c>
      <c r="H94" s="497" t="s">
        <v>540</v>
      </c>
      <c r="I94" s="264">
        <f>Synthèse!H94</f>
        <v>43270.196102273847</v>
      </c>
      <c r="J94" s="501" t="s">
        <v>540</v>
      </c>
      <c r="K94" s="501" t="s">
        <v>540</v>
      </c>
    </row>
    <row r="95" spans="1:11" s="267" customFormat="1" ht="15" x14ac:dyDescent="0.25">
      <c r="A95" s="86">
        <f>Données!A95</f>
        <v>5557</v>
      </c>
      <c r="B95" s="409" t="str">
        <f>Données!B95</f>
        <v>Fontaines-sur-Grandson</v>
      </c>
      <c r="C95" s="264">
        <f>Synthèse!G95</f>
        <v>118573.59441758512</v>
      </c>
      <c r="D95" s="492" t="s">
        <v>540</v>
      </c>
      <c r="E95" s="493" t="s">
        <v>540</v>
      </c>
      <c r="F95" s="263">
        <f>Synthèse!F95</f>
        <v>-1002.7421508390107</v>
      </c>
      <c r="G95" s="497" t="s">
        <v>540</v>
      </c>
      <c r="H95" s="497" t="s">
        <v>540</v>
      </c>
      <c r="I95" s="264">
        <f>Synthèse!H95</f>
        <v>18299.124744042354</v>
      </c>
      <c r="J95" s="501" t="s">
        <v>540</v>
      </c>
      <c r="K95" s="501" t="s">
        <v>540</v>
      </c>
    </row>
    <row r="96" spans="1:11" s="267" customFormat="1" ht="15" x14ac:dyDescent="0.25">
      <c r="A96" s="86">
        <f>Données!A96</f>
        <v>5559</v>
      </c>
      <c r="B96" s="409" t="str">
        <f>Données!B96</f>
        <v>Giez</v>
      </c>
      <c r="C96" s="264">
        <f>Synthèse!G96</f>
        <v>309804.96401705715</v>
      </c>
      <c r="D96" s="492" t="s">
        <v>540</v>
      </c>
      <c r="E96" s="493" t="s">
        <v>540</v>
      </c>
      <c r="F96" s="263">
        <f>Synthèse!F96</f>
        <v>230163.93199873605</v>
      </c>
      <c r="G96" s="497" t="s">
        <v>540</v>
      </c>
      <c r="H96" s="497" t="s">
        <v>540</v>
      </c>
      <c r="I96" s="264">
        <f>Synthèse!H96</f>
        <v>53522.905725959528</v>
      </c>
      <c r="J96" s="501" t="s">
        <v>540</v>
      </c>
      <c r="K96" s="501" t="s">
        <v>540</v>
      </c>
    </row>
    <row r="97" spans="1:11" s="267" customFormat="1" ht="15" x14ac:dyDescent="0.25">
      <c r="A97" s="86">
        <f>Données!A97</f>
        <v>5560</v>
      </c>
      <c r="B97" s="409" t="str">
        <f>Données!B97</f>
        <v>Grandevent</v>
      </c>
      <c r="C97" s="264">
        <f>Synthèse!G97</f>
        <v>104110.22131957639</v>
      </c>
      <c r="D97" s="492" t="s">
        <v>540</v>
      </c>
      <c r="E97" s="493" t="s">
        <v>540</v>
      </c>
      <c r="F97" s="263">
        <f>Synthèse!F97</f>
        <v>1892.7150852294581</v>
      </c>
      <c r="G97" s="497" t="s">
        <v>540</v>
      </c>
      <c r="H97" s="497" t="s">
        <v>540</v>
      </c>
      <c r="I97" s="264">
        <f>Synthèse!H97</f>
        <v>19036.858906948277</v>
      </c>
      <c r="J97" s="501" t="s">
        <v>540</v>
      </c>
      <c r="K97" s="501" t="s">
        <v>540</v>
      </c>
    </row>
    <row r="98" spans="1:11" s="267" customFormat="1" ht="15" x14ac:dyDescent="0.25">
      <c r="A98" s="86">
        <f>Données!A98</f>
        <v>5561</v>
      </c>
      <c r="B98" s="409" t="str">
        <f>Données!B98</f>
        <v>Grandson</v>
      </c>
      <c r="C98" s="264">
        <f>Synthèse!G98</f>
        <v>2129687.5848870459</v>
      </c>
      <c r="D98" s="492" t="s">
        <v>540</v>
      </c>
      <c r="E98" s="493" t="s">
        <v>540</v>
      </c>
      <c r="F98" s="263">
        <f>Synthèse!F98</f>
        <v>-580638.54823936056</v>
      </c>
      <c r="G98" s="497" t="s">
        <v>540</v>
      </c>
      <c r="H98" s="497" t="s">
        <v>540</v>
      </c>
      <c r="I98" s="264">
        <f>Synthèse!H98</f>
        <v>358464.23651516088</v>
      </c>
      <c r="J98" s="501" t="s">
        <v>540</v>
      </c>
      <c r="K98" s="501" t="s">
        <v>540</v>
      </c>
    </row>
    <row r="99" spans="1:11" s="267" customFormat="1" ht="15" x14ac:dyDescent="0.25">
      <c r="A99" s="86">
        <f>Données!A99</f>
        <v>5562</v>
      </c>
      <c r="B99" s="409" t="str">
        <f>Données!B99</f>
        <v>Mauborget</v>
      </c>
      <c r="C99" s="264">
        <f>Synthèse!G99</f>
        <v>102597.1239721794</v>
      </c>
      <c r="D99" s="492" t="s">
        <v>540</v>
      </c>
      <c r="E99" s="493" t="s">
        <v>540</v>
      </c>
      <c r="F99" s="263">
        <f>Synthèse!F99</f>
        <v>94176.532234290513</v>
      </c>
      <c r="G99" s="497" t="s">
        <v>540</v>
      </c>
      <c r="H99" s="497" t="s">
        <v>540</v>
      </c>
      <c r="I99" s="264">
        <f>Synthèse!H99</f>
        <v>18688.661541725087</v>
      </c>
      <c r="J99" s="501" t="s">
        <v>540</v>
      </c>
      <c r="K99" s="501" t="s">
        <v>540</v>
      </c>
    </row>
    <row r="100" spans="1:11" s="267" customFormat="1" ht="15" x14ac:dyDescent="0.25">
      <c r="A100" s="86">
        <f>Données!A100</f>
        <v>5563</v>
      </c>
      <c r="B100" s="409" t="str">
        <f>Données!B100</f>
        <v>Mutrux</v>
      </c>
      <c r="C100" s="264">
        <f>Synthèse!G100</f>
        <v>71287.426923780207</v>
      </c>
      <c r="D100" s="492" t="s">
        <v>540</v>
      </c>
      <c r="E100" s="493" t="s">
        <v>540</v>
      </c>
      <c r="F100" s="263">
        <f>Synthèse!F100</f>
        <v>-59942.994035507567</v>
      </c>
      <c r="G100" s="497" t="s">
        <v>540</v>
      </c>
      <c r="H100" s="497" t="s">
        <v>540</v>
      </c>
      <c r="I100" s="264">
        <f>Synthèse!H100</f>
        <v>12856.402139344638</v>
      </c>
      <c r="J100" s="501" t="s">
        <v>540</v>
      </c>
      <c r="K100" s="501" t="s">
        <v>540</v>
      </c>
    </row>
    <row r="101" spans="1:11" s="267" customFormat="1" ht="15" x14ac:dyDescent="0.25">
      <c r="A101" s="86">
        <f>Données!A101</f>
        <v>5564</v>
      </c>
      <c r="B101" s="409" t="str">
        <f>Données!B101</f>
        <v>Novalles</v>
      </c>
      <c r="C101" s="264">
        <f>Synthèse!G101</f>
        <v>43958.44952782194</v>
      </c>
      <c r="D101" s="492" t="s">
        <v>540</v>
      </c>
      <c r="E101" s="493" t="s">
        <v>540</v>
      </c>
      <c r="F101" s="263">
        <f>Synthèse!F101</f>
        <v>-32525.692237321731</v>
      </c>
      <c r="G101" s="497" t="s">
        <v>540</v>
      </c>
      <c r="H101" s="497" t="s">
        <v>540</v>
      </c>
      <c r="I101" s="264">
        <f>Synthèse!H101</f>
        <v>6528.0905781521487</v>
      </c>
      <c r="J101" s="501" t="s">
        <v>540</v>
      </c>
      <c r="K101" s="501" t="s">
        <v>540</v>
      </c>
    </row>
    <row r="102" spans="1:11" s="267" customFormat="1" ht="15" x14ac:dyDescent="0.25">
      <c r="A102" s="86">
        <f>Données!A102</f>
        <v>5565</v>
      </c>
      <c r="B102" s="409" t="str">
        <f>Données!B102</f>
        <v>Onnens</v>
      </c>
      <c r="C102" s="264">
        <f>Synthèse!G102</f>
        <v>319160.8382021992</v>
      </c>
      <c r="D102" s="492" t="s">
        <v>540</v>
      </c>
      <c r="E102" s="493" t="s">
        <v>540</v>
      </c>
      <c r="F102" s="263">
        <f>Synthèse!F102</f>
        <v>208507.16382258781</v>
      </c>
      <c r="G102" s="497" t="s">
        <v>540</v>
      </c>
      <c r="H102" s="497" t="s">
        <v>540</v>
      </c>
      <c r="I102" s="264">
        <f>Synthèse!H102</f>
        <v>59671.490888720364</v>
      </c>
      <c r="J102" s="501" t="s">
        <v>540</v>
      </c>
      <c r="K102" s="501" t="s">
        <v>540</v>
      </c>
    </row>
    <row r="103" spans="1:11" s="267" customFormat="1" ht="15" x14ac:dyDescent="0.25">
      <c r="A103" s="86">
        <f>Données!A103</f>
        <v>5566</v>
      </c>
      <c r="B103" s="409" t="str">
        <f>Données!B103</f>
        <v>Provence</v>
      </c>
      <c r="C103" s="264">
        <f>Synthèse!G103</f>
        <v>188389.84945102801</v>
      </c>
      <c r="D103" s="492" t="s">
        <v>540</v>
      </c>
      <c r="E103" s="493" t="s">
        <v>540</v>
      </c>
      <c r="F103" s="263">
        <f>Synthèse!F103</f>
        <v>-504033.10900161997</v>
      </c>
      <c r="G103" s="497" t="s">
        <v>540</v>
      </c>
      <c r="H103" s="497" t="s">
        <v>540</v>
      </c>
      <c r="I103" s="264">
        <f>Synthèse!H103</f>
        <v>23595.513736950485</v>
      </c>
      <c r="J103" s="501" t="s">
        <v>540</v>
      </c>
      <c r="K103" s="501" t="s">
        <v>540</v>
      </c>
    </row>
    <row r="104" spans="1:11" s="267" customFormat="1" ht="15" x14ac:dyDescent="0.25">
      <c r="A104" s="86">
        <f>Données!A104</f>
        <v>5568</v>
      </c>
      <c r="B104" s="409" t="str">
        <f>Données!B104</f>
        <v>Sainte-Croix</v>
      </c>
      <c r="C104" s="264">
        <f>Synthèse!G104</f>
        <v>2609041.0266124979</v>
      </c>
      <c r="D104" s="492" t="s">
        <v>540</v>
      </c>
      <c r="E104" s="493" t="s">
        <v>540</v>
      </c>
      <c r="F104" s="263">
        <f>Synthèse!F104</f>
        <v>-3573921.7272255518</v>
      </c>
      <c r="G104" s="497" t="s">
        <v>540</v>
      </c>
      <c r="H104" s="497" t="s">
        <v>540</v>
      </c>
      <c r="I104" s="264">
        <f>Synthèse!H104</f>
        <v>330997.5720133076</v>
      </c>
      <c r="J104" s="501" t="s">
        <v>540</v>
      </c>
      <c r="K104" s="501" t="s">
        <v>540</v>
      </c>
    </row>
    <row r="105" spans="1:11" s="267" customFormat="1" ht="15" x14ac:dyDescent="0.25">
      <c r="A105" s="86">
        <f>Données!A105</f>
        <v>5571</v>
      </c>
      <c r="B105" s="409" t="str">
        <f>Données!B105</f>
        <v>Tévenon</v>
      </c>
      <c r="C105" s="264">
        <f>Synthèse!G105</f>
        <v>387375.32579187653</v>
      </c>
      <c r="D105" s="492" t="s">
        <v>540</v>
      </c>
      <c r="E105" s="493" t="s">
        <v>540</v>
      </c>
      <c r="F105" s="263">
        <f>Synthèse!F105</f>
        <v>-266776.81441485084</v>
      </c>
      <c r="G105" s="497" t="s">
        <v>540</v>
      </c>
      <c r="H105" s="497" t="s">
        <v>540</v>
      </c>
      <c r="I105" s="264">
        <f>Synthèse!H105</f>
        <v>65495.747496009339</v>
      </c>
      <c r="J105" s="501" t="s">
        <v>540</v>
      </c>
      <c r="K105" s="501" t="s">
        <v>540</v>
      </c>
    </row>
    <row r="106" spans="1:11" s="267" customFormat="1" ht="15" x14ac:dyDescent="0.25">
      <c r="A106" s="86">
        <f>Données!A106</f>
        <v>5581</v>
      </c>
      <c r="B106" s="409" t="str">
        <f>Données!B106</f>
        <v>Belmont-sur-Lausanne</v>
      </c>
      <c r="C106" s="264">
        <f>Synthèse!G106</f>
        <v>4508431.0701831514</v>
      </c>
      <c r="D106" s="492" t="s">
        <v>540</v>
      </c>
      <c r="E106" s="493" t="s">
        <v>540</v>
      </c>
      <c r="F106" s="263">
        <f>Synthèse!F106</f>
        <v>2149070.8274573367</v>
      </c>
      <c r="G106" s="497" t="s">
        <v>540</v>
      </c>
      <c r="H106" s="497" t="s">
        <v>540</v>
      </c>
      <c r="I106" s="264">
        <f>Synthèse!H106</f>
        <v>274708.44910061703</v>
      </c>
      <c r="J106" s="501" t="s">
        <v>540</v>
      </c>
      <c r="K106" s="501" t="s">
        <v>540</v>
      </c>
    </row>
    <row r="107" spans="1:11" s="267" customFormat="1" ht="15" x14ac:dyDescent="0.25">
      <c r="A107" s="86">
        <f>Données!A107</f>
        <v>5582</v>
      </c>
      <c r="B107" s="409" t="str">
        <f>Données!B107</f>
        <v>Cheseaux-sur-Lausanne</v>
      </c>
      <c r="C107" s="264">
        <f>Synthèse!G107</f>
        <v>2830160.8174522817</v>
      </c>
      <c r="D107" s="492" t="s">
        <v>540</v>
      </c>
      <c r="E107" s="493" t="s">
        <v>540</v>
      </c>
      <c r="F107" s="263">
        <f>Synthèse!F107</f>
        <v>418540.99285068316</v>
      </c>
      <c r="G107" s="497" t="s">
        <v>540</v>
      </c>
      <c r="H107" s="497" t="s">
        <v>540</v>
      </c>
      <c r="I107" s="264">
        <f>Synthèse!H107</f>
        <v>511513.94145306601</v>
      </c>
      <c r="J107" s="501" t="s">
        <v>540</v>
      </c>
      <c r="K107" s="501" t="s">
        <v>540</v>
      </c>
    </row>
    <row r="108" spans="1:11" s="267" customFormat="1" ht="15" x14ac:dyDescent="0.25">
      <c r="A108" s="86">
        <f>Données!A108</f>
        <v>5583</v>
      </c>
      <c r="B108" s="409" t="str">
        <f>Données!B108</f>
        <v>Crissier</v>
      </c>
      <c r="C108" s="264">
        <f>Synthèse!G108</f>
        <v>6794092.2903066073</v>
      </c>
      <c r="D108" s="492" t="s">
        <v>540</v>
      </c>
      <c r="E108" s="493" t="s">
        <v>540</v>
      </c>
      <c r="F108" s="263">
        <f>Synthèse!F108</f>
        <v>-299997.8628248712</v>
      </c>
      <c r="G108" s="497" t="s">
        <v>540</v>
      </c>
      <c r="H108" s="497" t="s">
        <v>540</v>
      </c>
      <c r="I108" s="264">
        <f>Synthèse!H108</f>
        <v>473938.11611141101</v>
      </c>
      <c r="J108" s="501" t="s">
        <v>540</v>
      </c>
      <c r="K108" s="501" t="s">
        <v>540</v>
      </c>
    </row>
    <row r="109" spans="1:11" s="267" customFormat="1" ht="15" x14ac:dyDescent="0.25">
      <c r="A109" s="86">
        <f>Données!A109</f>
        <v>5584</v>
      </c>
      <c r="B109" s="409" t="str">
        <f>Données!B109</f>
        <v>Epalinges</v>
      </c>
      <c r="C109" s="264">
        <f>Synthèse!G109</f>
        <v>9302899.1973805334</v>
      </c>
      <c r="D109" s="492" t="s">
        <v>540</v>
      </c>
      <c r="E109" s="493" t="s">
        <v>540</v>
      </c>
      <c r="F109" s="263">
        <f>Synthèse!F109</f>
        <v>1023226.5709095597</v>
      </c>
      <c r="G109" s="497" t="s">
        <v>540</v>
      </c>
      <c r="H109" s="497" t="s">
        <v>540</v>
      </c>
      <c r="I109" s="264">
        <f>Synthèse!H109</f>
        <v>1452456.1267690849</v>
      </c>
      <c r="J109" s="501" t="s">
        <v>540</v>
      </c>
      <c r="K109" s="501" t="s">
        <v>540</v>
      </c>
    </row>
    <row r="110" spans="1:11" s="267" customFormat="1" ht="15" x14ac:dyDescent="0.25">
      <c r="A110" s="86">
        <f>Données!A110</f>
        <v>5585</v>
      </c>
      <c r="B110" s="409" t="str">
        <f>Données!B110</f>
        <v>Jouxtens-Mézery</v>
      </c>
      <c r="C110" s="264">
        <f>Synthèse!G110</f>
        <v>6943119.2766043246</v>
      </c>
      <c r="D110" s="492" t="s">
        <v>540</v>
      </c>
      <c r="E110" s="493" t="s">
        <v>540</v>
      </c>
      <c r="F110" s="263">
        <f>Synthèse!F110</f>
        <v>3323469.6324131312</v>
      </c>
      <c r="G110" s="497" t="s">
        <v>540</v>
      </c>
      <c r="H110" s="497" t="s">
        <v>540</v>
      </c>
      <c r="I110" s="264">
        <f>Synthèse!H110</f>
        <v>381799.61755008192</v>
      </c>
      <c r="J110" s="501" t="s">
        <v>540</v>
      </c>
      <c r="K110" s="501" t="s">
        <v>540</v>
      </c>
    </row>
    <row r="111" spans="1:11" s="267" customFormat="1" ht="15" x14ac:dyDescent="0.25">
      <c r="A111" s="86">
        <f>Données!A111</f>
        <v>5586</v>
      </c>
      <c r="B111" s="409" t="str">
        <f>Données!B111</f>
        <v>Lausanne</v>
      </c>
      <c r="C111" s="264">
        <f>Synthèse!G111</f>
        <v>112382604.52569373</v>
      </c>
      <c r="D111" s="492" t="s">
        <v>540</v>
      </c>
      <c r="E111" s="493" t="s">
        <v>540</v>
      </c>
      <c r="F111" s="263">
        <f>Synthèse!F111</f>
        <v>-76461918.766157076</v>
      </c>
      <c r="G111" s="497" t="s">
        <v>540</v>
      </c>
      <c r="H111" s="497" t="s">
        <v>540</v>
      </c>
      <c r="I111" s="264">
        <f>Synthèse!H111</f>
        <v>7951405.7547911694</v>
      </c>
      <c r="J111" s="501" t="s">
        <v>540</v>
      </c>
      <c r="K111" s="501" t="s">
        <v>540</v>
      </c>
    </row>
    <row r="112" spans="1:11" s="267" customFormat="1" ht="15" x14ac:dyDescent="0.25">
      <c r="A112" s="86">
        <f>Données!A112</f>
        <v>5587</v>
      </c>
      <c r="B112" s="409" t="str">
        <f>Données!B112</f>
        <v>Le Mont-sur-Lausanne</v>
      </c>
      <c r="C112" s="264">
        <f>Synthèse!G112</f>
        <v>8500622.6095892452</v>
      </c>
      <c r="D112" s="492" t="s">
        <v>540</v>
      </c>
      <c r="E112" s="493" t="s">
        <v>540</v>
      </c>
      <c r="F112" s="263">
        <f>Synthèse!F112</f>
        <v>2005117.3789488226</v>
      </c>
      <c r="G112" s="497" t="s">
        <v>540</v>
      </c>
      <c r="H112" s="497" t="s">
        <v>540</v>
      </c>
      <c r="I112" s="264">
        <f>Synthèse!H112</f>
        <v>1348689.2128261311</v>
      </c>
      <c r="J112" s="501" t="s">
        <v>540</v>
      </c>
      <c r="K112" s="501" t="s">
        <v>540</v>
      </c>
    </row>
    <row r="113" spans="1:11" s="267" customFormat="1" ht="15" x14ac:dyDescent="0.25">
      <c r="A113" s="86">
        <f>Données!A113</f>
        <v>5588</v>
      </c>
      <c r="B113" s="409" t="str">
        <f>Données!B113</f>
        <v>Paudex</v>
      </c>
      <c r="C113" s="264">
        <f>Synthèse!G113</f>
        <v>3628918.5643534325</v>
      </c>
      <c r="D113" s="492" t="s">
        <v>540</v>
      </c>
      <c r="E113" s="493" t="s">
        <v>540</v>
      </c>
      <c r="F113" s="263">
        <f>Synthèse!F113</f>
        <v>2281556.797147247</v>
      </c>
      <c r="G113" s="497" t="s">
        <v>540</v>
      </c>
      <c r="H113" s="497" t="s">
        <v>540</v>
      </c>
      <c r="I113" s="264">
        <f>Synthèse!H113</f>
        <v>175024.5157385151</v>
      </c>
      <c r="J113" s="501" t="s">
        <v>540</v>
      </c>
      <c r="K113" s="501" t="s">
        <v>540</v>
      </c>
    </row>
    <row r="114" spans="1:11" s="267" customFormat="1" ht="15" x14ac:dyDescent="0.25">
      <c r="A114" s="86">
        <f>Données!A114</f>
        <v>5589</v>
      </c>
      <c r="B114" s="409" t="str">
        <f>Données!B114</f>
        <v>Prilly</v>
      </c>
      <c r="C114" s="264">
        <f>Synthèse!G114</f>
        <v>7937922.3432843229</v>
      </c>
      <c r="D114" s="492" t="s">
        <v>540</v>
      </c>
      <c r="E114" s="493" t="s">
        <v>540</v>
      </c>
      <c r="F114" s="263">
        <f>Synthèse!F114</f>
        <v>-3521665.6140714549</v>
      </c>
      <c r="G114" s="497" t="s">
        <v>540</v>
      </c>
      <c r="H114" s="497" t="s">
        <v>540</v>
      </c>
      <c r="I114" s="264">
        <f>Synthèse!H114</f>
        <v>586098.44348803372</v>
      </c>
      <c r="J114" s="501" t="s">
        <v>540</v>
      </c>
      <c r="K114" s="501" t="s">
        <v>540</v>
      </c>
    </row>
    <row r="115" spans="1:11" s="267" customFormat="1" ht="15" x14ac:dyDescent="0.25">
      <c r="A115" s="86">
        <f>Données!A115</f>
        <v>5590</v>
      </c>
      <c r="B115" s="409" t="str">
        <f>Données!B115</f>
        <v>Pully</v>
      </c>
      <c r="C115" s="264">
        <f>Synthèse!G115</f>
        <v>37361203.214299612</v>
      </c>
      <c r="D115" s="492" t="s">
        <v>540</v>
      </c>
      <c r="E115" s="493" t="s">
        <v>540</v>
      </c>
      <c r="F115" s="263">
        <f>Synthèse!F115</f>
        <v>12382915.364185125</v>
      </c>
      <c r="G115" s="497" t="s">
        <v>540</v>
      </c>
      <c r="H115" s="497" t="s">
        <v>540</v>
      </c>
      <c r="I115" s="264">
        <f>Synthèse!H115</f>
        <v>1909300.0561161842</v>
      </c>
      <c r="J115" s="501" t="s">
        <v>540</v>
      </c>
      <c r="K115" s="501" t="s">
        <v>540</v>
      </c>
    </row>
    <row r="116" spans="1:11" s="267" customFormat="1" ht="15" x14ac:dyDescent="0.25">
      <c r="A116" s="86">
        <f>Données!A116</f>
        <v>5591</v>
      </c>
      <c r="B116" s="409" t="str">
        <f>Données!B116</f>
        <v>Renens</v>
      </c>
      <c r="C116" s="264">
        <f>Synthèse!G116</f>
        <v>11589107.377554236</v>
      </c>
      <c r="D116" s="492" t="s">
        <v>540</v>
      </c>
      <c r="E116" s="493" t="s">
        <v>540</v>
      </c>
      <c r="F116" s="263">
        <f>Synthèse!F116</f>
        <v>-18886987.651447773</v>
      </c>
      <c r="G116" s="497" t="s">
        <v>540</v>
      </c>
      <c r="H116" s="497" t="s">
        <v>540</v>
      </c>
      <c r="I116" s="264">
        <f>Synthèse!H116</f>
        <v>769391.72779291647</v>
      </c>
      <c r="J116" s="501" t="s">
        <v>540</v>
      </c>
      <c r="K116" s="501" t="s">
        <v>540</v>
      </c>
    </row>
    <row r="117" spans="1:11" s="267" customFormat="1" ht="15" x14ac:dyDescent="0.25">
      <c r="A117" s="86">
        <f>Données!A117</f>
        <v>5592</v>
      </c>
      <c r="B117" s="409" t="str">
        <f>Données!B117</f>
        <v>Romanel-sur-Lausanne</v>
      </c>
      <c r="C117" s="264">
        <f>Synthèse!G117</f>
        <v>2041241.5809071308</v>
      </c>
      <c r="D117" s="492" t="s">
        <v>540</v>
      </c>
      <c r="E117" s="493" t="s">
        <v>540</v>
      </c>
      <c r="F117" s="263">
        <f>Synthèse!F117</f>
        <v>602921.11410852987</v>
      </c>
      <c r="G117" s="497" t="s">
        <v>540</v>
      </c>
      <c r="H117" s="497" t="s">
        <v>540</v>
      </c>
      <c r="I117" s="264">
        <f>Synthèse!H117</f>
        <v>375637.38506876933</v>
      </c>
      <c r="J117" s="501" t="s">
        <v>540</v>
      </c>
      <c r="K117" s="501" t="s">
        <v>540</v>
      </c>
    </row>
    <row r="118" spans="1:11" s="267" customFormat="1" ht="15" x14ac:dyDescent="0.25">
      <c r="A118" s="86">
        <f>Données!A118</f>
        <v>5601</v>
      </c>
      <c r="B118" s="409" t="str">
        <f>Données!B118</f>
        <v>Chexbres</v>
      </c>
      <c r="C118" s="264">
        <f>Synthèse!G118</f>
        <v>2278339.0209278627</v>
      </c>
      <c r="D118" s="492" t="s">
        <v>540</v>
      </c>
      <c r="E118" s="493" t="s">
        <v>540</v>
      </c>
      <c r="F118" s="263">
        <f>Synthèse!F118</f>
        <v>850515.59109608317</v>
      </c>
      <c r="G118" s="497" t="s">
        <v>540</v>
      </c>
      <c r="H118" s="497" t="s">
        <v>540</v>
      </c>
      <c r="I118" s="264">
        <f>Synthèse!H118</f>
        <v>126817.38672762954</v>
      </c>
      <c r="J118" s="501" t="s">
        <v>540</v>
      </c>
      <c r="K118" s="501" t="s">
        <v>540</v>
      </c>
    </row>
    <row r="119" spans="1:11" s="267" customFormat="1" ht="15" x14ac:dyDescent="0.25">
      <c r="A119" s="86">
        <f>Données!A119</f>
        <v>5604</v>
      </c>
      <c r="B119" s="409" t="str">
        <f>Données!B119</f>
        <v>Forel (Lavaux)</v>
      </c>
      <c r="C119" s="264">
        <f>Synthèse!G119</f>
        <v>1229540.0906798062</v>
      </c>
      <c r="D119" s="492" t="s">
        <v>540</v>
      </c>
      <c r="E119" s="493" t="s">
        <v>540</v>
      </c>
      <c r="F119" s="263">
        <f>Synthèse!F119</f>
        <v>71841.61996581452</v>
      </c>
      <c r="G119" s="497" t="s">
        <v>540</v>
      </c>
      <c r="H119" s="497" t="s">
        <v>540</v>
      </c>
      <c r="I119" s="264">
        <f>Synthèse!H119</f>
        <v>222367.8100671352</v>
      </c>
      <c r="J119" s="501" t="s">
        <v>540</v>
      </c>
      <c r="K119" s="501" t="s">
        <v>540</v>
      </c>
    </row>
    <row r="120" spans="1:11" s="267" customFormat="1" ht="15" x14ac:dyDescent="0.25">
      <c r="A120" s="86">
        <f>Données!A120</f>
        <v>5606</v>
      </c>
      <c r="B120" s="409" t="str">
        <f>Données!B120</f>
        <v>Lutry</v>
      </c>
      <c r="C120" s="264">
        <f>Synthèse!G120</f>
        <v>22204993.771073379</v>
      </c>
      <c r="D120" s="492" t="s">
        <v>540</v>
      </c>
      <c r="E120" s="493" t="s">
        <v>540</v>
      </c>
      <c r="F120" s="263">
        <f>Synthèse!F120</f>
        <v>9177948.9569218531</v>
      </c>
      <c r="G120" s="497" t="s">
        <v>540</v>
      </c>
      <c r="H120" s="497" t="s">
        <v>540</v>
      </c>
      <c r="I120" s="264">
        <f>Synthèse!H120</f>
        <v>1130646.2999570495</v>
      </c>
      <c r="J120" s="501" t="s">
        <v>540</v>
      </c>
      <c r="K120" s="501" t="s">
        <v>540</v>
      </c>
    </row>
    <row r="121" spans="1:11" s="267" customFormat="1" ht="15" x14ac:dyDescent="0.25">
      <c r="A121" s="86">
        <f>Données!A121</f>
        <v>5607</v>
      </c>
      <c r="B121" s="409" t="str">
        <f>Données!B121</f>
        <v>Puidoux</v>
      </c>
      <c r="C121" s="264">
        <f>Synthèse!G121</f>
        <v>2145727.3239635308</v>
      </c>
      <c r="D121" s="492" t="s">
        <v>540</v>
      </c>
      <c r="E121" s="493" t="s">
        <v>540</v>
      </c>
      <c r="F121" s="263">
        <f>Synthèse!F121</f>
        <v>-247943.38836217136</v>
      </c>
      <c r="G121" s="497" t="s">
        <v>540</v>
      </c>
      <c r="H121" s="497" t="s">
        <v>540</v>
      </c>
      <c r="I121" s="264">
        <f>Synthèse!H121</f>
        <v>132890.5397720199</v>
      </c>
      <c r="J121" s="501" t="s">
        <v>540</v>
      </c>
      <c r="K121" s="501" t="s">
        <v>540</v>
      </c>
    </row>
    <row r="122" spans="1:11" s="267" customFormat="1" ht="15" x14ac:dyDescent="0.25">
      <c r="A122" s="86">
        <f>Données!A122</f>
        <v>5609</v>
      </c>
      <c r="B122" s="409" t="str">
        <f>Données!B122</f>
        <v>Rivaz</v>
      </c>
      <c r="C122" s="264">
        <f>Synthèse!G122</f>
        <v>273017.42767679057</v>
      </c>
      <c r="D122" s="492" t="s">
        <v>540</v>
      </c>
      <c r="E122" s="493" t="s">
        <v>540</v>
      </c>
      <c r="F122" s="263">
        <f>Synthèse!F122</f>
        <v>241331.61953758518</v>
      </c>
      <c r="G122" s="497" t="s">
        <v>540</v>
      </c>
      <c r="H122" s="497" t="s">
        <v>540</v>
      </c>
      <c r="I122" s="264">
        <f>Synthèse!H122</f>
        <v>20752.858182107535</v>
      </c>
      <c r="J122" s="501" t="s">
        <v>540</v>
      </c>
      <c r="K122" s="501" t="s">
        <v>540</v>
      </c>
    </row>
    <row r="123" spans="1:11" s="267" customFormat="1" ht="15" x14ac:dyDescent="0.25">
      <c r="A123" s="86">
        <f>Données!A123</f>
        <v>5610</v>
      </c>
      <c r="B123" s="409" t="str">
        <f>Données!B123</f>
        <v>St-Saphorin (Lavaux)</v>
      </c>
      <c r="C123" s="264">
        <f>Synthèse!G123</f>
        <v>363108.24312537053</v>
      </c>
      <c r="D123" s="492" t="s">
        <v>540</v>
      </c>
      <c r="E123" s="493" t="s">
        <v>540</v>
      </c>
      <c r="F123" s="263">
        <f>Synthèse!F123</f>
        <v>313919.2361171752</v>
      </c>
      <c r="G123" s="497" t="s">
        <v>540</v>
      </c>
      <c r="H123" s="497" t="s">
        <v>540</v>
      </c>
      <c r="I123" s="264">
        <f>Synthèse!H123</f>
        <v>24848.122996035247</v>
      </c>
      <c r="J123" s="501" t="s">
        <v>540</v>
      </c>
      <c r="K123" s="501" t="s">
        <v>540</v>
      </c>
    </row>
    <row r="124" spans="1:11" s="267" customFormat="1" ht="15" x14ac:dyDescent="0.25">
      <c r="A124" s="86">
        <f>Données!A124</f>
        <v>5611</v>
      </c>
      <c r="B124" s="409" t="str">
        <f>Données!B124</f>
        <v>Savigny</v>
      </c>
      <c r="C124" s="264">
        <f>Synthèse!G124</f>
        <v>2521383.072858599</v>
      </c>
      <c r="D124" s="492" t="s">
        <v>540</v>
      </c>
      <c r="E124" s="493" t="s">
        <v>540</v>
      </c>
      <c r="F124" s="263">
        <f>Synthèse!F124</f>
        <v>770836.11244589416</v>
      </c>
      <c r="G124" s="497" t="s">
        <v>540</v>
      </c>
      <c r="H124" s="497" t="s">
        <v>540</v>
      </c>
      <c r="I124" s="264">
        <f>Synthèse!H124</f>
        <v>176674.56054750236</v>
      </c>
      <c r="J124" s="501" t="s">
        <v>540</v>
      </c>
      <c r="K124" s="501" t="s">
        <v>540</v>
      </c>
    </row>
    <row r="125" spans="1:11" s="267" customFormat="1" ht="15" x14ac:dyDescent="0.25">
      <c r="A125" s="86">
        <f>Données!A125</f>
        <v>5613</v>
      </c>
      <c r="B125" s="409" t="str">
        <f>Données!B125</f>
        <v>Bourg-en-Lavaux</v>
      </c>
      <c r="C125" s="264">
        <f>Synthèse!G125</f>
        <v>7342829.2923065331</v>
      </c>
      <c r="D125" s="492" t="s">
        <v>540</v>
      </c>
      <c r="E125" s="493" t="s">
        <v>540</v>
      </c>
      <c r="F125" s="263">
        <f>Synthèse!F125</f>
        <v>4543029.8307760488</v>
      </c>
      <c r="G125" s="497" t="s">
        <v>540</v>
      </c>
      <c r="H125" s="497" t="s">
        <v>540</v>
      </c>
      <c r="I125" s="264">
        <f>Synthèse!H125</f>
        <v>444584.66174512019</v>
      </c>
      <c r="J125" s="501" t="s">
        <v>540</v>
      </c>
      <c r="K125" s="501" t="s">
        <v>540</v>
      </c>
    </row>
    <row r="126" spans="1:11" s="267" customFormat="1" ht="15" x14ac:dyDescent="0.25">
      <c r="A126" s="86">
        <f>Données!A126</f>
        <v>5621</v>
      </c>
      <c r="B126" s="409" t="str">
        <f>Données!B126</f>
        <v>Aclens</v>
      </c>
      <c r="C126" s="264">
        <f>Synthèse!G126</f>
        <v>733565.42153005151</v>
      </c>
      <c r="D126" s="492" t="s">
        <v>540</v>
      </c>
      <c r="E126" s="493" t="s">
        <v>540</v>
      </c>
      <c r="F126" s="263">
        <f>Synthèse!F126</f>
        <v>512865.39877705183</v>
      </c>
      <c r="G126" s="497" t="s">
        <v>540</v>
      </c>
      <c r="H126" s="497" t="s">
        <v>540</v>
      </c>
      <c r="I126" s="264">
        <f>Synthèse!H126</f>
        <v>86613.575099435606</v>
      </c>
      <c r="J126" s="501" t="s">
        <v>540</v>
      </c>
      <c r="K126" s="501" t="s">
        <v>540</v>
      </c>
    </row>
    <row r="127" spans="1:11" s="267" customFormat="1" ht="15" x14ac:dyDescent="0.25">
      <c r="A127" s="86">
        <f>Données!A127</f>
        <v>5622</v>
      </c>
      <c r="B127" s="409" t="str">
        <f>Données!B127</f>
        <v>Bremblens</v>
      </c>
      <c r="C127" s="264">
        <f>Synthèse!G127</f>
        <v>472942.35450274311</v>
      </c>
      <c r="D127" s="492" t="s">
        <v>540</v>
      </c>
      <c r="E127" s="493" t="s">
        <v>540</v>
      </c>
      <c r="F127" s="263">
        <f>Synthèse!F127</f>
        <v>460234.70862913551</v>
      </c>
      <c r="G127" s="497" t="s">
        <v>540</v>
      </c>
      <c r="H127" s="497" t="s">
        <v>540</v>
      </c>
      <c r="I127" s="264">
        <f>Synthèse!H127</f>
        <v>85515.127355067641</v>
      </c>
      <c r="J127" s="501" t="s">
        <v>540</v>
      </c>
      <c r="K127" s="501" t="s">
        <v>540</v>
      </c>
    </row>
    <row r="128" spans="1:11" s="267" customFormat="1" ht="15" x14ac:dyDescent="0.25">
      <c r="A128" s="86">
        <f>Données!A128</f>
        <v>5623</v>
      </c>
      <c r="B128" s="409" t="str">
        <f>Données!B128</f>
        <v>Buchillon</v>
      </c>
      <c r="C128" s="264">
        <f>Synthèse!G128</f>
        <v>2858664.6580319172</v>
      </c>
      <c r="D128" s="492" t="s">
        <v>540</v>
      </c>
      <c r="E128" s="493" t="s">
        <v>540</v>
      </c>
      <c r="F128" s="263">
        <f>Synthèse!F128</f>
        <v>1725311.3921048369</v>
      </c>
      <c r="G128" s="497" t="s">
        <v>540</v>
      </c>
      <c r="H128" s="497" t="s">
        <v>540</v>
      </c>
      <c r="I128" s="264">
        <f>Synthèse!H128</f>
        <v>122229.31017966951</v>
      </c>
      <c r="J128" s="501" t="s">
        <v>540</v>
      </c>
      <c r="K128" s="501" t="s">
        <v>540</v>
      </c>
    </row>
    <row r="129" spans="1:11" s="267" customFormat="1" ht="15" x14ac:dyDescent="0.25">
      <c r="A129" s="86">
        <f>Données!A129</f>
        <v>5624</v>
      </c>
      <c r="B129" s="409" t="str">
        <f>Données!B129</f>
        <v>Bussigny</v>
      </c>
      <c r="C129" s="264">
        <f>Synthèse!G129</f>
        <v>6823706.896998967</v>
      </c>
      <c r="D129" s="492" t="s">
        <v>540</v>
      </c>
      <c r="E129" s="493" t="s">
        <v>540</v>
      </c>
      <c r="F129" s="263">
        <f>Synthèse!F129</f>
        <v>-783425.98239400052</v>
      </c>
      <c r="G129" s="497" t="s">
        <v>540</v>
      </c>
      <c r="H129" s="497" t="s">
        <v>540</v>
      </c>
      <c r="I129" s="264">
        <f>Synthèse!H129</f>
        <v>453860.08938170422</v>
      </c>
      <c r="J129" s="501" t="s">
        <v>540</v>
      </c>
      <c r="K129" s="501" t="s">
        <v>540</v>
      </c>
    </row>
    <row r="130" spans="1:11" s="267" customFormat="1" ht="15" x14ac:dyDescent="0.25">
      <c r="A130" s="86">
        <f>Données!A130</f>
        <v>5627</v>
      </c>
      <c r="B130" s="409" t="str">
        <f>Données!B130</f>
        <v>Chavannes-près-Renens</v>
      </c>
      <c r="C130" s="264">
        <f>Synthèse!G130</f>
        <v>2886282.6323666954</v>
      </c>
      <c r="D130" s="492" t="s">
        <v>540</v>
      </c>
      <c r="E130" s="493" t="s">
        <v>540</v>
      </c>
      <c r="F130" s="263">
        <f>Synthèse!F130</f>
        <v>-5672811.8325387388</v>
      </c>
      <c r="G130" s="497" t="s">
        <v>540</v>
      </c>
      <c r="H130" s="497" t="s">
        <v>540</v>
      </c>
      <c r="I130" s="264">
        <f>Synthèse!H130</f>
        <v>210075.46148605985</v>
      </c>
      <c r="J130" s="501" t="s">
        <v>540</v>
      </c>
      <c r="K130" s="501" t="s">
        <v>540</v>
      </c>
    </row>
    <row r="131" spans="1:11" s="267" customFormat="1" ht="15" x14ac:dyDescent="0.25">
      <c r="A131" s="86">
        <f>Données!A131</f>
        <v>5628</v>
      </c>
      <c r="B131" s="409" t="str">
        <f>Données!B131</f>
        <v>Chigny</v>
      </c>
      <c r="C131" s="264">
        <f>Synthèse!G131</f>
        <v>519482.50395227998</v>
      </c>
      <c r="D131" s="492" t="s">
        <v>540</v>
      </c>
      <c r="E131" s="493" t="s">
        <v>540</v>
      </c>
      <c r="F131" s="263">
        <f>Synthèse!F131</f>
        <v>422574.71377101768</v>
      </c>
      <c r="G131" s="497" t="s">
        <v>540</v>
      </c>
      <c r="H131" s="497" t="s">
        <v>540</v>
      </c>
      <c r="I131" s="264">
        <f>Synthèse!H131</f>
        <v>65509.989552208215</v>
      </c>
      <c r="J131" s="501" t="s">
        <v>540</v>
      </c>
      <c r="K131" s="501" t="s">
        <v>540</v>
      </c>
    </row>
    <row r="132" spans="1:11" s="267" customFormat="1" ht="15" x14ac:dyDescent="0.25">
      <c r="A132" s="86">
        <f>Données!A132</f>
        <v>5629</v>
      </c>
      <c r="B132" s="409" t="str">
        <f>Données!B132</f>
        <v>Clarmont</v>
      </c>
      <c r="C132" s="264">
        <f>Synthèse!G132</f>
        <v>126436.04486567902</v>
      </c>
      <c r="D132" s="492" t="s">
        <v>540</v>
      </c>
      <c r="E132" s="493" t="s">
        <v>540</v>
      </c>
      <c r="F132" s="263">
        <f>Synthèse!F132</f>
        <v>85217.323168193107</v>
      </c>
      <c r="G132" s="497" t="s">
        <v>540</v>
      </c>
      <c r="H132" s="497" t="s">
        <v>540</v>
      </c>
      <c r="I132" s="264">
        <f>Synthèse!H132</f>
        <v>27020.265813103739</v>
      </c>
      <c r="J132" s="501" t="s">
        <v>540</v>
      </c>
      <c r="K132" s="501" t="s">
        <v>540</v>
      </c>
    </row>
    <row r="133" spans="1:11" s="267" customFormat="1" ht="15" x14ac:dyDescent="0.25">
      <c r="A133" s="86">
        <f>Données!A133</f>
        <v>5631</v>
      </c>
      <c r="B133" s="409" t="str">
        <f>Données!B133</f>
        <v>Denens</v>
      </c>
      <c r="C133" s="264">
        <f>Synthèse!G133</f>
        <v>965612.23281878571</v>
      </c>
      <c r="D133" s="492" t="s">
        <v>540</v>
      </c>
      <c r="E133" s="493" t="s">
        <v>540</v>
      </c>
      <c r="F133" s="263">
        <f>Synthèse!F133</f>
        <v>740218.15192775778</v>
      </c>
      <c r="G133" s="497" t="s">
        <v>540</v>
      </c>
      <c r="H133" s="497" t="s">
        <v>540</v>
      </c>
      <c r="I133" s="264">
        <f>Synthèse!H133</f>
        <v>119266.31038373506</v>
      </c>
      <c r="J133" s="501" t="s">
        <v>540</v>
      </c>
      <c r="K133" s="501" t="s">
        <v>540</v>
      </c>
    </row>
    <row r="134" spans="1:11" s="267" customFormat="1" ht="15" x14ac:dyDescent="0.25">
      <c r="A134" s="86">
        <f>Données!A134</f>
        <v>5632</v>
      </c>
      <c r="B134" s="409" t="str">
        <f>Données!B134</f>
        <v>Denges</v>
      </c>
      <c r="C134" s="264">
        <f>Synthèse!G134</f>
        <v>1327962.9399480049</v>
      </c>
      <c r="D134" s="492" t="s">
        <v>540</v>
      </c>
      <c r="E134" s="493" t="s">
        <v>540</v>
      </c>
      <c r="F134" s="263">
        <f>Synthèse!F134</f>
        <v>936023.24060788972</v>
      </c>
      <c r="G134" s="497" t="s">
        <v>540</v>
      </c>
      <c r="H134" s="497" t="s">
        <v>540</v>
      </c>
      <c r="I134" s="264">
        <f>Synthèse!H134</f>
        <v>239596.90444148597</v>
      </c>
      <c r="J134" s="501" t="s">
        <v>540</v>
      </c>
      <c r="K134" s="501" t="s">
        <v>540</v>
      </c>
    </row>
    <row r="135" spans="1:11" s="267" customFormat="1" ht="15" x14ac:dyDescent="0.25">
      <c r="A135" s="86">
        <f>Données!A135</f>
        <v>5633</v>
      </c>
      <c r="B135" s="409" t="str">
        <f>Données!B135</f>
        <v>Echandens</v>
      </c>
      <c r="C135" s="264">
        <f>Synthèse!G135</f>
        <v>3211753.5120655773</v>
      </c>
      <c r="D135" s="492" t="s">
        <v>540</v>
      </c>
      <c r="E135" s="493" t="s">
        <v>540</v>
      </c>
      <c r="F135" s="263">
        <f>Synthèse!F135</f>
        <v>1481572.3816568996</v>
      </c>
      <c r="G135" s="497" t="s">
        <v>540</v>
      </c>
      <c r="H135" s="497" t="s">
        <v>540</v>
      </c>
      <c r="I135" s="264">
        <f>Synthèse!H135</f>
        <v>425007.97139821463</v>
      </c>
      <c r="J135" s="501" t="s">
        <v>540</v>
      </c>
      <c r="K135" s="501" t="s">
        <v>540</v>
      </c>
    </row>
    <row r="136" spans="1:11" s="267" customFormat="1" ht="15" x14ac:dyDescent="0.25">
      <c r="A136" s="86">
        <f>Données!A136</f>
        <v>5634</v>
      </c>
      <c r="B136" s="409" t="str">
        <f>Données!B136</f>
        <v>Echichens</v>
      </c>
      <c r="C136" s="264">
        <f>Synthèse!G136</f>
        <v>3081010.0315313796</v>
      </c>
      <c r="D136" s="492" t="s">
        <v>540</v>
      </c>
      <c r="E136" s="493" t="s">
        <v>540</v>
      </c>
      <c r="F136" s="263">
        <f>Synthèse!F136</f>
        <v>2261475.5449975068</v>
      </c>
      <c r="G136" s="497" t="s">
        <v>540</v>
      </c>
      <c r="H136" s="497" t="s">
        <v>540</v>
      </c>
      <c r="I136" s="264">
        <f>Synthèse!H136</f>
        <v>478019.7397896481</v>
      </c>
      <c r="J136" s="501" t="s">
        <v>540</v>
      </c>
      <c r="K136" s="501" t="s">
        <v>540</v>
      </c>
    </row>
    <row r="137" spans="1:11" s="267" customFormat="1" ht="15" x14ac:dyDescent="0.25">
      <c r="A137" s="86">
        <f>Données!A137</f>
        <v>5635</v>
      </c>
      <c r="B137" s="409" t="str">
        <f>Données!B137</f>
        <v>Ecublens</v>
      </c>
      <c r="C137" s="264">
        <f>Synthèse!G137</f>
        <v>9534243.082332138</v>
      </c>
      <c r="D137" s="492" t="s">
        <v>540</v>
      </c>
      <c r="E137" s="493" t="s">
        <v>540</v>
      </c>
      <c r="F137" s="263">
        <f>Synthèse!F137</f>
        <v>-3025958.4280536994</v>
      </c>
      <c r="G137" s="497" t="s">
        <v>540</v>
      </c>
      <c r="H137" s="497" t="s">
        <v>540</v>
      </c>
      <c r="I137" s="264">
        <f>Synthèse!H137</f>
        <v>649479.06949014403</v>
      </c>
      <c r="J137" s="501" t="s">
        <v>540</v>
      </c>
      <c r="K137" s="501" t="s">
        <v>540</v>
      </c>
    </row>
    <row r="138" spans="1:11" s="267" customFormat="1" ht="15" x14ac:dyDescent="0.25">
      <c r="A138" s="86">
        <f>Données!A138</f>
        <v>5636</v>
      </c>
      <c r="B138" s="409" t="str">
        <f>Données!B138</f>
        <v>Etoy</v>
      </c>
      <c r="C138" s="264">
        <f>Synthèse!G138</f>
        <v>3644227.3182986523</v>
      </c>
      <c r="D138" s="492" t="s">
        <v>540</v>
      </c>
      <c r="E138" s="493" t="s">
        <v>540</v>
      </c>
      <c r="F138" s="263">
        <f>Synthèse!F138</f>
        <v>2473332.6320391335</v>
      </c>
      <c r="G138" s="497" t="s">
        <v>540</v>
      </c>
      <c r="H138" s="497" t="s">
        <v>540</v>
      </c>
      <c r="I138" s="264">
        <f>Synthèse!H138</f>
        <v>467405.34148726275</v>
      </c>
      <c r="J138" s="501" t="s">
        <v>540</v>
      </c>
      <c r="K138" s="501" t="s">
        <v>540</v>
      </c>
    </row>
    <row r="139" spans="1:11" s="267" customFormat="1" ht="15" x14ac:dyDescent="0.25">
      <c r="A139" s="86">
        <f>Données!A139</f>
        <v>5637</v>
      </c>
      <c r="B139" s="409" t="str">
        <f>Données!B139</f>
        <v>Lavigny</v>
      </c>
      <c r="C139" s="264">
        <f>Synthèse!G139</f>
        <v>780248.20227217372</v>
      </c>
      <c r="D139" s="492" t="s">
        <v>540</v>
      </c>
      <c r="E139" s="493" t="s">
        <v>540</v>
      </c>
      <c r="F139" s="263">
        <f>Synthèse!F139</f>
        <v>400526.24882418627</v>
      </c>
      <c r="G139" s="497" t="s">
        <v>540</v>
      </c>
      <c r="H139" s="497" t="s">
        <v>540</v>
      </c>
      <c r="I139" s="264">
        <f>Synthèse!H139</f>
        <v>130203.51980319442</v>
      </c>
      <c r="J139" s="501" t="s">
        <v>540</v>
      </c>
      <c r="K139" s="501" t="s">
        <v>540</v>
      </c>
    </row>
    <row r="140" spans="1:11" s="267" customFormat="1" ht="15" x14ac:dyDescent="0.25">
      <c r="A140" s="86">
        <f>Données!A140</f>
        <v>5638</v>
      </c>
      <c r="B140" s="409" t="str">
        <f>Données!B140</f>
        <v>Lonay</v>
      </c>
      <c r="C140" s="264">
        <f>Synthèse!G140</f>
        <v>3511348.9098939458</v>
      </c>
      <c r="D140" s="492" t="s">
        <v>540</v>
      </c>
      <c r="E140" s="493" t="s">
        <v>540</v>
      </c>
      <c r="F140" s="263">
        <f>Synthèse!F140</f>
        <v>1613026.8120389972</v>
      </c>
      <c r="G140" s="497" t="s">
        <v>540</v>
      </c>
      <c r="H140" s="497" t="s">
        <v>540</v>
      </c>
      <c r="I140" s="264">
        <f>Synthèse!H140</f>
        <v>415890.97845156374</v>
      </c>
      <c r="J140" s="501" t="s">
        <v>540</v>
      </c>
      <c r="K140" s="501" t="s">
        <v>540</v>
      </c>
    </row>
    <row r="141" spans="1:11" s="267" customFormat="1" ht="15" x14ac:dyDescent="0.25">
      <c r="A141" s="86">
        <f>Données!A141</f>
        <v>5639</v>
      </c>
      <c r="B141" s="409" t="str">
        <f>Données!B141</f>
        <v>Lully</v>
      </c>
      <c r="C141" s="264">
        <f>Synthèse!G141</f>
        <v>842034.985906124</v>
      </c>
      <c r="D141" s="492" t="s">
        <v>540</v>
      </c>
      <c r="E141" s="493" t="s">
        <v>540</v>
      </c>
      <c r="F141" s="263">
        <f>Synthèse!F141</f>
        <v>773859.25404235278</v>
      </c>
      <c r="G141" s="497" t="s">
        <v>540</v>
      </c>
      <c r="H141" s="497" t="s">
        <v>540</v>
      </c>
      <c r="I141" s="264">
        <f>Synthèse!H141</f>
        <v>129288.35459483763</v>
      </c>
      <c r="J141" s="501" t="s">
        <v>540</v>
      </c>
      <c r="K141" s="501" t="s">
        <v>540</v>
      </c>
    </row>
    <row r="142" spans="1:11" s="267" customFormat="1" ht="15" x14ac:dyDescent="0.25">
      <c r="A142" s="86">
        <f>Données!A142</f>
        <v>5640</v>
      </c>
      <c r="B142" s="409" t="str">
        <f>Données!B142</f>
        <v>Lussy-sur-Morges</v>
      </c>
      <c r="C142" s="264">
        <f>Synthèse!G142</f>
        <v>1479876.2594191132</v>
      </c>
      <c r="D142" s="492" t="s">
        <v>540</v>
      </c>
      <c r="E142" s="493" t="s">
        <v>540</v>
      </c>
      <c r="F142" s="263">
        <f>Synthèse!F142</f>
        <v>1002822.8384643286</v>
      </c>
      <c r="G142" s="497" t="s">
        <v>540</v>
      </c>
      <c r="H142" s="497" t="s">
        <v>540</v>
      </c>
      <c r="I142" s="264">
        <f>Synthèse!H142</f>
        <v>73751.036796036453</v>
      </c>
      <c r="J142" s="501" t="s">
        <v>540</v>
      </c>
      <c r="K142" s="501" t="s">
        <v>540</v>
      </c>
    </row>
    <row r="143" spans="1:11" s="267" customFormat="1" ht="15" x14ac:dyDescent="0.25">
      <c r="A143" s="86">
        <f>Données!A143</f>
        <v>5642</v>
      </c>
      <c r="B143" s="409" t="str">
        <f>Données!B143</f>
        <v>Morges</v>
      </c>
      <c r="C143" s="264">
        <f>Synthèse!G143</f>
        <v>17586631.790163998</v>
      </c>
      <c r="D143" s="492" t="s">
        <v>540</v>
      </c>
      <c r="E143" s="493" t="s">
        <v>540</v>
      </c>
      <c r="F143" s="263">
        <f>Synthèse!F143</f>
        <v>5195607.1196833029</v>
      </c>
      <c r="G143" s="497" t="s">
        <v>540</v>
      </c>
      <c r="H143" s="497" t="s">
        <v>540</v>
      </c>
      <c r="I143" s="264">
        <f>Synthèse!H143</f>
        <v>1128494.1716929551</v>
      </c>
      <c r="J143" s="501" t="s">
        <v>540</v>
      </c>
      <c r="K143" s="501" t="s">
        <v>540</v>
      </c>
    </row>
    <row r="144" spans="1:11" s="267" customFormat="1" ht="15" x14ac:dyDescent="0.25">
      <c r="A144" s="86">
        <f>Données!A144</f>
        <v>5643</v>
      </c>
      <c r="B144" s="409" t="str">
        <f>Données!B144</f>
        <v>Préverenges</v>
      </c>
      <c r="C144" s="264">
        <f>Synthèse!G144</f>
        <v>4548923.8565151021</v>
      </c>
      <c r="D144" s="492" t="s">
        <v>540</v>
      </c>
      <c r="E144" s="493" t="s">
        <v>540</v>
      </c>
      <c r="F144" s="263">
        <f>Synthèse!F144</f>
        <v>3068638.6568656797</v>
      </c>
      <c r="G144" s="497" t="s">
        <v>540</v>
      </c>
      <c r="H144" s="497" t="s">
        <v>540</v>
      </c>
      <c r="I144" s="264">
        <f>Synthèse!H144</f>
        <v>339092.25354644656</v>
      </c>
      <c r="J144" s="501" t="s">
        <v>540</v>
      </c>
      <c r="K144" s="501" t="s">
        <v>540</v>
      </c>
    </row>
    <row r="145" spans="1:11" s="267" customFormat="1" ht="15" x14ac:dyDescent="0.25">
      <c r="A145" s="86">
        <f>Données!A145</f>
        <v>5645</v>
      </c>
      <c r="B145" s="409" t="str">
        <f>Données!B145</f>
        <v>Romanel-sur-Morges</v>
      </c>
      <c r="C145" s="264">
        <f>Synthèse!G145</f>
        <v>572533.94817352865</v>
      </c>
      <c r="D145" s="492" t="s">
        <v>540</v>
      </c>
      <c r="E145" s="493" t="s">
        <v>540</v>
      </c>
      <c r="F145" s="263">
        <f>Synthèse!F145</f>
        <v>395415.22718300519</v>
      </c>
      <c r="G145" s="497" t="s">
        <v>540</v>
      </c>
      <c r="H145" s="497" t="s">
        <v>540</v>
      </c>
      <c r="I145" s="264">
        <f>Synthèse!H145</f>
        <v>74938.554115090737</v>
      </c>
      <c r="J145" s="501" t="s">
        <v>540</v>
      </c>
      <c r="K145" s="501" t="s">
        <v>540</v>
      </c>
    </row>
    <row r="146" spans="1:11" s="267" customFormat="1" ht="15" x14ac:dyDescent="0.25">
      <c r="A146" s="86">
        <f>Données!A146</f>
        <v>5646</v>
      </c>
      <c r="B146" s="409" t="str">
        <f>Données!B146</f>
        <v>Saint-Prex</v>
      </c>
      <c r="C146" s="264">
        <f>Synthèse!G146</f>
        <v>14113190.298794772</v>
      </c>
      <c r="D146" s="492" t="s">
        <v>540</v>
      </c>
      <c r="E146" s="493" t="s">
        <v>540</v>
      </c>
      <c r="F146" s="263">
        <f>Synthèse!F146</f>
        <v>7959023.3445189679</v>
      </c>
      <c r="G146" s="497" t="s">
        <v>540</v>
      </c>
      <c r="H146" s="497" t="s">
        <v>540</v>
      </c>
      <c r="I146" s="264">
        <f>Synthèse!H146</f>
        <v>694346.83962782728</v>
      </c>
      <c r="J146" s="501" t="s">
        <v>540</v>
      </c>
      <c r="K146" s="501" t="s">
        <v>540</v>
      </c>
    </row>
    <row r="147" spans="1:11" s="267" customFormat="1" ht="15" x14ac:dyDescent="0.25">
      <c r="A147" s="86">
        <f>Données!A147</f>
        <v>5648</v>
      </c>
      <c r="B147" s="409" t="str">
        <f>Données!B147</f>
        <v>Saint-Sulpice</v>
      </c>
      <c r="C147" s="264">
        <f>Synthèse!G147</f>
        <v>9492655.9432728905</v>
      </c>
      <c r="D147" s="492" t="s">
        <v>540</v>
      </c>
      <c r="E147" s="493" t="s">
        <v>540</v>
      </c>
      <c r="F147" s="263">
        <f>Synthèse!F147</f>
        <v>5819418.2087976206</v>
      </c>
      <c r="G147" s="497" t="s">
        <v>540</v>
      </c>
      <c r="H147" s="497" t="s">
        <v>540</v>
      </c>
      <c r="I147" s="264">
        <f>Synthèse!H147</f>
        <v>512082.79534340196</v>
      </c>
      <c r="J147" s="501" t="s">
        <v>540</v>
      </c>
      <c r="K147" s="501" t="s">
        <v>540</v>
      </c>
    </row>
    <row r="148" spans="1:11" s="267" customFormat="1" ht="15" x14ac:dyDescent="0.25">
      <c r="A148" s="86">
        <f>Données!A148</f>
        <v>5649</v>
      </c>
      <c r="B148" s="409" t="str">
        <f>Données!B148</f>
        <v>Tolochenaz</v>
      </c>
      <c r="C148" s="264">
        <f>Synthèse!G148</f>
        <v>5865059.6546472777</v>
      </c>
      <c r="D148" s="492" t="s">
        <v>540</v>
      </c>
      <c r="E148" s="493" t="s">
        <v>540</v>
      </c>
      <c r="F148" s="263">
        <f>Synthèse!F148</f>
        <v>3352639.9646676499</v>
      </c>
      <c r="G148" s="497" t="s">
        <v>540</v>
      </c>
      <c r="H148" s="497" t="s">
        <v>540</v>
      </c>
      <c r="I148" s="264">
        <f>Synthèse!H148</f>
        <v>255567.53987605905</v>
      </c>
      <c r="J148" s="501" t="s">
        <v>540</v>
      </c>
      <c r="K148" s="501" t="s">
        <v>540</v>
      </c>
    </row>
    <row r="149" spans="1:11" s="267" customFormat="1" ht="15" x14ac:dyDescent="0.25">
      <c r="A149" s="86">
        <f>Données!A149</f>
        <v>5650</v>
      </c>
      <c r="B149" s="409" t="str">
        <f>Données!B149</f>
        <v>Vaux-sur-Morges</v>
      </c>
      <c r="C149" s="264">
        <f>Synthèse!G149</f>
        <v>2569409.5449203802</v>
      </c>
      <c r="D149" s="492" t="s">
        <v>540</v>
      </c>
      <c r="E149" s="493" t="s">
        <v>540</v>
      </c>
      <c r="F149" s="263">
        <f>Synthèse!F149</f>
        <v>473945.5836024672</v>
      </c>
      <c r="G149" s="497" t="s">
        <v>540</v>
      </c>
      <c r="H149" s="497" t="s">
        <v>540</v>
      </c>
      <c r="I149" s="264">
        <f>Synthèse!H149</f>
        <v>97974.148292201091</v>
      </c>
      <c r="J149" s="501" t="s">
        <v>540</v>
      </c>
      <c r="K149" s="501" t="s">
        <v>540</v>
      </c>
    </row>
    <row r="150" spans="1:11" s="267" customFormat="1" ht="15" x14ac:dyDescent="0.25">
      <c r="A150" s="86">
        <f>Données!A150</f>
        <v>5651</v>
      </c>
      <c r="B150" s="409" t="str">
        <f>Données!B150</f>
        <v>Villars-Sainte-Croix</v>
      </c>
      <c r="C150" s="264">
        <f>Synthèse!G150</f>
        <v>1161718.6180156013</v>
      </c>
      <c r="D150" s="492" t="s">
        <v>540</v>
      </c>
      <c r="E150" s="493" t="s">
        <v>540</v>
      </c>
      <c r="F150" s="263">
        <f>Synthèse!F150</f>
        <v>946494.51751774526</v>
      </c>
      <c r="G150" s="497" t="s">
        <v>540</v>
      </c>
      <c r="H150" s="497" t="s">
        <v>540</v>
      </c>
      <c r="I150" s="264">
        <f>Synthèse!H150</f>
        <v>71923.661665707899</v>
      </c>
      <c r="J150" s="501" t="s">
        <v>540</v>
      </c>
      <c r="K150" s="501" t="s">
        <v>540</v>
      </c>
    </row>
    <row r="151" spans="1:11" s="267" customFormat="1" ht="15" x14ac:dyDescent="0.25">
      <c r="A151" s="86">
        <f>Données!A151</f>
        <v>5652</v>
      </c>
      <c r="B151" s="409" t="str">
        <f>Données!B151</f>
        <v>Villars-sous-Yens</v>
      </c>
      <c r="C151" s="264">
        <f>Synthèse!G151</f>
        <v>459143.63218379719</v>
      </c>
      <c r="D151" s="492" t="s">
        <v>540</v>
      </c>
      <c r="E151" s="493" t="s">
        <v>540</v>
      </c>
      <c r="F151" s="263">
        <f>Synthèse!F151</f>
        <v>337977.31413260847</v>
      </c>
      <c r="G151" s="497" t="s">
        <v>540</v>
      </c>
      <c r="H151" s="497" t="s">
        <v>540</v>
      </c>
      <c r="I151" s="264">
        <f>Synthèse!H151</f>
        <v>81581.770372391722</v>
      </c>
      <c r="J151" s="501" t="s">
        <v>540</v>
      </c>
      <c r="K151" s="501" t="s">
        <v>540</v>
      </c>
    </row>
    <row r="152" spans="1:11" s="267" customFormat="1" ht="15" x14ac:dyDescent="0.25">
      <c r="A152" s="86">
        <f>Données!A152</f>
        <v>5653</v>
      </c>
      <c r="B152" s="409" t="str">
        <f>Données!B152</f>
        <v>Vufflens-le-Château</v>
      </c>
      <c r="C152" s="264">
        <f>Synthèse!G152</f>
        <v>1688863.7481970934</v>
      </c>
      <c r="D152" s="492" t="s">
        <v>540</v>
      </c>
      <c r="E152" s="493" t="s">
        <v>540</v>
      </c>
      <c r="F152" s="263">
        <f>Synthèse!F152</f>
        <v>1209445.8645951236</v>
      </c>
      <c r="G152" s="497" t="s">
        <v>540</v>
      </c>
      <c r="H152" s="497" t="s">
        <v>540</v>
      </c>
      <c r="I152" s="264">
        <f>Synthèse!H152</f>
        <v>162899.68970179715</v>
      </c>
      <c r="J152" s="501" t="s">
        <v>540</v>
      </c>
      <c r="K152" s="501" t="s">
        <v>540</v>
      </c>
    </row>
    <row r="153" spans="1:11" s="267" customFormat="1" ht="15" x14ac:dyDescent="0.25">
      <c r="A153" s="86">
        <f>Données!A153</f>
        <v>5654</v>
      </c>
      <c r="B153" s="409" t="str">
        <f>Données!B153</f>
        <v>Vullierens</v>
      </c>
      <c r="C153" s="264">
        <f>Synthèse!G153</f>
        <v>362282.50624319946</v>
      </c>
      <c r="D153" s="492" t="s">
        <v>540</v>
      </c>
      <c r="E153" s="493" t="s">
        <v>540</v>
      </c>
      <c r="F153" s="263">
        <f>Synthèse!F153</f>
        <v>143708.51811581175</v>
      </c>
      <c r="G153" s="497" t="s">
        <v>540</v>
      </c>
      <c r="H153" s="497" t="s">
        <v>540</v>
      </c>
      <c r="I153" s="264">
        <f>Synthèse!H153</f>
        <v>60599.890341733735</v>
      </c>
      <c r="J153" s="501" t="s">
        <v>540</v>
      </c>
      <c r="K153" s="501" t="s">
        <v>540</v>
      </c>
    </row>
    <row r="154" spans="1:11" s="267" customFormat="1" ht="15" x14ac:dyDescent="0.25">
      <c r="A154" s="86">
        <f>Données!A154</f>
        <v>5655</v>
      </c>
      <c r="B154" s="409" t="str">
        <f>Données!B154</f>
        <v>Yens</v>
      </c>
      <c r="C154" s="264">
        <f>Synthèse!G154</f>
        <v>1946243.5550514266</v>
      </c>
      <c r="D154" s="492" t="s">
        <v>540</v>
      </c>
      <c r="E154" s="493" t="s">
        <v>540</v>
      </c>
      <c r="F154" s="263">
        <f>Synthèse!F154</f>
        <v>1449716.5510541876</v>
      </c>
      <c r="G154" s="497" t="s">
        <v>540</v>
      </c>
      <c r="H154" s="497" t="s">
        <v>540</v>
      </c>
      <c r="I154" s="264">
        <f>Synthèse!H154</f>
        <v>243318.07104068864</v>
      </c>
      <c r="J154" s="501" t="s">
        <v>540</v>
      </c>
      <c r="K154" s="501" t="s">
        <v>540</v>
      </c>
    </row>
    <row r="155" spans="1:11" s="267" customFormat="1" ht="15" x14ac:dyDescent="0.25">
      <c r="A155" s="86">
        <f>Données!A155</f>
        <v>5656</v>
      </c>
      <c r="B155" s="409" t="str">
        <f>Données!B155</f>
        <v>Hautemorges</v>
      </c>
      <c r="C155" s="264">
        <f>Synthèse!G155</f>
        <v>2684605.0820646812</v>
      </c>
      <c r="D155" s="492" t="s">
        <v>540</v>
      </c>
      <c r="E155" s="493" t="s">
        <v>540</v>
      </c>
      <c r="F155" s="263">
        <f>Synthèse!F155</f>
        <v>1098187.0081773514</v>
      </c>
      <c r="G155" s="497" t="s">
        <v>540</v>
      </c>
      <c r="H155" s="497" t="s">
        <v>540</v>
      </c>
      <c r="I155" s="264">
        <f>Synthèse!H155</f>
        <v>506227.3184634652</v>
      </c>
      <c r="J155" s="501" t="s">
        <v>540</v>
      </c>
      <c r="K155" s="501" t="s">
        <v>540</v>
      </c>
    </row>
    <row r="156" spans="1:11" s="267" customFormat="1" ht="15" x14ac:dyDescent="0.25">
      <c r="A156" s="86">
        <f>Données!A156</f>
        <v>5661</v>
      </c>
      <c r="B156" s="409" t="str">
        <f>Données!B156</f>
        <v>Boulens</v>
      </c>
      <c r="C156" s="264">
        <f>Synthèse!G156</f>
        <v>165538.90959085574</v>
      </c>
      <c r="D156" s="492" t="s">
        <v>540</v>
      </c>
      <c r="E156" s="493" t="s">
        <v>540</v>
      </c>
      <c r="F156" s="263">
        <f>Synthèse!F156</f>
        <v>-5132.0539024042373</v>
      </c>
      <c r="G156" s="497" t="s">
        <v>540</v>
      </c>
      <c r="H156" s="497" t="s">
        <v>540</v>
      </c>
      <c r="I156" s="264">
        <f>Synthèse!H156</f>
        <v>31842.580082052707</v>
      </c>
      <c r="J156" s="501" t="s">
        <v>540</v>
      </c>
      <c r="K156" s="501" t="s">
        <v>540</v>
      </c>
    </row>
    <row r="157" spans="1:11" s="267" customFormat="1" ht="15" x14ac:dyDescent="0.25">
      <c r="A157" s="86">
        <f>Données!A157</f>
        <v>5663</v>
      </c>
      <c r="B157" s="409" t="str">
        <f>Données!B157</f>
        <v>Bussy-sur-Moudon</v>
      </c>
      <c r="C157" s="264">
        <f>Synthèse!G157</f>
        <v>89541.576711647896</v>
      </c>
      <c r="D157" s="492" t="s">
        <v>540</v>
      </c>
      <c r="E157" s="493" t="s">
        <v>540</v>
      </c>
      <c r="F157" s="263">
        <f>Synthèse!F157</f>
        <v>-43900.530871367286</v>
      </c>
      <c r="G157" s="497" t="s">
        <v>540</v>
      </c>
      <c r="H157" s="497" t="s">
        <v>540</v>
      </c>
      <c r="I157" s="264">
        <f>Synthèse!H157</f>
        <v>16961.562033504397</v>
      </c>
      <c r="J157" s="501" t="s">
        <v>540</v>
      </c>
      <c r="K157" s="501" t="s">
        <v>540</v>
      </c>
    </row>
    <row r="158" spans="1:11" s="267" customFormat="1" ht="15" x14ac:dyDescent="0.25">
      <c r="A158" s="86">
        <f>Données!A158</f>
        <v>5665</v>
      </c>
      <c r="B158" s="409" t="str">
        <f>Données!B158</f>
        <v>Chavannes-sur-Moudon</v>
      </c>
      <c r="C158" s="264">
        <f>Synthèse!G158</f>
        <v>126258.1157893144</v>
      </c>
      <c r="D158" s="492" t="s">
        <v>540</v>
      </c>
      <c r="E158" s="493" t="s">
        <v>540</v>
      </c>
      <c r="F158" s="263">
        <f>Synthèse!F158</f>
        <v>27266.333847350557</v>
      </c>
      <c r="G158" s="497" t="s">
        <v>540</v>
      </c>
      <c r="H158" s="497" t="s">
        <v>540</v>
      </c>
      <c r="I158" s="264">
        <f>Synthèse!H158</f>
        <v>21807.973221910092</v>
      </c>
      <c r="J158" s="501" t="s">
        <v>540</v>
      </c>
      <c r="K158" s="501" t="s">
        <v>540</v>
      </c>
    </row>
    <row r="159" spans="1:11" s="267" customFormat="1" ht="15" x14ac:dyDescent="0.25">
      <c r="A159" s="86">
        <f>Données!A159</f>
        <v>5669</v>
      </c>
      <c r="B159" s="409" t="str">
        <f>Données!B159</f>
        <v>Curtilles</v>
      </c>
      <c r="C159" s="264">
        <f>Synthèse!G159</f>
        <v>166320.73149084058</v>
      </c>
      <c r="D159" s="492" t="s">
        <v>540</v>
      </c>
      <c r="E159" s="493" t="s">
        <v>540</v>
      </c>
      <c r="F159" s="263">
        <f>Synthèse!F159</f>
        <v>82771.59787266003</v>
      </c>
      <c r="G159" s="497" t="s">
        <v>540</v>
      </c>
      <c r="H159" s="497" t="s">
        <v>540</v>
      </c>
      <c r="I159" s="264">
        <f>Synthèse!H159</f>
        <v>32540.008700464481</v>
      </c>
      <c r="J159" s="501" t="s">
        <v>540</v>
      </c>
      <c r="K159" s="501" t="s">
        <v>540</v>
      </c>
    </row>
    <row r="160" spans="1:11" s="267" customFormat="1" ht="15" x14ac:dyDescent="0.25">
      <c r="A160" s="86">
        <f>Données!A160</f>
        <v>5671</v>
      </c>
      <c r="B160" s="409" t="str">
        <f>Données!B160</f>
        <v>Dompierre</v>
      </c>
      <c r="C160" s="264">
        <f>Synthèse!G160</f>
        <v>117234.89317069808</v>
      </c>
      <c r="D160" s="492" t="s">
        <v>540</v>
      </c>
      <c r="E160" s="493" t="s">
        <v>540</v>
      </c>
      <c r="F160" s="263">
        <f>Synthèse!F160</f>
        <v>-90072.221800040308</v>
      </c>
      <c r="G160" s="497" t="s">
        <v>540</v>
      </c>
      <c r="H160" s="497" t="s">
        <v>540</v>
      </c>
      <c r="I160" s="264">
        <f>Synthèse!H160</f>
        <v>19042.26414741611</v>
      </c>
      <c r="J160" s="501" t="s">
        <v>540</v>
      </c>
      <c r="K160" s="501" t="s">
        <v>540</v>
      </c>
    </row>
    <row r="161" spans="1:11" s="267" customFormat="1" ht="15" x14ac:dyDescent="0.25">
      <c r="A161" s="86">
        <f>Données!A161</f>
        <v>5673</v>
      </c>
      <c r="B161" s="409" t="str">
        <f>Données!B161</f>
        <v>Hermenches</v>
      </c>
      <c r="C161" s="264">
        <f>Synthèse!G161</f>
        <v>169405.70061167711</v>
      </c>
      <c r="D161" s="492" t="s">
        <v>540</v>
      </c>
      <c r="E161" s="493" t="s">
        <v>540</v>
      </c>
      <c r="F161" s="263">
        <f>Synthèse!F161</f>
        <v>-51390.096209361014</v>
      </c>
      <c r="G161" s="497" t="s">
        <v>540</v>
      </c>
      <c r="H161" s="497" t="s">
        <v>540</v>
      </c>
      <c r="I161" s="264">
        <f>Synthèse!H161</f>
        <v>33678.781997751961</v>
      </c>
      <c r="J161" s="501" t="s">
        <v>540</v>
      </c>
      <c r="K161" s="501" t="s">
        <v>540</v>
      </c>
    </row>
    <row r="162" spans="1:11" s="267" customFormat="1" ht="15" x14ac:dyDescent="0.25">
      <c r="A162" s="86">
        <f>Données!A162</f>
        <v>5674</v>
      </c>
      <c r="B162" s="409" t="str">
        <f>Données!B162</f>
        <v>Lovatens</v>
      </c>
      <c r="C162" s="264">
        <f>Synthèse!G162</f>
        <v>87852.748682190344</v>
      </c>
      <c r="D162" s="492" t="s">
        <v>540</v>
      </c>
      <c r="E162" s="493" t="s">
        <v>540</v>
      </c>
      <c r="F162" s="263">
        <f>Synthèse!F162</f>
        <v>-51926.737010841549</v>
      </c>
      <c r="G162" s="497" t="s">
        <v>540</v>
      </c>
      <c r="H162" s="497" t="s">
        <v>540</v>
      </c>
      <c r="I162" s="264">
        <f>Synthèse!H162</f>
        <v>10788.829694596419</v>
      </c>
      <c r="J162" s="501" t="s">
        <v>540</v>
      </c>
      <c r="K162" s="501" t="s">
        <v>540</v>
      </c>
    </row>
    <row r="163" spans="1:11" s="267" customFormat="1" ht="15" x14ac:dyDescent="0.25">
      <c r="A163" s="86">
        <f>Données!A163</f>
        <v>5675</v>
      </c>
      <c r="B163" s="409" t="str">
        <f>Données!B163</f>
        <v>Lucens</v>
      </c>
      <c r="C163" s="264">
        <f>Synthèse!G163</f>
        <v>1675352.3905264048</v>
      </c>
      <c r="D163" s="492" t="s">
        <v>540</v>
      </c>
      <c r="E163" s="493" t="s">
        <v>540</v>
      </c>
      <c r="F163" s="263">
        <f>Synthèse!F163</f>
        <v>-2049348.3217367916</v>
      </c>
      <c r="G163" s="497" t="s">
        <v>540</v>
      </c>
      <c r="H163" s="497" t="s">
        <v>540</v>
      </c>
      <c r="I163" s="264">
        <f>Synthèse!H163</f>
        <v>301316.75809257105</v>
      </c>
      <c r="J163" s="501" t="s">
        <v>540</v>
      </c>
      <c r="K163" s="501" t="s">
        <v>540</v>
      </c>
    </row>
    <row r="164" spans="1:11" s="267" customFormat="1" ht="15" x14ac:dyDescent="0.25">
      <c r="A164" s="86">
        <f>Données!A164</f>
        <v>5678</v>
      </c>
      <c r="B164" s="409" t="str">
        <f>Données!B164</f>
        <v>Moudon</v>
      </c>
      <c r="C164" s="264">
        <f>Synthèse!G164</f>
        <v>2481390.1108723674</v>
      </c>
      <c r="D164" s="492" t="s">
        <v>540</v>
      </c>
      <c r="E164" s="493" t="s">
        <v>540</v>
      </c>
      <c r="F164" s="263">
        <f>Synthèse!F164</f>
        <v>-4604002.3123175437</v>
      </c>
      <c r="G164" s="497" t="s">
        <v>540</v>
      </c>
      <c r="H164" s="497" t="s">
        <v>540</v>
      </c>
      <c r="I164" s="264">
        <f>Synthèse!H164</f>
        <v>385871.54969137773</v>
      </c>
      <c r="J164" s="501" t="s">
        <v>540</v>
      </c>
      <c r="K164" s="501" t="s">
        <v>540</v>
      </c>
    </row>
    <row r="165" spans="1:11" s="267" customFormat="1" ht="15" x14ac:dyDescent="0.25">
      <c r="A165" s="86">
        <f>Données!A165</f>
        <v>5680</v>
      </c>
      <c r="B165" s="409" t="str">
        <f>Données!B165</f>
        <v>Ogens</v>
      </c>
      <c r="C165" s="264">
        <f>Synthèse!G165</f>
        <v>178098.7488247368</v>
      </c>
      <c r="D165" s="492" t="s">
        <v>540</v>
      </c>
      <c r="E165" s="493" t="s">
        <v>540</v>
      </c>
      <c r="F165" s="263">
        <f>Synthèse!F165</f>
        <v>-4315.3178403073107</v>
      </c>
      <c r="G165" s="497" t="s">
        <v>540</v>
      </c>
      <c r="H165" s="497" t="s">
        <v>540</v>
      </c>
      <c r="I165" s="264">
        <f>Synthèse!H165</f>
        <v>27242.934845607921</v>
      </c>
      <c r="J165" s="501" t="s">
        <v>540</v>
      </c>
      <c r="K165" s="501" t="s">
        <v>540</v>
      </c>
    </row>
    <row r="166" spans="1:11" s="267" customFormat="1" ht="15" x14ac:dyDescent="0.25">
      <c r="A166" s="86">
        <f>Données!A166</f>
        <v>5683</v>
      </c>
      <c r="B166" s="409" t="str">
        <f>Données!B166</f>
        <v>Prévonloup</v>
      </c>
      <c r="C166" s="264">
        <f>Synthèse!G166</f>
        <v>75340.259733132334</v>
      </c>
      <c r="D166" s="492" t="s">
        <v>540</v>
      </c>
      <c r="E166" s="493" t="s">
        <v>540</v>
      </c>
      <c r="F166" s="263">
        <f>Synthèse!F166</f>
        <v>-19712.416694342071</v>
      </c>
      <c r="G166" s="497" t="s">
        <v>540</v>
      </c>
      <c r="H166" s="497" t="s">
        <v>540</v>
      </c>
      <c r="I166" s="264">
        <f>Synthèse!H166</f>
        <v>15652.663707240448</v>
      </c>
      <c r="J166" s="501" t="s">
        <v>540</v>
      </c>
      <c r="K166" s="501" t="s">
        <v>540</v>
      </c>
    </row>
    <row r="167" spans="1:11" s="267" customFormat="1" ht="15" x14ac:dyDescent="0.25">
      <c r="A167" s="86">
        <f>Données!A167</f>
        <v>5684</v>
      </c>
      <c r="B167" s="409" t="str">
        <f>Données!B167</f>
        <v>Rossenges</v>
      </c>
      <c r="C167" s="264">
        <f>Synthèse!G167</f>
        <v>70151.70695673392</v>
      </c>
      <c r="D167" s="492" t="s">
        <v>540</v>
      </c>
      <c r="E167" s="493" t="s">
        <v>540</v>
      </c>
      <c r="F167" s="263">
        <f>Synthèse!F167</f>
        <v>72634.190429177936</v>
      </c>
      <c r="G167" s="497" t="s">
        <v>540</v>
      </c>
      <c r="H167" s="497" t="s">
        <v>540</v>
      </c>
      <c r="I167" s="264">
        <f>Synthèse!H167</f>
        <v>12748.089939742567</v>
      </c>
      <c r="J167" s="501" t="s">
        <v>540</v>
      </c>
      <c r="K167" s="501" t="s">
        <v>540</v>
      </c>
    </row>
    <row r="168" spans="1:11" s="267" customFormat="1" ht="15" x14ac:dyDescent="0.25">
      <c r="A168" s="86">
        <f>Données!A168</f>
        <v>5688</v>
      </c>
      <c r="B168" s="409" t="str">
        <f>Données!B168</f>
        <v>Syens</v>
      </c>
      <c r="C168" s="264">
        <f>Synthèse!G168</f>
        <v>74349.357403892689</v>
      </c>
      <c r="D168" s="492" t="s">
        <v>540</v>
      </c>
      <c r="E168" s="493" t="s">
        <v>540</v>
      </c>
      <c r="F168" s="263">
        <f>Synthèse!F168</f>
        <v>-30835.367986794838</v>
      </c>
      <c r="G168" s="497" t="s">
        <v>540</v>
      </c>
      <c r="H168" s="497" t="s">
        <v>540</v>
      </c>
      <c r="I168" s="264">
        <f>Synthèse!H168</f>
        <v>16134.89810007983</v>
      </c>
      <c r="J168" s="501" t="s">
        <v>540</v>
      </c>
      <c r="K168" s="501" t="s">
        <v>540</v>
      </c>
    </row>
    <row r="169" spans="1:11" s="267" customFormat="1" ht="15" x14ac:dyDescent="0.25">
      <c r="A169" s="86">
        <f>Données!A169</f>
        <v>5690</v>
      </c>
      <c r="B169" s="409" t="str">
        <f>Données!B169</f>
        <v>Villars-le-Comte</v>
      </c>
      <c r="C169" s="264">
        <f>Synthèse!G169</f>
        <v>68639.39157445656</v>
      </c>
      <c r="D169" s="492" t="s">
        <v>540</v>
      </c>
      <c r="E169" s="493" t="s">
        <v>540</v>
      </c>
      <c r="F169" s="263">
        <f>Synthèse!F169</f>
        <v>1869.1739376087717</v>
      </c>
      <c r="G169" s="497" t="s">
        <v>540</v>
      </c>
      <c r="H169" s="497" t="s">
        <v>540</v>
      </c>
      <c r="I169" s="264">
        <f>Synthèse!H169</f>
        <v>10854.386961284243</v>
      </c>
      <c r="J169" s="501" t="s">
        <v>540</v>
      </c>
      <c r="K169" s="501" t="s">
        <v>540</v>
      </c>
    </row>
    <row r="170" spans="1:11" s="267" customFormat="1" ht="15" x14ac:dyDescent="0.25">
      <c r="A170" s="86">
        <f>Données!A170</f>
        <v>5692</v>
      </c>
      <c r="B170" s="409" t="str">
        <f>Données!B170</f>
        <v>Vucherens</v>
      </c>
      <c r="C170" s="264">
        <f>Synthèse!G170</f>
        <v>318143.67453716288</v>
      </c>
      <c r="D170" s="492" t="s">
        <v>540</v>
      </c>
      <c r="E170" s="493" t="s">
        <v>540</v>
      </c>
      <c r="F170" s="263">
        <f>Synthèse!F170</f>
        <v>-56535.305803458847</v>
      </c>
      <c r="G170" s="497" t="s">
        <v>540</v>
      </c>
      <c r="H170" s="497" t="s">
        <v>540</v>
      </c>
      <c r="I170" s="264">
        <f>Synthèse!H170</f>
        <v>56920.69355403581</v>
      </c>
      <c r="J170" s="501" t="s">
        <v>540</v>
      </c>
      <c r="K170" s="501" t="s">
        <v>540</v>
      </c>
    </row>
    <row r="171" spans="1:11" s="267" customFormat="1" ht="15" x14ac:dyDescent="0.25">
      <c r="A171" s="86">
        <f>Données!A171</f>
        <v>5693</v>
      </c>
      <c r="B171" s="409" t="str">
        <f>Données!B171</f>
        <v>Montanaire</v>
      </c>
      <c r="C171" s="264">
        <f>Synthèse!G171</f>
        <v>1296239.0725904636</v>
      </c>
      <c r="D171" s="492" t="s">
        <v>540</v>
      </c>
      <c r="E171" s="493" t="s">
        <v>540</v>
      </c>
      <c r="F171" s="263">
        <f>Synthèse!F171</f>
        <v>-1001239.5183654095</v>
      </c>
      <c r="G171" s="497" t="s">
        <v>540</v>
      </c>
      <c r="H171" s="497" t="s">
        <v>540</v>
      </c>
      <c r="I171" s="264">
        <f>Synthèse!H171</f>
        <v>222153.23799858073</v>
      </c>
      <c r="J171" s="501" t="s">
        <v>540</v>
      </c>
      <c r="K171" s="501" t="s">
        <v>540</v>
      </c>
    </row>
    <row r="172" spans="1:11" s="267" customFormat="1" ht="15" x14ac:dyDescent="0.25">
      <c r="A172" s="86">
        <f>Données!A172</f>
        <v>5701</v>
      </c>
      <c r="B172" s="409" t="str">
        <f>Données!B172</f>
        <v>Arnex-sur-Nyon</v>
      </c>
      <c r="C172" s="264">
        <f>Synthèse!G172</f>
        <v>282071.66140201013</v>
      </c>
      <c r="D172" s="492" t="s">
        <v>540</v>
      </c>
      <c r="E172" s="493" t="s">
        <v>540</v>
      </c>
      <c r="F172" s="263">
        <f>Synthèse!F172</f>
        <v>211183.58606215392</v>
      </c>
      <c r="G172" s="497" t="s">
        <v>540</v>
      </c>
      <c r="H172" s="497" t="s">
        <v>540</v>
      </c>
      <c r="I172" s="264">
        <f>Synthèse!H172</f>
        <v>36670.042825390032</v>
      </c>
      <c r="J172" s="501" t="s">
        <v>540</v>
      </c>
      <c r="K172" s="501" t="s">
        <v>540</v>
      </c>
    </row>
    <row r="173" spans="1:11" s="267" customFormat="1" ht="15" x14ac:dyDescent="0.25">
      <c r="A173" s="86">
        <f>Données!A173</f>
        <v>5702</v>
      </c>
      <c r="B173" s="409" t="str">
        <f>Données!B173</f>
        <v>Arzier-Le Muids</v>
      </c>
      <c r="C173" s="264">
        <f>Synthèse!G173</f>
        <v>3408830.711279138</v>
      </c>
      <c r="D173" s="492" t="s">
        <v>540</v>
      </c>
      <c r="E173" s="493" t="s">
        <v>540</v>
      </c>
      <c r="F173" s="263">
        <f>Synthèse!F173</f>
        <v>1985693.1581535353</v>
      </c>
      <c r="G173" s="497" t="s">
        <v>540</v>
      </c>
      <c r="H173" s="497" t="s">
        <v>540</v>
      </c>
      <c r="I173" s="264">
        <f>Synthèse!H173</f>
        <v>464471.21961010707</v>
      </c>
      <c r="J173" s="501" t="s">
        <v>540</v>
      </c>
      <c r="K173" s="501" t="s">
        <v>540</v>
      </c>
    </row>
    <row r="174" spans="1:11" s="267" customFormat="1" ht="15" x14ac:dyDescent="0.25">
      <c r="A174" s="86">
        <f>Données!A174</f>
        <v>5703</v>
      </c>
      <c r="B174" s="409" t="str">
        <f>Données!B174</f>
        <v>Bassins</v>
      </c>
      <c r="C174" s="264">
        <f>Synthèse!G174</f>
        <v>1239744.6209273827</v>
      </c>
      <c r="D174" s="492" t="s">
        <v>540</v>
      </c>
      <c r="E174" s="493" t="s">
        <v>540</v>
      </c>
      <c r="F174" s="263">
        <f>Synthèse!F174</f>
        <v>690081.86281446216</v>
      </c>
      <c r="G174" s="497" t="s">
        <v>540</v>
      </c>
      <c r="H174" s="497" t="s">
        <v>540</v>
      </c>
      <c r="I174" s="264">
        <f>Synthèse!H174</f>
        <v>211231.18594864561</v>
      </c>
      <c r="J174" s="501" t="s">
        <v>540</v>
      </c>
      <c r="K174" s="501" t="s">
        <v>540</v>
      </c>
    </row>
    <row r="175" spans="1:11" s="267" customFormat="1" ht="15" x14ac:dyDescent="0.25">
      <c r="A175" s="86">
        <f>Données!A175</f>
        <v>5704</v>
      </c>
      <c r="B175" s="409" t="str">
        <f>Données!B175</f>
        <v>Begnins</v>
      </c>
      <c r="C175" s="264">
        <f>Synthèse!G175</f>
        <v>3205612.0778321456</v>
      </c>
      <c r="D175" s="492" t="s">
        <v>540</v>
      </c>
      <c r="E175" s="493" t="s">
        <v>540</v>
      </c>
      <c r="F175" s="263">
        <f>Synthèse!F175</f>
        <v>2265012.7859861697</v>
      </c>
      <c r="G175" s="497" t="s">
        <v>540</v>
      </c>
      <c r="H175" s="497" t="s">
        <v>540</v>
      </c>
      <c r="I175" s="264">
        <f>Synthèse!H175</f>
        <v>346949.84027604543</v>
      </c>
      <c r="J175" s="501" t="s">
        <v>540</v>
      </c>
      <c r="K175" s="501" t="s">
        <v>540</v>
      </c>
    </row>
    <row r="176" spans="1:11" s="267" customFormat="1" ht="15" x14ac:dyDescent="0.25">
      <c r="A176" s="86">
        <f>Données!A176</f>
        <v>5705</v>
      </c>
      <c r="B176" s="409" t="str">
        <f>Données!B176</f>
        <v>Bogis-Bossey</v>
      </c>
      <c r="C176" s="264">
        <f>Synthèse!G176</f>
        <v>1361932.4000406049</v>
      </c>
      <c r="D176" s="492" t="s">
        <v>540</v>
      </c>
      <c r="E176" s="493" t="s">
        <v>540</v>
      </c>
      <c r="F176" s="263">
        <f>Synthèse!F176</f>
        <v>971964.75071373559</v>
      </c>
      <c r="G176" s="497" t="s">
        <v>540</v>
      </c>
      <c r="H176" s="497" t="s">
        <v>540</v>
      </c>
      <c r="I176" s="264">
        <f>Synthèse!H176</f>
        <v>143597.4989130249</v>
      </c>
      <c r="J176" s="501" t="s">
        <v>540</v>
      </c>
      <c r="K176" s="501" t="s">
        <v>540</v>
      </c>
    </row>
    <row r="177" spans="1:11" s="267" customFormat="1" ht="15" x14ac:dyDescent="0.25">
      <c r="A177" s="86">
        <f>Données!A177</f>
        <v>5706</v>
      </c>
      <c r="B177" s="409" t="str">
        <f>Données!B177</f>
        <v>Borex</v>
      </c>
      <c r="C177" s="264">
        <f>Synthèse!G177</f>
        <v>1843836.4427200868</v>
      </c>
      <c r="D177" s="492" t="s">
        <v>540</v>
      </c>
      <c r="E177" s="493" t="s">
        <v>540</v>
      </c>
      <c r="F177" s="263">
        <f>Synthèse!F177</f>
        <v>1431806.8495294359</v>
      </c>
      <c r="G177" s="497" t="s">
        <v>540</v>
      </c>
      <c r="H177" s="497" t="s">
        <v>540</v>
      </c>
      <c r="I177" s="264">
        <f>Synthèse!H177</f>
        <v>207079.1660445325</v>
      </c>
      <c r="J177" s="501" t="s">
        <v>540</v>
      </c>
      <c r="K177" s="501" t="s">
        <v>540</v>
      </c>
    </row>
    <row r="178" spans="1:11" s="267" customFormat="1" ht="15" x14ac:dyDescent="0.25">
      <c r="A178" s="86">
        <f>Données!A178</f>
        <v>5707</v>
      </c>
      <c r="B178" s="409" t="str">
        <f>Données!B178</f>
        <v>Chavannes-de-Bogis</v>
      </c>
      <c r="C178" s="264">
        <f>Synthèse!G178</f>
        <v>1897575.182123397</v>
      </c>
      <c r="D178" s="492" t="s">
        <v>540</v>
      </c>
      <c r="E178" s="493" t="s">
        <v>540</v>
      </c>
      <c r="F178" s="263">
        <f>Synthèse!F178</f>
        <v>1327631.810727864</v>
      </c>
      <c r="G178" s="497" t="s">
        <v>540</v>
      </c>
      <c r="H178" s="497" t="s">
        <v>540</v>
      </c>
      <c r="I178" s="264">
        <f>Synthèse!H178</f>
        <v>218699.25985080714</v>
      </c>
      <c r="J178" s="501" t="s">
        <v>540</v>
      </c>
      <c r="K178" s="501" t="s">
        <v>540</v>
      </c>
    </row>
    <row r="179" spans="1:11" s="267" customFormat="1" ht="15" x14ac:dyDescent="0.25">
      <c r="A179" s="86">
        <f>Données!A179</f>
        <v>5708</v>
      </c>
      <c r="B179" s="409" t="str">
        <f>Données!B179</f>
        <v>Chavannes-des-Bois</v>
      </c>
      <c r="C179" s="264">
        <f>Synthèse!G179</f>
        <v>1490019.8612924663</v>
      </c>
      <c r="D179" s="492" t="s">
        <v>540</v>
      </c>
      <c r="E179" s="493" t="s">
        <v>540</v>
      </c>
      <c r="F179" s="263">
        <f>Synthèse!F179</f>
        <v>1159681.358488939</v>
      </c>
      <c r="G179" s="497" t="s">
        <v>540</v>
      </c>
      <c r="H179" s="497" t="s">
        <v>540</v>
      </c>
      <c r="I179" s="264">
        <f>Synthèse!H179</f>
        <v>173089.33774590254</v>
      </c>
      <c r="J179" s="501" t="s">
        <v>540</v>
      </c>
      <c r="K179" s="501" t="s">
        <v>540</v>
      </c>
    </row>
    <row r="180" spans="1:11" s="267" customFormat="1" ht="15" x14ac:dyDescent="0.25">
      <c r="A180" s="86">
        <f>Données!A180</f>
        <v>5709</v>
      </c>
      <c r="B180" s="409" t="str">
        <f>Données!B180</f>
        <v>Chéserex</v>
      </c>
      <c r="C180" s="264">
        <f>Synthèse!G180</f>
        <v>2334860.2494772333</v>
      </c>
      <c r="D180" s="492" t="s">
        <v>540</v>
      </c>
      <c r="E180" s="493" t="s">
        <v>540</v>
      </c>
      <c r="F180" s="263">
        <f>Synthèse!F180</f>
        <v>1655030.5697666907</v>
      </c>
      <c r="G180" s="497" t="s">
        <v>540</v>
      </c>
      <c r="H180" s="497" t="s">
        <v>540</v>
      </c>
      <c r="I180" s="264">
        <f>Synthèse!H180</f>
        <v>232019.42549546569</v>
      </c>
      <c r="J180" s="501" t="s">
        <v>540</v>
      </c>
      <c r="K180" s="501" t="s">
        <v>540</v>
      </c>
    </row>
    <row r="181" spans="1:11" s="267" customFormat="1" ht="15" x14ac:dyDescent="0.25">
      <c r="A181" s="86">
        <f>Données!A181</f>
        <v>5710</v>
      </c>
      <c r="B181" s="409" t="str">
        <f>Données!B181</f>
        <v>Coinsins</v>
      </c>
      <c r="C181" s="264">
        <f>Synthèse!G181</f>
        <v>918932.73207075871</v>
      </c>
      <c r="D181" s="492" t="s">
        <v>540</v>
      </c>
      <c r="E181" s="493" t="s">
        <v>540</v>
      </c>
      <c r="F181" s="263">
        <f>Synthèse!F181</f>
        <v>724016.4308966049</v>
      </c>
      <c r="G181" s="497" t="s">
        <v>540</v>
      </c>
      <c r="H181" s="497" t="s">
        <v>540</v>
      </c>
      <c r="I181" s="264">
        <f>Synthèse!H181</f>
        <v>96414.36953873036</v>
      </c>
      <c r="J181" s="501" t="s">
        <v>540</v>
      </c>
      <c r="K181" s="501" t="s">
        <v>540</v>
      </c>
    </row>
    <row r="182" spans="1:11" s="267" customFormat="1" ht="15" x14ac:dyDescent="0.25">
      <c r="A182" s="86">
        <f>Données!A182</f>
        <v>5711</v>
      </c>
      <c r="B182" s="409" t="str">
        <f>Données!B182</f>
        <v>Commugny</v>
      </c>
      <c r="C182" s="264">
        <f>Synthèse!G182</f>
        <v>6333781.8447166737</v>
      </c>
      <c r="D182" s="492" t="s">
        <v>540</v>
      </c>
      <c r="E182" s="493" t="s">
        <v>540</v>
      </c>
      <c r="F182" s="263">
        <f>Synthèse!F182</f>
        <v>4024462.613488025</v>
      </c>
      <c r="G182" s="497" t="s">
        <v>540</v>
      </c>
      <c r="H182" s="497" t="s">
        <v>540</v>
      </c>
      <c r="I182" s="264">
        <f>Synthèse!H182</f>
        <v>581675.37560503138</v>
      </c>
      <c r="J182" s="501" t="s">
        <v>540</v>
      </c>
      <c r="K182" s="501" t="s">
        <v>540</v>
      </c>
    </row>
    <row r="183" spans="1:11" s="267" customFormat="1" ht="15" x14ac:dyDescent="0.25">
      <c r="A183" s="86">
        <f>Données!A183</f>
        <v>5712</v>
      </c>
      <c r="B183" s="409" t="str">
        <f>Données!B183</f>
        <v>Coppet</v>
      </c>
      <c r="C183" s="264">
        <f>Synthèse!G183</f>
        <v>11219717.200227924</v>
      </c>
      <c r="D183" s="492" t="s">
        <v>540</v>
      </c>
      <c r="E183" s="493" t="s">
        <v>540</v>
      </c>
      <c r="F183" s="263">
        <f>Synthèse!F183</f>
        <v>6375633.8999275565</v>
      </c>
      <c r="G183" s="497" t="s">
        <v>540</v>
      </c>
      <c r="H183" s="497" t="s">
        <v>540</v>
      </c>
      <c r="I183" s="264">
        <f>Synthèse!H183</f>
        <v>770011.54630811303</v>
      </c>
      <c r="J183" s="501" t="s">
        <v>540</v>
      </c>
      <c r="K183" s="501" t="s">
        <v>540</v>
      </c>
    </row>
    <row r="184" spans="1:11" s="267" customFormat="1" ht="15" x14ac:dyDescent="0.25">
      <c r="A184" s="86">
        <f>Données!A184</f>
        <v>5713</v>
      </c>
      <c r="B184" s="409" t="str">
        <f>Données!B184</f>
        <v>Crans-près-Céligny</v>
      </c>
      <c r="C184" s="264">
        <f>Synthèse!G184</f>
        <v>10081474.694292963</v>
      </c>
      <c r="D184" s="492" t="s">
        <v>540</v>
      </c>
      <c r="E184" s="493" t="s">
        <v>540</v>
      </c>
      <c r="F184" s="263">
        <f>Synthèse!F184</f>
        <v>5323484.1983901476</v>
      </c>
      <c r="G184" s="497" t="s">
        <v>540</v>
      </c>
      <c r="H184" s="497" t="s">
        <v>540</v>
      </c>
      <c r="I184" s="264">
        <f>Synthèse!H184</f>
        <v>399203.02056560176</v>
      </c>
      <c r="J184" s="501" t="s">
        <v>540</v>
      </c>
      <c r="K184" s="501" t="s">
        <v>540</v>
      </c>
    </row>
    <row r="185" spans="1:11" s="267" customFormat="1" ht="15" x14ac:dyDescent="0.25">
      <c r="A185" s="86">
        <f>Données!A185</f>
        <v>5714</v>
      </c>
      <c r="B185" s="409" t="str">
        <f>Données!B185</f>
        <v>Crassier</v>
      </c>
      <c r="C185" s="264">
        <f>Synthèse!G185</f>
        <v>945454.66101497714</v>
      </c>
      <c r="D185" s="492" t="s">
        <v>540</v>
      </c>
      <c r="E185" s="493" t="s">
        <v>540</v>
      </c>
      <c r="F185" s="263">
        <f>Synthèse!F185</f>
        <v>829892.57119813445</v>
      </c>
      <c r="G185" s="497" t="s">
        <v>540</v>
      </c>
      <c r="H185" s="497" t="s">
        <v>540</v>
      </c>
      <c r="I185" s="264">
        <f>Synthèse!H185</f>
        <v>167688.47367701901</v>
      </c>
      <c r="J185" s="501" t="s">
        <v>540</v>
      </c>
      <c r="K185" s="501" t="s">
        <v>540</v>
      </c>
    </row>
    <row r="186" spans="1:11" s="267" customFormat="1" ht="15" x14ac:dyDescent="0.25">
      <c r="A186" s="86">
        <f>Données!A186</f>
        <v>5715</v>
      </c>
      <c r="B186" s="409" t="str">
        <f>Données!B186</f>
        <v>Duillier</v>
      </c>
      <c r="C186" s="264">
        <f>Synthèse!G186</f>
        <v>1261988.3420303704</v>
      </c>
      <c r="D186" s="492" t="s">
        <v>540</v>
      </c>
      <c r="E186" s="493" t="s">
        <v>540</v>
      </c>
      <c r="F186" s="263">
        <f>Synthèse!F186</f>
        <v>1010869.8397344159</v>
      </c>
      <c r="G186" s="497" t="s">
        <v>540</v>
      </c>
      <c r="H186" s="497" t="s">
        <v>540</v>
      </c>
      <c r="I186" s="264">
        <f>Synthèse!H186</f>
        <v>175514.03428472922</v>
      </c>
      <c r="J186" s="501" t="s">
        <v>540</v>
      </c>
      <c r="K186" s="501" t="s">
        <v>540</v>
      </c>
    </row>
    <row r="187" spans="1:11" s="267" customFormat="1" ht="15" x14ac:dyDescent="0.25">
      <c r="A187" s="86">
        <f>Données!A187</f>
        <v>5716</v>
      </c>
      <c r="B187" s="409" t="str">
        <f>Données!B187</f>
        <v>Eysins</v>
      </c>
      <c r="C187" s="264">
        <f>Synthèse!G187</f>
        <v>11674278.049262691</v>
      </c>
      <c r="D187" s="492" t="s">
        <v>540</v>
      </c>
      <c r="E187" s="493" t="s">
        <v>540</v>
      </c>
      <c r="F187" s="263">
        <f>Synthèse!F187</f>
        <v>3929309.9844964948</v>
      </c>
      <c r="G187" s="497" t="s">
        <v>540</v>
      </c>
      <c r="H187" s="497" t="s">
        <v>540</v>
      </c>
      <c r="I187" s="264">
        <f>Synthèse!H187</f>
        <v>545690.58751438418</v>
      </c>
      <c r="J187" s="501" t="s">
        <v>540</v>
      </c>
      <c r="K187" s="501" t="s">
        <v>540</v>
      </c>
    </row>
    <row r="188" spans="1:11" s="267" customFormat="1" ht="15" x14ac:dyDescent="0.25">
      <c r="A188" s="86">
        <f>Données!A188</f>
        <v>5717</v>
      </c>
      <c r="B188" s="409" t="str">
        <f>Données!B188</f>
        <v>Founex</v>
      </c>
      <c r="C188" s="264">
        <f>Synthèse!G188</f>
        <v>11064973.791168669</v>
      </c>
      <c r="D188" s="492" t="s">
        <v>540</v>
      </c>
      <c r="E188" s="493" t="s">
        <v>540</v>
      </c>
      <c r="F188" s="263">
        <f>Synthèse!F188</f>
        <v>6176896.4659748096</v>
      </c>
      <c r="G188" s="497" t="s">
        <v>540</v>
      </c>
      <c r="H188" s="497" t="s">
        <v>540</v>
      </c>
      <c r="I188" s="264">
        <f>Synthèse!H188</f>
        <v>826151.31629396393</v>
      </c>
      <c r="J188" s="501" t="s">
        <v>540</v>
      </c>
      <c r="K188" s="501" t="s">
        <v>540</v>
      </c>
    </row>
    <row r="189" spans="1:11" s="267" customFormat="1" ht="15" x14ac:dyDescent="0.25">
      <c r="A189" s="86">
        <f>Données!A189</f>
        <v>5718</v>
      </c>
      <c r="B189" s="409" t="str">
        <f>Données!B189</f>
        <v>Genolier</v>
      </c>
      <c r="C189" s="264">
        <f>Synthèse!G189</f>
        <v>7409671.5203520022</v>
      </c>
      <c r="D189" s="492" t="s">
        <v>540</v>
      </c>
      <c r="E189" s="493" t="s">
        <v>540</v>
      </c>
      <c r="F189" s="263">
        <f>Synthèse!F189</f>
        <v>4222649.8199557848</v>
      </c>
      <c r="G189" s="497" t="s">
        <v>540</v>
      </c>
      <c r="H189" s="497" t="s">
        <v>540</v>
      </c>
      <c r="I189" s="264">
        <f>Synthèse!H189</f>
        <v>486496.64615846251</v>
      </c>
      <c r="J189" s="501" t="s">
        <v>540</v>
      </c>
      <c r="K189" s="501" t="s">
        <v>540</v>
      </c>
    </row>
    <row r="190" spans="1:11" s="267" customFormat="1" ht="15" x14ac:dyDescent="0.25">
      <c r="A190" s="86">
        <f>Données!A190</f>
        <v>5719</v>
      </c>
      <c r="B190" s="409" t="str">
        <f>Données!B190</f>
        <v>Gingins</v>
      </c>
      <c r="C190" s="264">
        <f>Synthèse!G190</f>
        <v>4280301.644943784</v>
      </c>
      <c r="D190" s="492" t="s">
        <v>540</v>
      </c>
      <c r="E190" s="493" t="s">
        <v>540</v>
      </c>
      <c r="F190" s="263">
        <f>Synthèse!F190</f>
        <v>2575574.5154160252</v>
      </c>
      <c r="G190" s="497" t="s">
        <v>540</v>
      </c>
      <c r="H190" s="497" t="s">
        <v>540</v>
      </c>
      <c r="I190" s="264">
        <f>Synthèse!H190</f>
        <v>295147.07538810244</v>
      </c>
      <c r="J190" s="501" t="s">
        <v>540</v>
      </c>
      <c r="K190" s="501" t="s">
        <v>540</v>
      </c>
    </row>
    <row r="191" spans="1:11" s="267" customFormat="1" ht="15" x14ac:dyDescent="0.25">
      <c r="A191" s="86">
        <f>Données!A191</f>
        <v>5720</v>
      </c>
      <c r="B191" s="409" t="str">
        <f>Données!B191</f>
        <v>Givrins</v>
      </c>
      <c r="C191" s="264">
        <f>Synthèse!G191</f>
        <v>2268223.5406372417</v>
      </c>
      <c r="D191" s="492" t="s">
        <v>540</v>
      </c>
      <c r="E191" s="493" t="s">
        <v>540</v>
      </c>
      <c r="F191" s="263">
        <f>Synthèse!F191</f>
        <v>1423037.7949029428</v>
      </c>
      <c r="G191" s="497" t="s">
        <v>540</v>
      </c>
      <c r="H191" s="497" t="s">
        <v>540</v>
      </c>
      <c r="I191" s="264">
        <f>Synthèse!H191</f>
        <v>196491.91998520738</v>
      </c>
      <c r="J191" s="501" t="s">
        <v>540</v>
      </c>
      <c r="K191" s="501" t="s">
        <v>540</v>
      </c>
    </row>
    <row r="192" spans="1:11" s="267" customFormat="1" ht="15" x14ac:dyDescent="0.25">
      <c r="A192" s="86">
        <f>Données!A192</f>
        <v>5721</v>
      </c>
      <c r="B192" s="409" t="str">
        <f>Données!B192</f>
        <v>Gland</v>
      </c>
      <c r="C192" s="264">
        <f>Synthèse!G192</f>
        <v>12159687.610017009</v>
      </c>
      <c r="D192" s="492" t="s">
        <v>540</v>
      </c>
      <c r="E192" s="493" t="s">
        <v>540</v>
      </c>
      <c r="F192" s="263">
        <f>Synthèse!F192</f>
        <v>4493425.5885315351</v>
      </c>
      <c r="G192" s="497" t="s">
        <v>540</v>
      </c>
      <c r="H192" s="497" t="s">
        <v>540</v>
      </c>
      <c r="I192" s="264">
        <f>Synthèse!H192</f>
        <v>1966162.4949911768</v>
      </c>
      <c r="J192" s="501" t="s">
        <v>540</v>
      </c>
      <c r="K192" s="501" t="s">
        <v>540</v>
      </c>
    </row>
    <row r="193" spans="1:11" s="267" customFormat="1" ht="15" x14ac:dyDescent="0.25">
      <c r="A193" s="86">
        <f>Données!A193</f>
        <v>5722</v>
      </c>
      <c r="B193" s="409" t="str">
        <f>Données!B193</f>
        <v>Grens</v>
      </c>
      <c r="C193" s="264">
        <f>Synthèse!G193</f>
        <v>490272.25694843056</v>
      </c>
      <c r="D193" s="492" t="s">
        <v>540</v>
      </c>
      <c r="E193" s="493" t="s">
        <v>540</v>
      </c>
      <c r="F193" s="263">
        <f>Synthèse!F193</f>
        <v>438690.25298884802</v>
      </c>
      <c r="G193" s="497" t="s">
        <v>540</v>
      </c>
      <c r="H193" s="497" t="s">
        <v>540</v>
      </c>
      <c r="I193" s="264">
        <f>Synthèse!H193</f>
        <v>67438.489030912257</v>
      </c>
      <c r="J193" s="501" t="s">
        <v>540</v>
      </c>
      <c r="K193" s="501" t="s">
        <v>540</v>
      </c>
    </row>
    <row r="194" spans="1:11" s="267" customFormat="1" ht="15" x14ac:dyDescent="0.25">
      <c r="A194" s="86">
        <f>Données!A194</f>
        <v>5723</v>
      </c>
      <c r="B194" s="409" t="str">
        <f>Données!B194</f>
        <v>Mies</v>
      </c>
      <c r="C194" s="264">
        <f>Synthèse!G194</f>
        <v>5191955.1528673219</v>
      </c>
      <c r="D194" s="492" t="s">
        <v>540</v>
      </c>
      <c r="E194" s="493" t="s">
        <v>540</v>
      </c>
      <c r="F194" s="263">
        <f>Synthèse!F194</f>
        <v>3255754.7040794585</v>
      </c>
      <c r="G194" s="497" t="s">
        <v>540</v>
      </c>
      <c r="H194" s="497" t="s">
        <v>540</v>
      </c>
      <c r="I194" s="264">
        <f>Synthèse!H194</f>
        <v>440302.99999892304</v>
      </c>
      <c r="J194" s="501" t="s">
        <v>540</v>
      </c>
      <c r="K194" s="501" t="s">
        <v>540</v>
      </c>
    </row>
    <row r="195" spans="1:11" s="267" customFormat="1" ht="15" x14ac:dyDescent="0.25">
      <c r="A195" s="86">
        <f>Données!A195</f>
        <v>5724</v>
      </c>
      <c r="B195" s="409" t="str">
        <f>Données!B195</f>
        <v>Nyon</v>
      </c>
      <c r="C195" s="264">
        <f>Synthèse!G195</f>
        <v>34899702.043974683</v>
      </c>
      <c r="D195" s="492" t="s">
        <v>540</v>
      </c>
      <c r="E195" s="493" t="s">
        <v>540</v>
      </c>
      <c r="F195" s="263">
        <f>Synthèse!F195</f>
        <v>9189659.7164719068</v>
      </c>
      <c r="G195" s="497" t="s">
        <v>540</v>
      </c>
      <c r="H195" s="497" t="s">
        <v>540</v>
      </c>
      <c r="I195" s="264">
        <f>Synthèse!H195</f>
        <v>1827341.6107557134</v>
      </c>
      <c r="J195" s="501" t="s">
        <v>540</v>
      </c>
      <c r="K195" s="501" t="s">
        <v>540</v>
      </c>
    </row>
    <row r="196" spans="1:11" s="267" customFormat="1" ht="15" x14ac:dyDescent="0.25">
      <c r="A196" s="86">
        <f>Données!A196</f>
        <v>5725</v>
      </c>
      <c r="B196" s="409" t="str">
        <f>Données!B196</f>
        <v>Prangins</v>
      </c>
      <c r="C196" s="264">
        <f>Synthèse!G196</f>
        <v>7443262.6507568508</v>
      </c>
      <c r="D196" s="492" t="s">
        <v>540</v>
      </c>
      <c r="E196" s="493" t="s">
        <v>540</v>
      </c>
      <c r="F196" s="263">
        <f>Synthèse!F196</f>
        <v>4620506.769096775</v>
      </c>
      <c r="G196" s="497" t="s">
        <v>540</v>
      </c>
      <c r="H196" s="497" t="s">
        <v>540</v>
      </c>
      <c r="I196" s="264">
        <f>Synthèse!H196</f>
        <v>404079.90383210359</v>
      </c>
      <c r="J196" s="501" t="s">
        <v>540</v>
      </c>
      <c r="K196" s="501" t="s">
        <v>540</v>
      </c>
    </row>
    <row r="197" spans="1:11" s="267" customFormat="1" ht="15" x14ac:dyDescent="0.25">
      <c r="A197" s="86">
        <f>Données!A197</f>
        <v>5726</v>
      </c>
      <c r="B197" s="409" t="str">
        <f>Données!B197</f>
        <v>La Rippe</v>
      </c>
      <c r="C197" s="264">
        <f>Synthèse!G197</f>
        <v>1451181.9323535189</v>
      </c>
      <c r="D197" s="492" t="s">
        <v>540</v>
      </c>
      <c r="E197" s="493" t="s">
        <v>540</v>
      </c>
      <c r="F197" s="263">
        <f>Synthèse!F197</f>
        <v>1100874.6841948302</v>
      </c>
      <c r="G197" s="497" t="s">
        <v>540</v>
      </c>
      <c r="H197" s="497" t="s">
        <v>540</v>
      </c>
      <c r="I197" s="264">
        <f>Synthèse!H197</f>
        <v>181916.16887230088</v>
      </c>
      <c r="J197" s="501" t="s">
        <v>540</v>
      </c>
      <c r="K197" s="501" t="s">
        <v>540</v>
      </c>
    </row>
    <row r="198" spans="1:11" s="267" customFormat="1" ht="15" x14ac:dyDescent="0.25">
      <c r="A198" s="86">
        <f>Données!A198</f>
        <v>5727</v>
      </c>
      <c r="B198" s="409" t="str">
        <f>Données!B198</f>
        <v>Saint-Cergue</v>
      </c>
      <c r="C198" s="264">
        <f>Synthèse!G198</f>
        <v>1916900.3183614374</v>
      </c>
      <c r="D198" s="492" t="s">
        <v>540</v>
      </c>
      <c r="E198" s="493" t="s">
        <v>540</v>
      </c>
      <c r="F198" s="263">
        <f>Synthèse!F198</f>
        <v>782762.79382194323</v>
      </c>
      <c r="G198" s="497" t="s">
        <v>540</v>
      </c>
      <c r="H198" s="497" t="s">
        <v>540</v>
      </c>
      <c r="I198" s="264">
        <f>Synthèse!H198</f>
        <v>329846.74504204118</v>
      </c>
      <c r="J198" s="501" t="s">
        <v>540</v>
      </c>
      <c r="K198" s="501" t="s">
        <v>540</v>
      </c>
    </row>
    <row r="199" spans="1:11" s="267" customFormat="1" ht="15" x14ac:dyDescent="0.25">
      <c r="A199" s="86">
        <f>Données!A199</f>
        <v>5728</v>
      </c>
      <c r="B199" s="409" t="str">
        <f>Données!B199</f>
        <v>Signy-Avenex</v>
      </c>
      <c r="C199" s="264">
        <f>Synthèse!G199</f>
        <v>1243068.534763773</v>
      </c>
      <c r="D199" s="492" t="s">
        <v>540</v>
      </c>
      <c r="E199" s="493" t="s">
        <v>540</v>
      </c>
      <c r="F199" s="263">
        <f>Synthèse!F199</f>
        <v>867183.96652269817</v>
      </c>
      <c r="G199" s="497" t="s">
        <v>540</v>
      </c>
      <c r="H199" s="497" t="s">
        <v>540</v>
      </c>
      <c r="I199" s="264">
        <f>Synthèse!H199</f>
        <v>112804.01297756916</v>
      </c>
      <c r="J199" s="501" t="s">
        <v>540</v>
      </c>
      <c r="K199" s="501" t="s">
        <v>540</v>
      </c>
    </row>
    <row r="200" spans="1:11" s="267" customFormat="1" ht="15" x14ac:dyDescent="0.25">
      <c r="A200" s="86">
        <f>Données!A200</f>
        <v>5729</v>
      </c>
      <c r="B200" s="409" t="str">
        <f>Données!B200</f>
        <v>Tannay</v>
      </c>
      <c r="C200" s="264">
        <f>Synthèse!G200</f>
        <v>3489446.4958239212</v>
      </c>
      <c r="D200" s="492" t="s">
        <v>540</v>
      </c>
      <c r="E200" s="493" t="s">
        <v>540</v>
      </c>
      <c r="F200" s="263">
        <f>Synthèse!F200</f>
        <v>2159040.1868395973</v>
      </c>
      <c r="G200" s="497" t="s">
        <v>540</v>
      </c>
      <c r="H200" s="497" t="s">
        <v>540</v>
      </c>
      <c r="I200" s="264">
        <f>Synthèse!H200</f>
        <v>308127.2514564158</v>
      </c>
      <c r="J200" s="501" t="s">
        <v>540</v>
      </c>
      <c r="K200" s="501" t="s">
        <v>540</v>
      </c>
    </row>
    <row r="201" spans="1:11" s="267" customFormat="1" ht="15" x14ac:dyDescent="0.25">
      <c r="A201" s="86">
        <f>Données!A201</f>
        <v>5730</v>
      </c>
      <c r="B201" s="409" t="str">
        <f>Données!B201</f>
        <v>Trélex</v>
      </c>
      <c r="C201" s="264">
        <f>Synthèse!G201</f>
        <v>2775662.6266026115</v>
      </c>
      <c r="D201" s="492" t="s">
        <v>540</v>
      </c>
      <c r="E201" s="493" t="s">
        <v>540</v>
      </c>
      <c r="F201" s="263">
        <f>Synthèse!F201</f>
        <v>1860039.0470820188</v>
      </c>
      <c r="G201" s="497" t="s">
        <v>540</v>
      </c>
      <c r="H201" s="497" t="s">
        <v>540</v>
      </c>
      <c r="I201" s="264">
        <f>Synthèse!H201</f>
        <v>267225.68013529084</v>
      </c>
      <c r="J201" s="501" t="s">
        <v>540</v>
      </c>
      <c r="K201" s="501" t="s">
        <v>540</v>
      </c>
    </row>
    <row r="202" spans="1:11" s="267" customFormat="1" ht="15" x14ac:dyDescent="0.25">
      <c r="A202" s="86">
        <f>Données!A202</f>
        <v>5731</v>
      </c>
      <c r="B202" s="409" t="str">
        <f>Données!B202</f>
        <v>Le Vaud</v>
      </c>
      <c r="C202" s="264">
        <f>Synthèse!G202</f>
        <v>1098604.1296442212</v>
      </c>
      <c r="D202" s="492" t="s">
        <v>540</v>
      </c>
      <c r="E202" s="493" t="s">
        <v>540</v>
      </c>
      <c r="F202" s="263">
        <f>Synthèse!F202</f>
        <v>925904.98777951568</v>
      </c>
      <c r="G202" s="497" t="s">
        <v>540</v>
      </c>
      <c r="H202" s="497" t="s">
        <v>540</v>
      </c>
      <c r="I202" s="264">
        <f>Synthèse!H202</f>
        <v>198821.08544720651</v>
      </c>
      <c r="J202" s="501" t="s">
        <v>540</v>
      </c>
      <c r="K202" s="501" t="s">
        <v>540</v>
      </c>
    </row>
    <row r="203" spans="1:11" s="267" customFormat="1" ht="15" x14ac:dyDescent="0.25">
      <c r="A203" s="86">
        <f>Données!A203</f>
        <v>5732</v>
      </c>
      <c r="B203" s="409" t="str">
        <f>Données!B203</f>
        <v>Vich</v>
      </c>
      <c r="C203" s="264">
        <f>Synthèse!G203</f>
        <v>1603595.047832564</v>
      </c>
      <c r="D203" s="492" t="s">
        <v>540</v>
      </c>
      <c r="E203" s="493" t="s">
        <v>540</v>
      </c>
      <c r="F203" s="263">
        <f>Synthèse!F203</f>
        <v>1181893.060161435</v>
      </c>
      <c r="G203" s="497" t="s">
        <v>540</v>
      </c>
      <c r="H203" s="497" t="s">
        <v>540</v>
      </c>
      <c r="I203" s="264">
        <f>Synthèse!H203</f>
        <v>190097.49621205183</v>
      </c>
      <c r="J203" s="501" t="s">
        <v>540</v>
      </c>
      <c r="K203" s="501" t="s">
        <v>540</v>
      </c>
    </row>
    <row r="204" spans="1:11" s="267" customFormat="1" ht="15" x14ac:dyDescent="0.25">
      <c r="A204" s="86">
        <f>Données!A204</f>
        <v>5741</v>
      </c>
      <c r="B204" s="409" t="str">
        <f>Données!B204</f>
        <v>L'Abergement</v>
      </c>
      <c r="C204" s="264">
        <f>Synthèse!G204</f>
        <v>132819.2592563942</v>
      </c>
      <c r="D204" s="492" t="s">
        <v>540</v>
      </c>
      <c r="E204" s="493" t="s">
        <v>540</v>
      </c>
      <c r="F204" s="263">
        <f>Synthèse!F204</f>
        <v>-114875.95198427862</v>
      </c>
      <c r="G204" s="497" t="s">
        <v>540</v>
      </c>
      <c r="H204" s="497" t="s">
        <v>540</v>
      </c>
      <c r="I204" s="264">
        <f>Synthèse!H204</f>
        <v>23244.773866722393</v>
      </c>
      <c r="J204" s="501" t="s">
        <v>540</v>
      </c>
      <c r="K204" s="501" t="s">
        <v>540</v>
      </c>
    </row>
    <row r="205" spans="1:11" s="267" customFormat="1" ht="15" x14ac:dyDescent="0.25">
      <c r="A205" s="86">
        <f>Données!A205</f>
        <v>5742</v>
      </c>
      <c r="B205" s="409" t="str">
        <f>Données!B205</f>
        <v>Agiez</v>
      </c>
      <c r="C205" s="264">
        <f>Synthèse!G205</f>
        <v>146772.05986695393</v>
      </c>
      <c r="D205" s="492" t="s">
        <v>540</v>
      </c>
      <c r="E205" s="493" t="s">
        <v>540</v>
      </c>
      <c r="F205" s="263">
        <f>Synthèse!F205</f>
        <v>-105043.00472767954</v>
      </c>
      <c r="G205" s="497" t="s">
        <v>540</v>
      </c>
      <c r="H205" s="497" t="s">
        <v>540</v>
      </c>
      <c r="I205" s="264">
        <f>Synthèse!H205</f>
        <v>28258.024097036745</v>
      </c>
      <c r="J205" s="501" t="s">
        <v>540</v>
      </c>
      <c r="K205" s="501" t="s">
        <v>540</v>
      </c>
    </row>
    <row r="206" spans="1:11" s="267" customFormat="1" ht="15" x14ac:dyDescent="0.25">
      <c r="A206" s="86">
        <f>Données!A206</f>
        <v>5743</v>
      </c>
      <c r="B206" s="409" t="str">
        <f>Données!B206</f>
        <v>Arnex-sur-Orbe</v>
      </c>
      <c r="C206" s="264">
        <f>Synthèse!G206</f>
        <v>333022.58569844265</v>
      </c>
      <c r="D206" s="492" t="s">
        <v>540</v>
      </c>
      <c r="E206" s="493" t="s">
        <v>540</v>
      </c>
      <c r="F206" s="263">
        <f>Synthèse!F206</f>
        <v>51300.717220740858</v>
      </c>
      <c r="G206" s="497" t="s">
        <v>540</v>
      </c>
      <c r="H206" s="497" t="s">
        <v>540</v>
      </c>
      <c r="I206" s="264">
        <f>Synthèse!H206</f>
        <v>65220.108332497381</v>
      </c>
      <c r="J206" s="501" t="s">
        <v>540</v>
      </c>
      <c r="K206" s="501" t="s">
        <v>540</v>
      </c>
    </row>
    <row r="207" spans="1:11" s="267" customFormat="1" ht="15" x14ac:dyDescent="0.25">
      <c r="A207" s="86">
        <f>Données!A207</f>
        <v>5744</v>
      </c>
      <c r="B207" s="409" t="str">
        <f>Données!B207</f>
        <v>Ballaigues</v>
      </c>
      <c r="C207" s="264">
        <f>Synthèse!G207</f>
        <v>1048243.5154280323</v>
      </c>
      <c r="D207" s="492" t="s">
        <v>540</v>
      </c>
      <c r="E207" s="493" t="s">
        <v>540</v>
      </c>
      <c r="F207" s="263">
        <f>Synthèse!F207</f>
        <v>8279.2043228180846</v>
      </c>
      <c r="G207" s="497" t="s">
        <v>540</v>
      </c>
      <c r="H207" s="497" t="s">
        <v>540</v>
      </c>
      <c r="I207" s="264">
        <f>Synthèse!H207</f>
        <v>126817.33630864597</v>
      </c>
      <c r="J207" s="501" t="s">
        <v>540</v>
      </c>
      <c r="K207" s="501" t="s">
        <v>540</v>
      </c>
    </row>
    <row r="208" spans="1:11" s="267" customFormat="1" ht="15" x14ac:dyDescent="0.25">
      <c r="A208" s="86">
        <f>Données!A208</f>
        <v>5745</v>
      </c>
      <c r="B208" s="409" t="str">
        <f>Données!B208</f>
        <v>Baulmes</v>
      </c>
      <c r="C208" s="264">
        <f>Synthèse!G208</f>
        <v>497500.21892909508</v>
      </c>
      <c r="D208" s="492" t="s">
        <v>540</v>
      </c>
      <c r="E208" s="493" t="s">
        <v>540</v>
      </c>
      <c r="F208" s="263">
        <f>Synthèse!F208</f>
        <v>-586172.06335506914</v>
      </c>
      <c r="G208" s="497" t="s">
        <v>540</v>
      </c>
      <c r="H208" s="497" t="s">
        <v>540</v>
      </c>
      <c r="I208" s="264">
        <f>Synthèse!H208</f>
        <v>84775.700401628448</v>
      </c>
      <c r="J208" s="501" t="s">
        <v>540</v>
      </c>
      <c r="K208" s="501" t="s">
        <v>540</v>
      </c>
    </row>
    <row r="209" spans="1:11" s="267" customFormat="1" ht="15" x14ac:dyDescent="0.25">
      <c r="A209" s="86">
        <f>Données!A209</f>
        <v>5746</v>
      </c>
      <c r="B209" s="409" t="str">
        <f>Données!B209</f>
        <v>Bavois</v>
      </c>
      <c r="C209" s="264">
        <f>Synthèse!G209</f>
        <v>649828.29116897588</v>
      </c>
      <c r="D209" s="492" t="s">
        <v>540</v>
      </c>
      <c r="E209" s="493" t="s">
        <v>540</v>
      </c>
      <c r="F209" s="263">
        <f>Synthèse!F209</f>
        <v>-50054.562564339954</v>
      </c>
      <c r="G209" s="497" t="s">
        <v>540</v>
      </c>
      <c r="H209" s="497" t="s">
        <v>540</v>
      </c>
      <c r="I209" s="264">
        <f>Synthèse!H209</f>
        <v>94926.621549108939</v>
      </c>
      <c r="J209" s="501" t="s">
        <v>540</v>
      </c>
      <c r="K209" s="501" t="s">
        <v>540</v>
      </c>
    </row>
    <row r="210" spans="1:11" s="267" customFormat="1" ht="15" x14ac:dyDescent="0.25">
      <c r="A210" s="86">
        <f>Données!A210</f>
        <v>5747</v>
      </c>
      <c r="B210" s="409" t="str">
        <f>Données!B210</f>
        <v>Bofflens</v>
      </c>
      <c r="C210" s="264">
        <f>Synthèse!G210</f>
        <v>106178.03969691315</v>
      </c>
      <c r="D210" s="492" t="s">
        <v>540</v>
      </c>
      <c r="E210" s="493" t="s">
        <v>540</v>
      </c>
      <c r="F210" s="263">
        <f>Synthèse!F210</f>
        <v>-17381.987412155853</v>
      </c>
      <c r="G210" s="497" t="s">
        <v>540</v>
      </c>
      <c r="H210" s="497" t="s">
        <v>540</v>
      </c>
      <c r="I210" s="264">
        <f>Synthèse!H210</f>
        <v>17520.524695983389</v>
      </c>
      <c r="J210" s="501" t="s">
        <v>540</v>
      </c>
      <c r="K210" s="501" t="s">
        <v>540</v>
      </c>
    </row>
    <row r="211" spans="1:11" s="267" customFormat="1" ht="15" x14ac:dyDescent="0.25">
      <c r="A211" s="86">
        <f>Données!A211</f>
        <v>5748</v>
      </c>
      <c r="B211" s="409" t="str">
        <f>Données!B211</f>
        <v>Bretonnières</v>
      </c>
      <c r="C211" s="264">
        <f>Synthèse!G211</f>
        <v>98914.591759786228</v>
      </c>
      <c r="D211" s="492" t="s">
        <v>540</v>
      </c>
      <c r="E211" s="493" t="s">
        <v>540</v>
      </c>
      <c r="F211" s="263">
        <f>Synthèse!F211</f>
        <v>-103559.46474081805</v>
      </c>
      <c r="G211" s="497" t="s">
        <v>540</v>
      </c>
      <c r="H211" s="497" t="s">
        <v>540</v>
      </c>
      <c r="I211" s="264">
        <f>Synthèse!H211</f>
        <v>17941.04043864238</v>
      </c>
      <c r="J211" s="501" t="s">
        <v>540</v>
      </c>
      <c r="K211" s="501" t="s">
        <v>540</v>
      </c>
    </row>
    <row r="212" spans="1:11" s="267" customFormat="1" ht="15" x14ac:dyDescent="0.25">
      <c r="A212" s="86">
        <f>Données!A212</f>
        <v>5749</v>
      </c>
      <c r="B212" s="409" t="str">
        <f>Données!B212</f>
        <v>Chavornay</v>
      </c>
      <c r="C212" s="264">
        <f>Synthèse!G212</f>
        <v>2640462.567665712</v>
      </c>
      <c r="D212" s="492" t="s">
        <v>540</v>
      </c>
      <c r="E212" s="493" t="s">
        <v>540</v>
      </c>
      <c r="F212" s="263">
        <f>Synthèse!F212</f>
        <v>-1873456.8785898476</v>
      </c>
      <c r="G212" s="497" t="s">
        <v>540</v>
      </c>
      <c r="H212" s="497" t="s">
        <v>540</v>
      </c>
      <c r="I212" s="264">
        <f>Synthèse!H212</f>
        <v>438125.72990610462</v>
      </c>
      <c r="J212" s="501" t="s">
        <v>540</v>
      </c>
      <c r="K212" s="501" t="s">
        <v>540</v>
      </c>
    </row>
    <row r="213" spans="1:11" s="267" customFormat="1" ht="15" x14ac:dyDescent="0.25">
      <c r="A213" s="86">
        <f>Données!A213</f>
        <v>5750</v>
      </c>
      <c r="B213" s="409" t="str">
        <f>Données!B213</f>
        <v>Les Clées</v>
      </c>
      <c r="C213" s="264">
        <f>Synthèse!G213</f>
        <v>91040.701883885573</v>
      </c>
      <c r="D213" s="492" t="s">
        <v>540</v>
      </c>
      <c r="E213" s="493" t="s">
        <v>540</v>
      </c>
      <c r="F213" s="263">
        <f>Synthèse!F213</f>
        <v>-15436.607426117029</v>
      </c>
      <c r="G213" s="497" t="s">
        <v>540</v>
      </c>
      <c r="H213" s="497" t="s">
        <v>540</v>
      </c>
      <c r="I213" s="264">
        <f>Synthèse!H213</f>
        <v>19284.943568448591</v>
      </c>
      <c r="J213" s="501" t="s">
        <v>540</v>
      </c>
      <c r="K213" s="501" t="s">
        <v>540</v>
      </c>
    </row>
    <row r="214" spans="1:11" s="267" customFormat="1" ht="15" x14ac:dyDescent="0.25">
      <c r="A214" s="86">
        <f>Données!A214</f>
        <v>5752</v>
      </c>
      <c r="B214" s="409" t="str">
        <f>Données!B214</f>
        <v>Croy</v>
      </c>
      <c r="C214" s="264">
        <f>Synthèse!G214</f>
        <v>171564.68918571249</v>
      </c>
      <c r="D214" s="492" t="s">
        <v>540</v>
      </c>
      <c r="E214" s="493" t="s">
        <v>540</v>
      </c>
      <c r="F214" s="263">
        <f>Synthèse!F214</f>
        <v>-65865.090614797751</v>
      </c>
      <c r="G214" s="497" t="s">
        <v>540</v>
      </c>
      <c r="H214" s="497" t="s">
        <v>540</v>
      </c>
      <c r="I214" s="264">
        <f>Synthèse!H214</f>
        <v>29342.378998817963</v>
      </c>
      <c r="J214" s="501" t="s">
        <v>540</v>
      </c>
      <c r="K214" s="501" t="s">
        <v>540</v>
      </c>
    </row>
    <row r="215" spans="1:11" s="267" customFormat="1" ht="15" x14ac:dyDescent="0.25">
      <c r="A215" s="86">
        <f>Données!A215</f>
        <v>5754</v>
      </c>
      <c r="B215" s="409" t="str">
        <f>Données!B215</f>
        <v>Juriens</v>
      </c>
      <c r="C215" s="264">
        <f>Synthèse!G215</f>
        <v>129638.52496707001</v>
      </c>
      <c r="D215" s="492" t="s">
        <v>540</v>
      </c>
      <c r="E215" s="493" t="s">
        <v>540</v>
      </c>
      <c r="F215" s="263">
        <f>Synthèse!F215</f>
        <v>-137147.55426731938</v>
      </c>
      <c r="G215" s="497" t="s">
        <v>540</v>
      </c>
      <c r="H215" s="497" t="s">
        <v>540</v>
      </c>
      <c r="I215" s="264">
        <f>Synthèse!H215</f>
        <v>25388.746062189311</v>
      </c>
      <c r="J215" s="501" t="s">
        <v>540</v>
      </c>
      <c r="K215" s="501" t="s">
        <v>540</v>
      </c>
    </row>
    <row r="216" spans="1:11" s="267" customFormat="1" ht="15" x14ac:dyDescent="0.25">
      <c r="A216" s="86">
        <f>Données!A216</f>
        <v>5755</v>
      </c>
      <c r="B216" s="409" t="str">
        <f>Données!B216</f>
        <v>Lignerolle</v>
      </c>
      <c r="C216" s="264">
        <f>Synthèse!G216</f>
        <v>275014.24101760483</v>
      </c>
      <c r="D216" s="492" t="s">
        <v>540</v>
      </c>
      <c r="E216" s="493" t="s">
        <v>540</v>
      </c>
      <c r="F216" s="263">
        <f>Synthèse!F216</f>
        <v>-674215.09839432943</v>
      </c>
      <c r="G216" s="497" t="s">
        <v>540</v>
      </c>
      <c r="H216" s="497" t="s">
        <v>540</v>
      </c>
      <c r="I216" s="264">
        <f>Synthèse!H216</f>
        <v>28155.095566841152</v>
      </c>
      <c r="J216" s="501" t="s">
        <v>540</v>
      </c>
      <c r="K216" s="501" t="s">
        <v>540</v>
      </c>
    </row>
    <row r="217" spans="1:11" s="267" customFormat="1" ht="15" x14ac:dyDescent="0.25">
      <c r="A217" s="86">
        <f>Données!A217</f>
        <v>5756</v>
      </c>
      <c r="B217" s="409" t="str">
        <f>Données!B217</f>
        <v>Montcherand</v>
      </c>
      <c r="C217" s="264">
        <f>Synthèse!G217</f>
        <v>284336.5170782975</v>
      </c>
      <c r="D217" s="492" t="s">
        <v>540</v>
      </c>
      <c r="E217" s="493" t="s">
        <v>540</v>
      </c>
      <c r="F217" s="263">
        <f>Synthèse!F217</f>
        <v>7955.0445800824091</v>
      </c>
      <c r="G217" s="497" t="s">
        <v>540</v>
      </c>
      <c r="H217" s="497" t="s">
        <v>540</v>
      </c>
      <c r="I217" s="264">
        <f>Synthèse!H217</f>
        <v>20374.359905926198</v>
      </c>
      <c r="J217" s="501" t="s">
        <v>540</v>
      </c>
      <c r="K217" s="501" t="s">
        <v>540</v>
      </c>
    </row>
    <row r="218" spans="1:11" s="267" customFormat="1" ht="15" x14ac:dyDescent="0.25">
      <c r="A218" s="86">
        <f>Données!A218</f>
        <v>5757</v>
      </c>
      <c r="B218" s="409" t="str">
        <f>Données!B218</f>
        <v>Orbe</v>
      </c>
      <c r="C218" s="264">
        <f>Synthèse!G218</f>
        <v>4448225.2603133628</v>
      </c>
      <c r="D218" s="492" t="s">
        <v>540</v>
      </c>
      <c r="E218" s="493" t="s">
        <v>540</v>
      </c>
      <c r="F218" s="263">
        <f>Synthèse!F218</f>
        <v>-4003981.5199459298</v>
      </c>
      <c r="G218" s="497" t="s">
        <v>540</v>
      </c>
      <c r="H218" s="497" t="s">
        <v>540</v>
      </c>
      <c r="I218" s="264">
        <f>Synthèse!H218</f>
        <v>263169.33988608036</v>
      </c>
      <c r="J218" s="501" t="s">
        <v>540</v>
      </c>
      <c r="K218" s="501" t="s">
        <v>540</v>
      </c>
    </row>
    <row r="219" spans="1:11" s="267" customFormat="1" ht="15" x14ac:dyDescent="0.25">
      <c r="A219" s="86">
        <f>Données!A219</f>
        <v>5758</v>
      </c>
      <c r="B219" s="409" t="str">
        <f>Données!B219</f>
        <v>La Praz</v>
      </c>
      <c r="C219" s="264">
        <f>Synthèse!G219</f>
        <v>75347.059761317345</v>
      </c>
      <c r="D219" s="492" t="s">
        <v>540</v>
      </c>
      <c r="E219" s="493" t="s">
        <v>540</v>
      </c>
      <c r="F219" s="263">
        <f>Synthèse!F219</f>
        <v>-53390.979421067561</v>
      </c>
      <c r="G219" s="497" t="s">
        <v>540</v>
      </c>
      <c r="H219" s="497" t="s">
        <v>540</v>
      </c>
      <c r="I219" s="264">
        <f>Synthèse!H219</f>
        <v>13499.050977464547</v>
      </c>
      <c r="J219" s="501" t="s">
        <v>540</v>
      </c>
      <c r="K219" s="501" t="s">
        <v>540</v>
      </c>
    </row>
    <row r="220" spans="1:11" s="267" customFormat="1" ht="15" x14ac:dyDescent="0.25">
      <c r="A220" s="86">
        <f>Données!A220</f>
        <v>5759</v>
      </c>
      <c r="B220" s="409" t="str">
        <f>Données!B220</f>
        <v>Premier</v>
      </c>
      <c r="C220" s="264">
        <f>Synthèse!G220</f>
        <v>98022.861678343761</v>
      </c>
      <c r="D220" s="492" t="s">
        <v>540</v>
      </c>
      <c r="E220" s="493" t="s">
        <v>540</v>
      </c>
      <c r="F220" s="263">
        <f>Synthèse!F220</f>
        <v>-101323.89472112508</v>
      </c>
      <c r="G220" s="497" t="s">
        <v>540</v>
      </c>
      <c r="H220" s="497" t="s">
        <v>540</v>
      </c>
      <c r="I220" s="264">
        <f>Synthèse!H220</f>
        <v>16704.73676016969</v>
      </c>
      <c r="J220" s="501" t="s">
        <v>540</v>
      </c>
      <c r="K220" s="501" t="s">
        <v>540</v>
      </c>
    </row>
    <row r="221" spans="1:11" s="267" customFormat="1" ht="15" x14ac:dyDescent="0.25">
      <c r="A221" s="86">
        <f>Données!A221</f>
        <v>5760</v>
      </c>
      <c r="B221" s="409" t="str">
        <f>Données!B221</f>
        <v>Rances</v>
      </c>
      <c r="C221" s="264">
        <f>Synthèse!G221</f>
        <v>241722.59812888809</v>
      </c>
      <c r="D221" s="492" t="s">
        <v>540</v>
      </c>
      <c r="E221" s="493" t="s">
        <v>540</v>
      </c>
      <c r="F221" s="263">
        <f>Synthèse!F221</f>
        <v>-225524.98294265015</v>
      </c>
      <c r="G221" s="497" t="s">
        <v>540</v>
      </c>
      <c r="H221" s="497" t="s">
        <v>540</v>
      </c>
      <c r="I221" s="264">
        <f>Synthèse!H221</f>
        <v>40264.345249722763</v>
      </c>
      <c r="J221" s="501" t="s">
        <v>540</v>
      </c>
      <c r="K221" s="501" t="s">
        <v>540</v>
      </c>
    </row>
    <row r="222" spans="1:11" s="267" customFormat="1" ht="15" x14ac:dyDescent="0.25">
      <c r="A222" s="86">
        <f>Données!A222</f>
        <v>5761</v>
      </c>
      <c r="B222" s="409" t="str">
        <f>Données!B222</f>
        <v>Romainmôtier-Envy</v>
      </c>
      <c r="C222" s="264">
        <f>Synthèse!G222</f>
        <v>263214.16388492344</v>
      </c>
      <c r="D222" s="492" t="s">
        <v>540</v>
      </c>
      <c r="E222" s="493" t="s">
        <v>540</v>
      </c>
      <c r="F222" s="263">
        <f>Synthèse!F222</f>
        <v>-349542.4457369335</v>
      </c>
      <c r="G222" s="497" t="s">
        <v>540</v>
      </c>
      <c r="H222" s="497" t="s">
        <v>540</v>
      </c>
      <c r="I222" s="264">
        <f>Synthèse!H222</f>
        <v>37814.187331148714</v>
      </c>
      <c r="J222" s="501" t="s">
        <v>540</v>
      </c>
      <c r="K222" s="501" t="s">
        <v>540</v>
      </c>
    </row>
    <row r="223" spans="1:11" s="267" customFormat="1" ht="15" x14ac:dyDescent="0.25">
      <c r="A223" s="86">
        <f>Données!A223</f>
        <v>5762</v>
      </c>
      <c r="B223" s="409" t="str">
        <f>Données!B223</f>
        <v>Sergey</v>
      </c>
      <c r="C223" s="264">
        <f>Synthèse!G223</f>
        <v>55071.704551880626</v>
      </c>
      <c r="D223" s="492" t="s">
        <v>540</v>
      </c>
      <c r="E223" s="493" t="s">
        <v>540</v>
      </c>
      <c r="F223" s="263">
        <f>Synthèse!F223</f>
        <v>-43752.812680604271</v>
      </c>
      <c r="G223" s="497" t="s">
        <v>540</v>
      </c>
      <c r="H223" s="497" t="s">
        <v>540</v>
      </c>
      <c r="I223" s="264">
        <f>Synthèse!H223</f>
        <v>11894.478480723237</v>
      </c>
      <c r="J223" s="501" t="s">
        <v>540</v>
      </c>
      <c r="K223" s="501" t="s">
        <v>540</v>
      </c>
    </row>
    <row r="224" spans="1:11" s="267" customFormat="1" ht="15" x14ac:dyDescent="0.25">
      <c r="A224" s="86">
        <f>Données!A224</f>
        <v>5763</v>
      </c>
      <c r="B224" s="409" t="str">
        <f>Données!B224</f>
        <v>Valeyres-sous-Rances</v>
      </c>
      <c r="C224" s="264">
        <f>Synthèse!G224</f>
        <v>325893.87889889599</v>
      </c>
      <c r="D224" s="492" t="s">
        <v>540</v>
      </c>
      <c r="E224" s="493" t="s">
        <v>540</v>
      </c>
      <c r="F224" s="263">
        <f>Synthèse!F224</f>
        <v>59093.479011147225</v>
      </c>
      <c r="G224" s="497" t="s">
        <v>540</v>
      </c>
      <c r="H224" s="497" t="s">
        <v>540</v>
      </c>
      <c r="I224" s="264">
        <f>Synthèse!H224</f>
        <v>64620.899647146041</v>
      </c>
      <c r="J224" s="501" t="s">
        <v>540</v>
      </c>
      <c r="K224" s="501" t="s">
        <v>540</v>
      </c>
    </row>
    <row r="225" spans="1:11" s="267" customFormat="1" ht="15" x14ac:dyDescent="0.25">
      <c r="A225" s="86">
        <f>Données!A225</f>
        <v>5764</v>
      </c>
      <c r="B225" s="409" t="str">
        <f>Données!B225</f>
        <v>Vallorbe</v>
      </c>
      <c r="C225" s="264">
        <f>Synthèse!G225</f>
        <v>2101248.4702559989</v>
      </c>
      <c r="D225" s="492" t="s">
        <v>540</v>
      </c>
      <c r="E225" s="493" t="s">
        <v>540</v>
      </c>
      <c r="F225" s="263">
        <f>Synthèse!F225</f>
        <v>-3595158.2974534612</v>
      </c>
      <c r="G225" s="497" t="s">
        <v>540</v>
      </c>
      <c r="H225" s="497" t="s">
        <v>540</v>
      </c>
      <c r="I225" s="264">
        <f>Synthèse!H225</f>
        <v>263219.91918322857</v>
      </c>
      <c r="J225" s="501" t="s">
        <v>540</v>
      </c>
      <c r="K225" s="501" t="s">
        <v>540</v>
      </c>
    </row>
    <row r="226" spans="1:11" s="267" customFormat="1" ht="15" x14ac:dyDescent="0.25">
      <c r="A226" s="86">
        <f>Données!A226</f>
        <v>5765</v>
      </c>
      <c r="B226" s="409" t="str">
        <f>Données!B226</f>
        <v>Vaulion</v>
      </c>
      <c r="C226" s="264">
        <f>Synthèse!G226</f>
        <v>230347.10464511072</v>
      </c>
      <c r="D226" s="492" t="s">
        <v>540</v>
      </c>
      <c r="E226" s="493" t="s">
        <v>540</v>
      </c>
      <c r="F226" s="263">
        <f>Synthèse!F226</f>
        <v>-316949.87012920808</v>
      </c>
      <c r="G226" s="497" t="s">
        <v>540</v>
      </c>
      <c r="H226" s="497" t="s">
        <v>540</v>
      </c>
      <c r="I226" s="264">
        <f>Synthèse!H226</f>
        <v>35658.951019999069</v>
      </c>
      <c r="J226" s="501" t="s">
        <v>540</v>
      </c>
      <c r="K226" s="501" t="s">
        <v>540</v>
      </c>
    </row>
    <row r="227" spans="1:11" s="267" customFormat="1" ht="15" x14ac:dyDescent="0.25">
      <c r="A227" s="86">
        <f>Données!A227</f>
        <v>5766</v>
      </c>
      <c r="B227" s="409" t="str">
        <f>Données!B227</f>
        <v>Vuiteboeuf</v>
      </c>
      <c r="C227" s="264">
        <f>Synthèse!G227</f>
        <v>261607.48060806651</v>
      </c>
      <c r="D227" s="492" t="s">
        <v>540</v>
      </c>
      <c r="E227" s="493" t="s">
        <v>540</v>
      </c>
      <c r="F227" s="263">
        <f>Synthèse!F227</f>
        <v>-139303.48186505341</v>
      </c>
      <c r="G227" s="497" t="s">
        <v>540</v>
      </c>
      <c r="H227" s="497" t="s">
        <v>540</v>
      </c>
      <c r="I227" s="264">
        <f>Synthèse!H227</f>
        <v>50613.450057788214</v>
      </c>
      <c r="J227" s="501" t="s">
        <v>540</v>
      </c>
      <c r="K227" s="501" t="s">
        <v>540</v>
      </c>
    </row>
    <row r="228" spans="1:11" s="267" customFormat="1" ht="15" x14ac:dyDescent="0.25">
      <c r="A228" s="86">
        <f>Données!A228</f>
        <v>5785</v>
      </c>
      <c r="B228" s="409" t="str">
        <f>Données!B228</f>
        <v>Corcelles-le-Jorat</v>
      </c>
      <c r="C228" s="264">
        <f>Synthèse!G228</f>
        <v>321989.18625184492</v>
      </c>
      <c r="D228" s="492" t="s">
        <v>540</v>
      </c>
      <c r="E228" s="493" t="s">
        <v>540</v>
      </c>
      <c r="F228" s="263">
        <f>Synthèse!F228</f>
        <v>135894.43471057439</v>
      </c>
      <c r="G228" s="497" t="s">
        <v>540</v>
      </c>
      <c r="H228" s="497" t="s">
        <v>540</v>
      </c>
      <c r="I228" s="264">
        <f>Synthèse!H228</f>
        <v>55693.138131055079</v>
      </c>
      <c r="J228" s="501" t="s">
        <v>540</v>
      </c>
      <c r="K228" s="501" t="s">
        <v>540</v>
      </c>
    </row>
    <row r="229" spans="1:11" s="267" customFormat="1" ht="15" x14ac:dyDescent="0.25">
      <c r="A229" s="86">
        <f>Données!A229</f>
        <v>5790</v>
      </c>
      <c r="B229" s="409" t="str">
        <f>Données!B229</f>
        <v>Maracon</v>
      </c>
      <c r="C229" s="264">
        <f>Synthèse!G229</f>
        <v>226262.32295344945</v>
      </c>
      <c r="D229" s="492" t="s">
        <v>540</v>
      </c>
      <c r="E229" s="493" t="s">
        <v>540</v>
      </c>
      <c r="F229" s="263">
        <f>Synthèse!F229</f>
        <v>-122921.21846010647</v>
      </c>
      <c r="G229" s="497" t="s">
        <v>540</v>
      </c>
      <c r="H229" s="497" t="s">
        <v>540</v>
      </c>
      <c r="I229" s="264">
        <f>Synthèse!H229</f>
        <v>41599.874709148615</v>
      </c>
      <c r="J229" s="501" t="s">
        <v>540</v>
      </c>
      <c r="K229" s="501" t="s">
        <v>540</v>
      </c>
    </row>
    <row r="230" spans="1:11" s="267" customFormat="1" ht="15" x14ac:dyDescent="0.25">
      <c r="A230" s="86">
        <f>Données!A230</f>
        <v>5792</v>
      </c>
      <c r="B230" s="409" t="str">
        <f>Données!B230</f>
        <v>Montpreveyres</v>
      </c>
      <c r="C230" s="264">
        <f>Synthèse!G230</f>
        <v>313059.66932811058</v>
      </c>
      <c r="D230" s="492" t="s">
        <v>540</v>
      </c>
      <c r="E230" s="493" t="s">
        <v>540</v>
      </c>
      <c r="F230" s="263">
        <f>Synthèse!F230</f>
        <v>-202076.79571142222</v>
      </c>
      <c r="G230" s="497" t="s">
        <v>540</v>
      </c>
      <c r="H230" s="497" t="s">
        <v>540</v>
      </c>
      <c r="I230" s="264">
        <f>Synthèse!H230</f>
        <v>54879.643652610772</v>
      </c>
      <c r="J230" s="501" t="s">
        <v>540</v>
      </c>
      <c r="K230" s="501" t="s">
        <v>540</v>
      </c>
    </row>
    <row r="231" spans="1:11" s="267" customFormat="1" ht="15" x14ac:dyDescent="0.25">
      <c r="A231" s="86">
        <f>Données!A231</f>
        <v>5798</v>
      </c>
      <c r="B231" s="409" t="str">
        <f>Données!B231</f>
        <v>Ropraz</v>
      </c>
      <c r="C231" s="264">
        <f>Synthèse!G231</f>
        <v>271097.52636909019</v>
      </c>
      <c r="D231" s="492" t="s">
        <v>540</v>
      </c>
      <c r="E231" s="493" t="s">
        <v>540</v>
      </c>
      <c r="F231" s="263">
        <f>Synthèse!F231</f>
        <v>-27777.062285496737</v>
      </c>
      <c r="G231" s="497" t="s">
        <v>540</v>
      </c>
      <c r="H231" s="497" t="s">
        <v>540</v>
      </c>
      <c r="I231" s="264">
        <f>Synthèse!H231</f>
        <v>49654.29208399108</v>
      </c>
      <c r="J231" s="501" t="s">
        <v>540</v>
      </c>
      <c r="K231" s="501" t="s">
        <v>540</v>
      </c>
    </row>
    <row r="232" spans="1:11" s="267" customFormat="1" ht="15" x14ac:dyDescent="0.25">
      <c r="A232" s="86">
        <f>Données!A232</f>
        <v>5799</v>
      </c>
      <c r="B232" s="409" t="str">
        <f>Données!B232</f>
        <v>Servion</v>
      </c>
      <c r="C232" s="264">
        <f>Synthèse!G232</f>
        <v>1308143.3694986226</v>
      </c>
      <c r="D232" s="492" t="s">
        <v>540</v>
      </c>
      <c r="E232" s="493" t="s">
        <v>540</v>
      </c>
      <c r="F232" s="263">
        <f>Synthèse!F232</f>
        <v>-1206.7793164220639</v>
      </c>
      <c r="G232" s="497" t="s">
        <v>540</v>
      </c>
      <c r="H232" s="497" t="s">
        <v>540</v>
      </c>
      <c r="I232" s="264">
        <f>Synthèse!H232</f>
        <v>216435.88500291258</v>
      </c>
      <c r="J232" s="501" t="s">
        <v>540</v>
      </c>
      <c r="K232" s="501" t="s">
        <v>540</v>
      </c>
    </row>
    <row r="233" spans="1:11" s="267" customFormat="1" ht="15" x14ac:dyDescent="0.25">
      <c r="A233" s="86">
        <f>Données!A233</f>
        <v>5803</v>
      </c>
      <c r="B233" s="409" t="str">
        <f>Données!B233</f>
        <v>Vulliens</v>
      </c>
      <c r="C233" s="264">
        <f>Synthèse!G233</f>
        <v>307851.69976177462</v>
      </c>
      <c r="D233" s="492" t="s">
        <v>540</v>
      </c>
      <c r="E233" s="493" t="s">
        <v>540</v>
      </c>
      <c r="F233" s="263">
        <f>Synthèse!F233</f>
        <v>-26991.290360599407</v>
      </c>
      <c r="G233" s="497" t="s">
        <v>540</v>
      </c>
      <c r="H233" s="497" t="s">
        <v>540</v>
      </c>
      <c r="I233" s="264">
        <f>Synthèse!H233</f>
        <v>59402.327334770991</v>
      </c>
      <c r="J233" s="501" t="s">
        <v>540</v>
      </c>
      <c r="K233" s="501" t="s">
        <v>540</v>
      </c>
    </row>
    <row r="234" spans="1:11" s="267" customFormat="1" ht="15" x14ac:dyDescent="0.25">
      <c r="A234" s="86">
        <f>Données!A234</f>
        <v>5804</v>
      </c>
      <c r="B234" s="409" t="str">
        <f>Données!B234</f>
        <v>Jorat-Menthue</v>
      </c>
      <c r="C234" s="264">
        <f>Synthèse!G234</f>
        <v>880076.88051528682</v>
      </c>
      <c r="D234" s="492" t="s">
        <v>540</v>
      </c>
      <c r="E234" s="493" t="s">
        <v>540</v>
      </c>
      <c r="F234" s="263">
        <f>Synthèse!F234</f>
        <v>-475188.29049051867</v>
      </c>
      <c r="G234" s="497" t="s">
        <v>540</v>
      </c>
      <c r="H234" s="497" t="s">
        <v>540</v>
      </c>
      <c r="I234" s="264">
        <f>Synthèse!H234</f>
        <v>145941.53181589875</v>
      </c>
      <c r="J234" s="501" t="s">
        <v>540</v>
      </c>
      <c r="K234" s="501" t="s">
        <v>540</v>
      </c>
    </row>
    <row r="235" spans="1:11" s="267" customFormat="1" ht="15" x14ac:dyDescent="0.25">
      <c r="A235" s="86">
        <f>Données!A235</f>
        <v>5805</v>
      </c>
      <c r="B235" s="409" t="str">
        <f>Données!B235</f>
        <v>Oron</v>
      </c>
      <c r="C235" s="264">
        <f>Synthèse!G235</f>
        <v>2910028.3620816292</v>
      </c>
      <c r="D235" s="492" t="s">
        <v>540</v>
      </c>
      <c r="E235" s="493" t="s">
        <v>540</v>
      </c>
      <c r="F235" s="263">
        <f>Synthèse!F235</f>
        <v>-2083574.3101946255</v>
      </c>
      <c r="G235" s="497" t="s">
        <v>540</v>
      </c>
      <c r="H235" s="497" t="s">
        <v>540</v>
      </c>
      <c r="I235" s="264">
        <f>Synthèse!H235</f>
        <v>535088.06299504777</v>
      </c>
      <c r="J235" s="501" t="s">
        <v>540</v>
      </c>
      <c r="K235" s="501" t="s">
        <v>540</v>
      </c>
    </row>
    <row r="236" spans="1:11" s="267" customFormat="1" ht="15" x14ac:dyDescent="0.25">
      <c r="A236" s="86">
        <f>Données!A236</f>
        <v>5806</v>
      </c>
      <c r="B236" s="409" t="str">
        <f>Données!B236</f>
        <v>Jorat-Mézières</v>
      </c>
      <c r="C236" s="264">
        <f>Synthèse!G236</f>
        <v>1601932.2369976649</v>
      </c>
      <c r="D236" s="492" t="s">
        <v>540</v>
      </c>
      <c r="E236" s="493" t="s">
        <v>540</v>
      </c>
      <c r="F236" s="263">
        <f>Synthèse!F236</f>
        <v>-453622.74598024134</v>
      </c>
      <c r="G236" s="497" t="s">
        <v>540</v>
      </c>
      <c r="H236" s="497" t="s">
        <v>540</v>
      </c>
      <c r="I236" s="264">
        <f>Synthèse!H236</f>
        <v>285070.94840080297</v>
      </c>
      <c r="J236" s="501" t="s">
        <v>540</v>
      </c>
      <c r="K236" s="501" t="s">
        <v>540</v>
      </c>
    </row>
    <row r="237" spans="1:11" s="267" customFormat="1" ht="15" x14ac:dyDescent="0.25">
      <c r="A237" s="86">
        <f>Données!A237</f>
        <v>5812</v>
      </c>
      <c r="B237" s="409" t="str">
        <f>Données!B237</f>
        <v>Champtauroz</v>
      </c>
      <c r="C237" s="264">
        <f>Synthèse!G237</f>
        <v>50001.041785326248</v>
      </c>
      <c r="D237" s="492" t="s">
        <v>540</v>
      </c>
      <c r="E237" s="493" t="s">
        <v>540</v>
      </c>
      <c r="F237" s="263">
        <f>Synthèse!F237</f>
        <v>-97434.512186793494</v>
      </c>
      <c r="G237" s="497" t="s">
        <v>540</v>
      </c>
      <c r="H237" s="497" t="s">
        <v>540</v>
      </c>
      <c r="I237" s="264">
        <f>Synthèse!H237</f>
        <v>7732.9482427000021</v>
      </c>
      <c r="J237" s="501" t="s">
        <v>540</v>
      </c>
      <c r="K237" s="501" t="s">
        <v>540</v>
      </c>
    </row>
    <row r="238" spans="1:11" s="267" customFormat="1" ht="15" x14ac:dyDescent="0.25">
      <c r="A238" s="86">
        <f>Données!A238</f>
        <v>5813</v>
      </c>
      <c r="B238" s="409" t="str">
        <f>Données!B238</f>
        <v>Chevroux</v>
      </c>
      <c r="C238" s="264">
        <f>Synthèse!G238</f>
        <v>248130.54161162622</v>
      </c>
      <c r="D238" s="492" t="s">
        <v>540</v>
      </c>
      <c r="E238" s="493" t="s">
        <v>540</v>
      </c>
      <c r="F238" s="263">
        <f>Synthèse!F238</f>
        <v>-241955.76966368087</v>
      </c>
      <c r="G238" s="497" t="s">
        <v>540</v>
      </c>
      <c r="H238" s="497" t="s">
        <v>540</v>
      </c>
      <c r="I238" s="264">
        <f>Synthèse!H238</f>
        <v>47160.072858172294</v>
      </c>
      <c r="J238" s="501" t="s">
        <v>540</v>
      </c>
      <c r="K238" s="501" t="s">
        <v>540</v>
      </c>
    </row>
    <row r="239" spans="1:11" s="267" customFormat="1" ht="15" x14ac:dyDescent="0.25">
      <c r="A239" s="86">
        <f>Données!A239</f>
        <v>5816</v>
      </c>
      <c r="B239" s="409" t="str">
        <f>Données!B239</f>
        <v>Corcelles-près-Payerne</v>
      </c>
      <c r="C239" s="264">
        <f>Synthèse!G239</f>
        <v>1061134.7584526592</v>
      </c>
      <c r="D239" s="492" t="s">
        <v>540</v>
      </c>
      <c r="E239" s="493" t="s">
        <v>540</v>
      </c>
      <c r="F239" s="263">
        <f>Synthèse!F239</f>
        <v>-1073186.12331518</v>
      </c>
      <c r="G239" s="497" t="s">
        <v>540</v>
      </c>
      <c r="H239" s="497" t="s">
        <v>540</v>
      </c>
      <c r="I239" s="264">
        <f>Synthèse!H239</f>
        <v>187101.38395875233</v>
      </c>
      <c r="J239" s="501" t="s">
        <v>540</v>
      </c>
      <c r="K239" s="501" t="s">
        <v>540</v>
      </c>
    </row>
    <row r="240" spans="1:11" s="267" customFormat="1" ht="15" x14ac:dyDescent="0.25">
      <c r="A240" s="86">
        <f>Données!A240</f>
        <v>5817</v>
      </c>
      <c r="B240" s="409" t="str">
        <f>Données!B240</f>
        <v>Grandcour</v>
      </c>
      <c r="C240" s="264">
        <f>Synthèse!G240</f>
        <v>346344.64855533477</v>
      </c>
      <c r="D240" s="492" t="s">
        <v>540</v>
      </c>
      <c r="E240" s="493" t="s">
        <v>540</v>
      </c>
      <c r="F240" s="263">
        <f>Synthèse!F240</f>
        <v>-341095.36294642749</v>
      </c>
      <c r="G240" s="497" t="s">
        <v>540</v>
      </c>
      <c r="H240" s="497" t="s">
        <v>540</v>
      </c>
      <c r="I240" s="264">
        <f>Synthèse!H240</f>
        <v>68138.528749301884</v>
      </c>
      <c r="J240" s="501" t="s">
        <v>540</v>
      </c>
      <c r="K240" s="501" t="s">
        <v>540</v>
      </c>
    </row>
    <row r="241" spans="1:11" s="267" customFormat="1" ht="15" x14ac:dyDescent="0.25">
      <c r="A241" s="86">
        <f>Données!A241</f>
        <v>5819</v>
      </c>
      <c r="B241" s="409" t="str">
        <f>Données!B241</f>
        <v>Henniez</v>
      </c>
      <c r="C241" s="264">
        <f>Synthèse!G241</f>
        <v>187920.16594741817</v>
      </c>
      <c r="D241" s="492" t="s">
        <v>540</v>
      </c>
      <c r="E241" s="493" t="s">
        <v>540</v>
      </c>
      <c r="F241" s="263">
        <f>Synthèse!F241</f>
        <v>-61476.328606737661</v>
      </c>
      <c r="G241" s="497" t="s">
        <v>540</v>
      </c>
      <c r="H241" s="497" t="s">
        <v>540</v>
      </c>
      <c r="I241" s="264">
        <f>Synthèse!H241</f>
        <v>35181.790827443117</v>
      </c>
      <c r="J241" s="501" t="s">
        <v>540</v>
      </c>
      <c r="K241" s="501" t="s">
        <v>540</v>
      </c>
    </row>
    <row r="242" spans="1:11" s="267" customFormat="1" ht="15" x14ac:dyDescent="0.25">
      <c r="A242" s="86">
        <f>Données!A242</f>
        <v>5821</v>
      </c>
      <c r="B242" s="409" t="str">
        <f>Données!B242</f>
        <v>Missy</v>
      </c>
      <c r="C242" s="264">
        <f>Synthèse!G242</f>
        <v>130946.63685992185</v>
      </c>
      <c r="D242" s="492" t="s">
        <v>540</v>
      </c>
      <c r="E242" s="493" t="s">
        <v>540</v>
      </c>
      <c r="F242" s="263">
        <f>Synthèse!F242</f>
        <v>-103112.02665817508</v>
      </c>
      <c r="G242" s="497" t="s">
        <v>540</v>
      </c>
      <c r="H242" s="497" t="s">
        <v>540</v>
      </c>
      <c r="I242" s="264">
        <f>Synthèse!H242</f>
        <v>24451.217086156714</v>
      </c>
      <c r="J242" s="501" t="s">
        <v>540</v>
      </c>
      <c r="K242" s="501" t="s">
        <v>540</v>
      </c>
    </row>
    <row r="243" spans="1:11" s="267" customFormat="1" ht="15" x14ac:dyDescent="0.25">
      <c r="A243" s="86">
        <f>Données!A243</f>
        <v>5822</v>
      </c>
      <c r="B243" s="409" t="str">
        <f>Données!B243</f>
        <v>Payerne</v>
      </c>
      <c r="C243" s="264">
        <f>Synthèse!G243</f>
        <v>4294369.9983692151</v>
      </c>
      <c r="D243" s="492" t="s">
        <v>540</v>
      </c>
      <c r="E243" s="493" t="s">
        <v>540</v>
      </c>
      <c r="F243" s="263">
        <f>Synthèse!F243</f>
        <v>-7160448.1142143486</v>
      </c>
      <c r="G243" s="497" t="s">
        <v>540</v>
      </c>
      <c r="H243" s="497" t="s">
        <v>540</v>
      </c>
      <c r="I243" s="264">
        <f>Synthèse!H243</f>
        <v>737591.27380736195</v>
      </c>
      <c r="J243" s="501" t="s">
        <v>540</v>
      </c>
      <c r="K243" s="501" t="s">
        <v>540</v>
      </c>
    </row>
    <row r="244" spans="1:11" s="267" customFormat="1" ht="15" x14ac:dyDescent="0.25">
      <c r="A244" s="86">
        <f>Données!A244</f>
        <v>5827</v>
      </c>
      <c r="B244" s="409" t="str">
        <f>Données!B244</f>
        <v>Trey</v>
      </c>
      <c r="C244" s="264">
        <f>Synthèse!G244</f>
        <v>102877.41620673917</v>
      </c>
      <c r="D244" s="492" t="s">
        <v>540</v>
      </c>
      <c r="E244" s="493" t="s">
        <v>540</v>
      </c>
      <c r="F244" s="263">
        <f>Synthèse!F244</f>
        <v>-163369.37682019651</v>
      </c>
      <c r="G244" s="497" t="s">
        <v>540</v>
      </c>
      <c r="H244" s="497" t="s">
        <v>540</v>
      </c>
      <c r="I244" s="264">
        <f>Synthèse!H244</f>
        <v>19269.090970385281</v>
      </c>
      <c r="J244" s="501" t="s">
        <v>540</v>
      </c>
      <c r="K244" s="501" t="s">
        <v>540</v>
      </c>
    </row>
    <row r="245" spans="1:11" s="267" customFormat="1" ht="15" x14ac:dyDescent="0.25">
      <c r="A245" s="86">
        <f>Données!A245</f>
        <v>5828</v>
      </c>
      <c r="B245" s="409" t="str">
        <f>Données!B245</f>
        <v>Treytorrens (Payerne)</v>
      </c>
      <c r="C245" s="264">
        <f>Synthèse!G245</f>
        <v>36437.252880957225</v>
      </c>
      <c r="D245" s="492" t="s">
        <v>540</v>
      </c>
      <c r="E245" s="493" t="s">
        <v>540</v>
      </c>
      <c r="F245" s="263">
        <f>Synthèse!F245</f>
        <v>-80110.423932091348</v>
      </c>
      <c r="G245" s="497" t="s">
        <v>540</v>
      </c>
      <c r="H245" s="497" t="s">
        <v>540</v>
      </c>
      <c r="I245" s="264">
        <f>Synthèse!H245</f>
        <v>7145.9201025730245</v>
      </c>
      <c r="J245" s="501" t="s">
        <v>540</v>
      </c>
      <c r="K245" s="501" t="s">
        <v>540</v>
      </c>
    </row>
    <row r="246" spans="1:11" s="267" customFormat="1" ht="15" x14ac:dyDescent="0.25">
      <c r="A246" s="86">
        <f>Données!A246</f>
        <v>5830</v>
      </c>
      <c r="B246" s="409" t="str">
        <f>Données!B246</f>
        <v>Villarzel</v>
      </c>
      <c r="C246" s="264">
        <f>Synthèse!G246</f>
        <v>222942.56279242318</v>
      </c>
      <c r="D246" s="492" t="s">
        <v>540</v>
      </c>
      <c r="E246" s="493" t="s">
        <v>540</v>
      </c>
      <c r="F246" s="263">
        <f>Synthèse!F246</f>
        <v>-139465.37809414699</v>
      </c>
      <c r="G246" s="497" t="s">
        <v>540</v>
      </c>
      <c r="H246" s="497" t="s">
        <v>540</v>
      </c>
      <c r="I246" s="264">
        <f>Synthèse!H246</f>
        <v>39520.561737623386</v>
      </c>
      <c r="J246" s="501" t="s">
        <v>540</v>
      </c>
      <c r="K246" s="501" t="s">
        <v>540</v>
      </c>
    </row>
    <row r="247" spans="1:11" s="267" customFormat="1" ht="15" x14ac:dyDescent="0.25">
      <c r="A247" s="86">
        <f>Données!A247</f>
        <v>5831</v>
      </c>
      <c r="B247" s="409" t="str">
        <f>Données!B247</f>
        <v>Valbroye</v>
      </c>
      <c r="C247" s="264">
        <f>Synthèse!G247</f>
        <v>1475826.9075138685</v>
      </c>
      <c r="D247" s="492" t="s">
        <v>540</v>
      </c>
      <c r="E247" s="493" t="s">
        <v>540</v>
      </c>
      <c r="F247" s="263">
        <f>Synthèse!F247</f>
        <v>-1616842.3828190553</v>
      </c>
      <c r="G247" s="497" t="s">
        <v>540</v>
      </c>
      <c r="H247" s="497" t="s">
        <v>540</v>
      </c>
      <c r="I247" s="264">
        <f>Synthèse!H247</f>
        <v>261109.48862425482</v>
      </c>
      <c r="J247" s="501" t="s">
        <v>540</v>
      </c>
      <c r="K247" s="501" t="s">
        <v>540</v>
      </c>
    </row>
    <row r="248" spans="1:11" s="267" customFormat="1" ht="15" x14ac:dyDescent="0.25">
      <c r="A248" s="86">
        <f>Données!A248</f>
        <v>5841</v>
      </c>
      <c r="B248" s="409" t="str">
        <f>Données!B248</f>
        <v>Château-d'Oex</v>
      </c>
      <c r="C248" s="264">
        <f>Synthèse!G248</f>
        <v>2401762.3184608277</v>
      </c>
      <c r="D248" s="492" t="s">
        <v>540</v>
      </c>
      <c r="E248" s="493" t="s">
        <v>540</v>
      </c>
      <c r="F248" s="263">
        <f>Synthèse!F248</f>
        <v>-2448689.613057741</v>
      </c>
      <c r="G248" s="497" t="s">
        <v>540</v>
      </c>
      <c r="H248" s="497" t="s">
        <v>540</v>
      </c>
      <c r="I248" s="264">
        <f>Synthèse!H248</f>
        <v>332635.97178505512</v>
      </c>
      <c r="J248" s="501" t="s">
        <v>540</v>
      </c>
      <c r="K248" s="501" t="s">
        <v>540</v>
      </c>
    </row>
    <row r="249" spans="1:11" s="267" customFormat="1" ht="15" x14ac:dyDescent="0.25">
      <c r="A249" s="86">
        <f>Données!A249</f>
        <v>5842</v>
      </c>
      <c r="B249" s="409" t="str">
        <f>Données!B249</f>
        <v>Rossinière</v>
      </c>
      <c r="C249" s="264">
        <f>Synthèse!G249</f>
        <v>247881.84913167791</v>
      </c>
      <c r="D249" s="492" t="s">
        <v>540</v>
      </c>
      <c r="E249" s="493" t="s">
        <v>540</v>
      </c>
      <c r="F249" s="263">
        <f>Synthèse!F249</f>
        <v>-439331.01040622295</v>
      </c>
      <c r="G249" s="497" t="s">
        <v>540</v>
      </c>
      <c r="H249" s="497" t="s">
        <v>540</v>
      </c>
      <c r="I249" s="264">
        <f>Synthèse!H249</f>
        <v>45355.391899022026</v>
      </c>
      <c r="J249" s="501" t="s">
        <v>540</v>
      </c>
      <c r="K249" s="501" t="s">
        <v>540</v>
      </c>
    </row>
    <row r="250" spans="1:11" s="267" customFormat="1" ht="15" x14ac:dyDescent="0.25">
      <c r="A250" s="86">
        <f>Données!A250</f>
        <v>5843</v>
      </c>
      <c r="B250" s="409" t="str">
        <f>Données!B250</f>
        <v>Rougemont</v>
      </c>
      <c r="C250" s="264">
        <f>Synthèse!G250</f>
        <v>3844645.3763237428</v>
      </c>
      <c r="D250" s="492" t="s">
        <v>540</v>
      </c>
      <c r="E250" s="493" t="s">
        <v>540</v>
      </c>
      <c r="F250" s="263">
        <f>Synthèse!F250</f>
        <v>1613916.4438868575</v>
      </c>
      <c r="G250" s="497" t="s">
        <v>540</v>
      </c>
      <c r="H250" s="497" t="s">
        <v>540</v>
      </c>
      <c r="I250" s="264">
        <f>Synthèse!H250</f>
        <v>203286.17322827954</v>
      </c>
      <c r="J250" s="501" t="s">
        <v>540</v>
      </c>
      <c r="K250" s="501" t="s">
        <v>540</v>
      </c>
    </row>
    <row r="251" spans="1:11" s="267" customFormat="1" ht="15" x14ac:dyDescent="0.25">
      <c r="A251" s="86">
        <f>Données!A251</f>
        <v>5851</v>
      </c>
      <c r="B251" s="409" t="str">
        <f>Données!B251</f>
        <v>Allaman</v>
      </c>
      <c r="C251" s="264">
        <f>Synthèse!G251</f>
        <v>422619.99793361069</v>
      </c>
      <c r="D251" s="492" t="s">
        <v>540</v>
      </c>
      <c r="E251" s="493" t="s">
        <v>540</v>
      </c>
      <c r="F251" s="263">
        <f>Synthèse!F251</f>
        <v>410182.27052528388</v>
      </c>
      <c r="G251" s="497" t="s">
        <v>540</v>
      </c>
      <c r="H251" s="497" t="s">
        <v>540</v>
      </c>
      <c r="I251" s="264">
        <f>Synthèse!H251</f>
        <v>69062.264882175048</v>
      </c>
      <c r="J251" s="501" t="s">
        <v>540</v>
      </c>
      <c r="K251" s="501" t="s">
        <v>540</v>
      </c>
    </row>
    <row r="252" spans="1:11" s="267" customFormat="1" ht="15" x14ac:dyDescent="0.25">
      <c r="A252" s="86">
        <f>Données!A252</f>
        <v>5852</v>
      </c>
      <c r="B252" s="409" t="str">
        <f>Données!B252</f>
        <v>Bursinel</v>
      </c>
      <c r="C252" s="264">
        <f>Synthèse!G252</f>
        <v>1002815.8507867656</v>
      </c>
      <c r="D252" s="492" t="s">
        <v>540</v>
      </c>
      <c r="E252" s="493" t="s">
        <v>540</v>
      </c>
      <c r="F252" s="263">
        <f>Synthèse!F252</f>
        <v>718813.05484437314</v>
      </c>
      <c r="G252" s="497" t="s">
        <v>540</v>
      </c>
      <c r="H252" s="497" t="s">
        <v>540</v>
      </c>
      <c r="I252" s="264">
        <f>Synthèse!H252</f>
        <v>94382.177187022142</v>
      </c>
      <c r="J252" s="501" t="s">
        <v>540</v>
      </c>
      <c r="K252" s="501" t="s">
        <v>540</v>
      </c>
    </row>
    <row r="253" spans="1:11" s="267" customFormat="1" ht="15" x14ac:dyDescent="0.25">
      <c r="A253" s="86">
        <f>Données!A253</f>
        <v>5853</v>
      </c>
      <c r="B253" s="409" t="str">
        <f>Données!B253</f>
        <v>Bursins</v>
      </c>
      <c r="C253" s="264">
        <f>Synthèse!G253</f>
        <v>1035809.467102922</v>
      </c>
      <c r="D253" s="492" t="s">
        <v>540</v>
      </c>
      <c r="E253" s="493" t="s">
        <v>540</v>
      </c>
      <c r="F253" s="263">
        <f>Synthèse!F253</f>
        <v>704246.76972662122</v>
      </c>
      <c r="G253" s="497" t="s">
        <v>540</v>
      </c>
      <c r="H253" s="497" t="s">
        <v>540</v>
      </c>
      <c r="I253" s="264">
        <f>Synthèse!H253</f>
        <v>120030.75247183537</v>
      </c>
      <c r="J253" s="501" t="s">
        <v>540</v>
      </c>
      <c r="K253" s="501" t="s">
        <v>540</v>
      </c>
    </row>
    <row r="254" spans="1:11" s="267" customFormat="1" ht="15" x14ac:dyDescent="0.25">
      <c r="A254" s="86">
        <f>Données!A254</f>
        <v>5854</v>
      </c>
      <c r="B254" s="409" t="str">
        <f>Données!B254</f>
        <v>Burtigny</v>
      </c>
      <c r="C254" s="264">
        <f>Synthèse!G254</f>
        <v>217841.81110596919</v>
      </c>
      <c r="D254" s="492" t="s">
        <v>540</v>
      </c>
      <c r="E254" s="493" t="s">
        <v>540</v>
      </c>
      <c r="F254" s="263">
        <f>Synthèse!F254</f>
        <v>-81534.569436403282</v>
      </c>
      <c r="G254" s="497" t="s">
        <v>540</v>
      </c>
      <c r="H254" s="497" t="s">
        <v>540</v>
      </c>
      <c r="I254" s="264">
        <f>Synthèse!H254</f>
        <v>33593.581807249138</v>
      </c>
      <c r="J254" s="501" t="s">
        <v>540</v>
      </c>
      <c r="K254" s="501" t="s">
        <v>540</v>
      </c>
    </row>
    <row r="255" spans="1:11" s="267" customFormat="1" ht="15" x14ac:dyDescent="0.25">
      <c r="A255" s="86">
        <f>Données!A255</f>
        <v>5855</v>
      </c>
      <c r="B255" s="409" t="str">
        <f>Données!B255</f>
        <v>Dully</v>
      </c>
      <c r="C255" s="264">
        <f>Synthèse!G255</f>
        <v>3210518.087392644</v>
      </c>
      <c r="D255" s="492" t="s">
        <v>540</v>
      </c>
      <c r="E255" s="493" t="s">
        <v>540</v>
      </c>
      <c r="F255" s="263">
        <f>Synthèse!F255</f>
        <v>1770670.0522068823</v>
      </c>
      <c r="G255" s="497" t="s">
        <v>540</v>
      </c>
      <c r="H255" s="497" t="s">
        <v>540</v>
      </c>
      <c r="I255" s="264">
        <f>Synthèse!H255</f>
        <v>180305.14226546002</v>
      </c>
      <c r="J255" s="501" t="s">
        <v>540</v>
      </c>
      <c r="K255" s="501" t="s">
        <v>540</v>
      </c>
    </row>
    <row r="256" spans="1:11" s="267" customFormat="1" ht="15" x14ac:dyDescent="0.25">
      <c r="A256" s="86">
        <f>Données!A256</f>
        <v>5856</v>
      </c>
      <c r="B256" s="409" t="str">
        <f>Données!B256</f>
        <v>Essertines-sur-Rolle</v>
      </c>
      <c r="C256" s="264">
        <f>Synthèse!G256</f>
        <v>681767.99383247539</v>
      </c>
      <c r="D256" s="492" t="s">
        <v>540</v>
      </c>
      <c r="E256" s="493" t="s">
        <v>540</v>
      </c>
      <c r="F256" s="263">
        <f>Synthèse!F256</f>
        <v>592338.77456294443</v>
      </c>
      <c r="G256" s="497" t="s">
        <v>540</v>
      </c>
      <c r="H256" s="497" t="s">
        <v>540</v>
      </c>
      <c r="I256" s="264">
        <f>Synthèse!H256</f>
        <v>109095.29859106937</v>
      </c>
      <c r="J256" s="501" t="s">
        <v>540</v>
      </c>
      <c r="K256" s="501" t="s">
        <v>540</v>
      </c>
    </row>
    <row r="257" spans="1:11" s="267" customFormat="1" ht="15" x14ac:dyDescent="0.25">
      <c r="A257" s="86">
        <f>Données!A257</f>
        <v>5857</v>
      </c>
      <c r="B257" s="409" t="str">
        <f>Données!B257</f>
        <v>Gilly</v>
      </c>
      <c r="C257" s="264">
        <f>Synthèse!G257</f>
        <v>1568081.3958783688</v>
      </c>
      <c r="D257" s="492" t="s">
        <v>540</v>
      </c>
      <c r="E257" s="493" t="s">
        <v>540</v>
      </c>
      <c r="F257" s="263">
        <f>Synthèse!F257</f>
        <v>1300883.3307934604</v>
      </c>
      <c r="G257" s="497" t="s">
        <v>540</v>
      </c>
      <c r="H257" s="497" t="s">
        <v>540</v>
      </c>
      <c r="I257" s="264">
        <f>Synthèse!H257</f>
        <v>227629.96584868699</v>
      </c>
      <c r="J257" s="501" t="s">
        <v>540</v>
      </c>
      <c r="K257" s="501" t="s">
        <v>540</v>
      </c>
    </row>
    <row r="258" spans="1:11" s="267" customFormat="1" ht="15" x14ac:dyDescent="0.25">
      <c r="A258" s="86">
        <f>Données!A258</f>
        <v>5858</v>
      </c>
      <c r="B258" s="409" t="str">
        <f>Données!B258</f>
        <v>Luins</v>
      </c>
      <c r="C258" s="264">
        <f>Synthèse!G258</f>
        <v>818468.91070685931</v>
      </c>
      <c r="D258" s="492" t="s">
        <v>540</v>
      </c>
      <c r="E258" s="493" t="s">
        <v>540</v>
      </c>
      <c r="F258" s="263">
        <f>Synthèse!F258</f>
        <v>694814.75318383495</v>
      </c>
      <c r="G258" s="497" t="s">
        <v>540</v>
      </c>
      <c r="H258" s="497" t="s">
        <v>540</v>
      </c>
      <c r="I258" s="264">
        <f>Synthèse!H258</f>
        <v>104714.83133503064</v>
      </c>
      <c r="J258" s="501" t="s">
        <v>540</v>
      </c>
      <c r="K258" s="501" t="s">
        <v>540</v>
      </c>
    </row>
    <row r="259" spans="1:11" s="267" customFormat="1" ht="15" x14ac:dyDescent="0.25">
      <c r="A259" s="86">
        <f>Données!A259</f>
        <v>5859</v>
      </c>
      <c r="B259" s="409" t="str">
        <f>Données!B259</f>
        <v>Mont-sur-Rolle</v>
      </c>
      <c r="C259" s="264">
        <f>Synthèse!G259</f>
        <v>2807899.5196483806</v>
      </c>
      <c r="D259" s="492" t="s">
        <v>540</v>
      </c>
      <c r="E259" s="493" t="s">
        <v>540</v>
      </c>
      <c r="F259" s="263">
        <f>Synthèse!F259</f>
        <v>2109804.9572329796</v>
      </c>
      <c r="G259" s="497" t="s">
        <v>540</v>
      </c>
      <c r="H259" s="497" t="s">
        <v>540</v>
      </c>
      <c r="I259" s="264">
        <f>Synthèse!H259</f>
        <v>414338.70605599892</v>
      </c>
      <c r="J259" s="501" t="s">
        <v>540</v>
      </c>
      <c r="K259" s="501" t="s">
        <v>540</v>
      </c>
    </row>
    <row r="260" spans="1:11" s="267" customFormat="1" ht="15" x14ac:dyDescent="0.25">
      <c r="A260" s="86">
        <f>Données!A260</f>
        <v>5860</v>
      </c>
      <c r="B260" s="409" t="str">
        <f>Données!B260</f>
        <v>Perroy</v>
      </c>
      <c r="C260" s="264">
        <f>Synthèse!G260</f>
        <v>2626799.884191114</v>
      </c>
      <c r="D260" s="492" t="s">
        <v>540</v>
      </c>
      <c r="E260" s="493" t="s">
        <v>540</v>
      </c>
      <c r="F260" s="263">
        <f>Synthèse!F260</f>
        <v>1807080.7812333768</v>
      </c>
      <c r="G260" s="497" t="s">
        <v>540</v>
      </c>
      <c r="H260" s="497" t="s">
        <v>540</v>
      </c>
      <c r="I260" s="264">
        <f>Synthèse!H260</f>
        <v>271567.07306409802</v>
      </c>
      <c r="J260" s="501" t="s">
        <v>540</v>
      </c>
      <c r="K260" s="501" t="s">
        <v>540</v>
      </c>
    </row>
    <row r="261" spans="1:11" s="267" customFormat="1" ht="15" x14ac:dyDescent="0.25">
      <c r="A261" s="86">
        <f>Données!A261</f>
        <v>5861</v>
      </c>
      <c r="B261" s="409" t="str">
        <f>Données!B261</f>
        <v>Rolle</v>
      </c>
      <c r="C261" s="264">
        <f>Synthèse!G261</f>
        <v>18958156.103000596</v>
      </c>
      <c r="D261" s="492" t="s">
        <v>540</v>
      </c>
      <c r="E261" s="493" t="s">
        <v>540</v>
      </c>
      <c r="F261" s="263">
        <f>Synthèse!F261</f>
        <v>10156807.896486778</v>
      </c>
      <c r="G261" s="497" t="s">
        <v>540</v>
      </c>
      <c r="H261" s="497" t="s">
        <v>540</v>
      </c>
      <c r="I261" s="264">
        <f>Synthèse!H261</f>
        <v>1390646.8167758686</v>
      </c>
      <c r="J261" s="501" t="s">
        <v>540</v>
      </c>
      <c r="K261" s="501" t="s">
        <v>540</v>
      </c>
    </row>
    <row r="262" spans="1:11" s="267" customFormat="1" ht="15" x14ac:dyDescent="0.25">
      <c r="A262" s="86">
        <f>Données!A262</f>
        <v>5862</v>
      </c>
      <c r="B262" s="409" t="str">
        <f>Données!B262</f>
        <v>Tartegnin</v>
      </c>
      <c r="C262" s="264">
        <f>Synthèse!G262</f>
        <v>120493.27755178236</v>
      </c>
      <c r="D262" s="492" t="s">
        <v>540</v>
      </c>
      <c r="E262" s="493" t="s">
        <v>540</v>
      </c>
      <c r="F262" s="263">
        <f>Synthèse!F262</f>
        <v>55897.236944080767</v>
      </c>
      <c r="G262" s="497" t="s">
        <v>540</v>
      </c>
      <c r="H262" s="497" t="s">
        <v>540</v>
      </c>
      <c r="I262" s="264">
        <f>Synthèse!H262</f>
        <v>25399.184938268831</v>
      </c>
      <c r="J262" s="501" t="s">
        <v>540</v>
      </c>
      <c r="K262" s="501" t="s">
        <v>540</v>
      </c>
    </row>
    <row r="263" spans="1:11" s="267" customFormat="1" ht="15" x14ac:dyDescent="0.25">
      <c r="A263" s="86">
        <f>Données!A263</f>
        <v>5863</v>
      </c>
      <c r="B263" s="409" t="str">
        <f>Données!B263</f>
        <v>Vinzel</v>
      </c>
      <c r="C263" s="264">
        <f>Synthèse!G263</f>
        <v>437076.87342722033</v>
      </c>
      <c r="D263" s="492" t="s">
        <v>540</v>
      </c>
      <c r="E263" s="493" t="s">
        <v>540</v>
      </c>
      <c r="F263" s="263">
        <f>Synthèse!F263</f>
        <v>372211.14007520908</v>
      </c>
      <c r="G263" s="497" t="s">
        <v>540</v>
      </c>
      <c r="H263" s="497" t="s">
        <v>540</v>
      </c>
      <c r="I263" s="264">
        <f>Synthèse!H263</f>
        <v>61082.429901912052</v>
      </c>
      <c r="J263" s="501" t="s">
        <v>540</v>
      </c>
      <c r="K263" s="501" t="s">
        <v>540</v>
      </c>
    </row>
    <row r="264" spans="1:11" s="267" customFormat="1" ht="15" x14ac:dyDescent="0.25">
      <c r="A264" s="86">
        <f>Données!A264</f>
        <v>5871</v>
      </c>
      <c r="B264" s="409" t="str">
        <f>Données!B264</f>
        <v>L'Abbaye</v>
      </c>
      <c r="C264" s="264">
        <f>Synthèse!G264</f>
        <v>1082999.4493742674</v>
      </c>
      <c r="D264" s="492" t="s">
        <v>540</v>
      </c>
      <c r="E264" s="493" t="s">
        <v>540</v>
      </c>
      <c r="F264" s="263">
        <f>Synthèse!F264</f>
        <v>-135373.99394409743</v>
      </c>
      <c r="G264" s="497" t="s">
        <v>540</v>
      </c>
      <c r="H264" s="497" t="s">
        <v>540</v>
      </c>
      <c r="I264" s="264">
        <f>Synthèse!H264</f>
        <v>155841.81832175713</v>
      </c>
      <c r="J264" s="501" t="s">
        <v>540</v>
      </c>
      <c r="K264" s="501" t="s">
        <v>540</v>
      </c>
    </row>
    <row r="265" spans="1:11" s="267" customFormat="1" ht="15" x14ac:dyDescent="0.25">
      <c r="A265" s="86">
        <f>Données!A265</f>
        <v>5872</v>
      </c>
      <c r="B265" s="409" t="str">
        <f>Données!B265</f>
        <v>Le Chenit</v>
      </c>
      <c r="C265" s="264">
        <f>Synthèse!G265</f>
        <v>7516352.5254265564</v>
      </c>
      <c r="D265" s="492" t="s">
        <v>540</v>
      </c>
      <c r="E265" s="493" t="s">
        <v>540</v>
      </c>
      <c r="F265" s="263">
        <f>Synthèse!F265</f>
        <v>1334297.8029996166</v>
      </c>
      <c r="G265" s="497" t="s">
        <v>540</v>
      </c>
      <c r="H265" s="497" t="s">
        <v>540</v>
      </c>
      <c r="I265" s="264">
        <f>Synthèse!H265</f>
        <v>693823.09713235823</v>
      </c>
      <c r="J265" s="501" t="s">
        <v>540</v>
      </c>
      <c r="K265" s="501" t="s">
        <v>540</v>
      </c>
    </row>
    <row r="266" spans="1:11" s="267" customFormat="1" ht="15" x14ac:dyDescent="0.25">
      <c r="A266" s="86">
        <f>Données!A266</f>
        <v>5873</v>
      </c>
      <c r="B266" s="409" t="str">
        <f>Données!B266</f>
        <v>Le Lieu</v>
      </c>
      <c r="C266" s="264">
        <f>Synthèse!G266</f>
        <v>814236.1888927645</v>
      </c>
      <c r="D266" s="492" t="s">
        <v>540</v>
      </c>
      <c r="E266" s="493" t="s">
        <v>540</v>
      </c>
      <c r="F266" s="263">
        <f>Synthèse!F266</f>
        <v>-428140.8636530576</v>
      </c>
      <c r="G266" s="497" t="s">
        <v>540</v>
      </c>
      <c r="H266" s="497" t="s">
        <v>540</v>
      </c>
      <c r="I266" s="264">
        <f>Synthèse!H266</f>
        <v>96041.394619758503</v>
      </c>
      <c r="J266" s="501" t="s">
        <v>540</v>
      </c>
      <c r="K266" s="501" t="s">
        <v>540</v>
      </c>
    </row>
    <row r="267" spans="1:11" s="267" customFormat="1" ht="15" x14ac:dyDescent="0.25">
      <c r="A267" s="86">
        <f>Données!A267</f>
        <v>5882</v>
      </c>
      <c r="B267" s="409" t="str">
        <f>Données!B267</f>
        <v>Chardonne</v>
      </c>
      <c r="C267" s="264">
        <f>Synthèse!G267</f>
        <v>3778502.3040583511</v>
      </c>
      <c r="D267" s="492" t="s">
        <v>540</v>
      </c>
      <c r="E267" s="493" t="s">
        <v>540</v>
      </c>
      <c r="F267" s="263">
        <f>Synthèse!F267</f>
        <v>2179674.9264754197</v>
      </c>
      <c r="G267" s="497" t="s">
        <v>540</v>
      </c>
      <c r="H267" s="497" t="s">
        <v>540</v>
      </c>
      <c r="I267" s="264">
        <f>Synthèse!H267</f>
        <v>231498.88108384336</v>
      </c>
      <c r="J267" s="501" t="s">
        <v>540</v>
      </c>
      <c r="K267" s="501" t="s">
        <v>540</v>
      </c>
    </row>
    <row r="268" spans="1:11" s="267" customFormat="1" ht="15" x14ac:dyDescent="0.25">
      <c r="A268" s="86">
        <f>Données!A268</f>
        <v>5883</v>
      </c>
      <c r="B268" s="409" t="str">
        <f>Données!B268</f>
        <v>Corseaux</v>
      </c>
      <c r="C268" s="264">
        <f>Synthèse!G268</f>
        <v>4024806.9164949637</v>
      </c>
      <c r="D268" s="492" t="s">
        <v>540</v>
      </c>
      <c r="E268" s="493" t="s">
        <v>540</v>
      </c>
      <c r="F268" s="263">
        <f>Synthèse!F268</f>
        <v>2635946.8514592755</v>
      </c>
      <c r="G268" s="497" t="s">
        <v>540</v>
      </c>
      <c r="H268" s="497" t="s">
        <v>540</v>
      </c>
      <c r="I268" s="264">
        <f>Synthèse!H268</f>
        <v>217071.05269615201</v>
      </c>
      <c r="J268" s="501" t="s">
        <v>540</v>
      </c>
      <c r="K268" s="501" t="s">
        <v>540</v>
      </c>
    </row>
    <row r="269" spans="1:11" s="267" customFormat="1" ht="15" x14ac:dyDescent="0.25">
      <c r="A269" s="86">
        <f>Données!A269</f>
        <v>5884</v>
      </c>
      <c r="B269" s="409" t="str">
        <f>Données!B269</f>
        <v>Corsier-sur-Vevey</v>
      </c>
      <c r="C269" s="264">
        <f>Synthèse!G269</f>
        <v>2187084.5445544389</v>
      </c>
      <c r="D269" s="492" t="s">
        <v>540</v>
      </c>
      <c r="E269" s="493" t="s">
        <v>540</v>
      </c>
      <c r="F269" s="263">
        <f>Synthèse!F269</f>
        <v>-631558.40129250148</v>
      </c>
      <c r="G269" s="497" t="s">
        <v>540</v>
      </c>
      <c r="H269" s="497" t="s">
        <v>540</v>
      </c>
      <c r="I269" s="264">
        <f>Synthèse!H269</f>
        <v>157868.56100321462</v>
      </c>
      <c r="J269" s="501" t="s">
        <v>540</v>
      </c>
      <c r="K269" s="501" t="s">
        <v>540</v>
      </c>
    </row>
    <row r="270" spans="1:11" s="267" customFormat="1" ht="15" x14ac:dyDescent="0.25">
      <c r="A270" s="86">
        <f>Données!A270</f>
        <v>5885</v>
      </c>
      <c r="B270" s="409" t="str">
        <f>Données!B270</f>
        <v>Jongny</v>
      </c>
      <c r="C270" s="264">
        <f>Synthèse!G270</f>
        <v>1693135.3967362829</v>
      </c>
      <c r="D270" s="492" t="s">
        <v>540</v>
      </c>
      <c r="E270" s="493" t="s">
        <v>540</v>
      </c>
      <c r="F270" s="263">
        <f>Synthèse!F270</f>
        <v>1199960.4590197303</v>
      </c>
      <c r="G270" s="497" t="s">
        <v>540</v>
      </c>
      <c r="H270" s="497" t="s">
        <v>540</v>
      </c>
      <c r="I270" s="264">
        <f>Synthèse!H270</f>
        <v>110066.44088232538</v>
      </c>
      <c r="J270" s="501" t="s">
        <v>540</v>
      </c>
      <c r="K270" s="501" t="s">
        <v>540</v>
      </c>
    </row>
    <row r="271" spans="1:11" s="267" customFormat="1" ht="15" x14ac:dyDescent="0.25">
      <c r="A271" s="86">
        <f>Données!A271</f>
        <v>5886</v>
      </c>
      <c r="B271" s="409" t="str">
        <f>Données!B271</f>
        <v>Montreux</v>
      </c>
      <c r="C271" s="264">
        <f>Synthèse!G271</f>
        <v>27048804.826698348</v>
      </c>
      <c r="D271" s="492" t="s">
        <v>540</v>
      </c>
      <c r="E271" s="493" t="s">
        <v>540</v>
      </c>
      <c r="F271" s="263">
        <f>Synthèse!F271</f>
        <v>-8578411.5030303597</v>
      </c>
      <c r="G271" s="497" t="s">
        <v>540</v>
      </c>
      <c r="H271" s="497" t="s">
        <v>540</v>
      </c>
      <c r="I271" s="264">
        <f>Synthèse!H271</f>
        <v>1417587.0416191486</v>
      </c>
      <c r="J271" s="501" t="s">
        <v>540</v>
      </c>
      <c r="K271" s="501" t="s">
        <v>540</v>
      </c>
    </row>
    <row r="272" spans="1:11" s="267" customFormat="1" ht="15" x14ac:dyDescent="0.25">
      <c r="A272" s="86">
        <f>Données!A272</f>
        <v>5889</v>
      </c>
      <c r="B272" s="409" t="str">
        <f>Données!B272</f>
        <v>La Tour-de-Peilz</v>
      </c>
      <c r="C272" s="264">
        <f>Synthèse!G272</f>
        <v>13070739.758721873</v>
      </c>
      <c r="D272" s="492" t="s">
        <v>540</v>
      </c>
      <c r="E272" s="493" t="s">
        <v>540</v>
      </c>
      <c r="F272" s="263">
        <f>Synthèse!F272</f>
        <v>5965670.1537680458</v>
      </c>
      <c r="G272" s="497" t="s">
        <v>540</v>
      </c>
      <c r="H272" s="497" t="s">
        <v>540</v>
      </c>
      <c r="I272" s="264">
        <f>Synthèse!H272</f>
        <v>872324.93620260607</v>
      </c>
      <c r="J272" s="501" t="s">
        <v>540</v>
      </c>
      <c r="K272" s="501" t="s">
        <v>540</v>
      </c>
    </row>
    <row r="273" spans="1:11" s="267" customFormat="1" ht="15" x14ac:dyDescent="0.25">
      <c r="A273" s="86">
        <f>Données!A273</f>
        <v>5890</v>
      </c>
      <c r="B273" s="409" t="str">
        <f>Données!B273</f>
        <v>Vevey</v>
      </c>
      <c r="C273" s="264">
        <f>Synthèse!G273</f>
        <v>15931114.44996376</v>
      </c>
      <c r="D273" s="492" t="s">
        <v>540</v>
      </c>
      <c r="E273" s="493" t="s">
        <v>540</v>
      </c>
      <c r="F273" s="263">
        <f>Synthèse!F273</f>
        <v>-3167868.1282731853</v>
      </c>
      <c r="G273" s="497" t="s">
        <v>540</v>
      </c>
      <c r="H273" s="497" t="s">
        <v>540</v>
      </c>
      <c r="I273" s="264">
        <f>Synthèse!H273</f>
        <v>1110834.0743694247</v>
      </c>
      <c r="J273" s="501" t="s">
        <v>540</v>
      </c>
      <c r="K273" s="501" t="s">
        <v>540</v>
      </c>
    </row>
    <row r="274" spans="1:11" s="267" customFormat="1" ht="15" x14ac:dyDescent="0.25">
      <c r="A274" s="86">
        <f>Données!A274</f>
        <v>5891</v>
      </c>
      <c r="B274" s="409" t="str">
        <f>Données!B274</f>
        <v>Veytaux</v>
      </c>
      <c r="C274" s="264">
        <f>Synthèse!G274</f>
        <v>798917.5027145081</v>
      </c>
      <c r="D274" s="492" t="s">
        <v>540</v>
      </c>
      <c r="E274" s="493" t="s">
        <v>540</v>
      </c>
      <c r="F274" s="263">
        <f>Synthèse!F274</f>
        <v>262106.28047147219</v>
      </c>
      <c r="G274" s="497" t="s">
        <v>540</v>
      </c>
      <c r="H274" s="497" t="s">
        <v>540</v>
      </c>
      <c r="I274" s="264">
        <f>Synthèse!H274</f>
        <v>56830.789847713218</v>
      </c>
      <c r="J274" s="501" t="s">
        <v>540</v>
      </c>
      <c r="K274" s="501" t="s">
        <v>540</v>
      </c>
    </row>
    <row r="275" spans="1:11" s="267" customFormat="1" ht="15" x14ac:dyDescent="0.25">
      <c r="A275" s="86">
        <f>Données!A275</f>
        <v>5892</v>
      </c>
      <c r="B275" s="409" t="str">
        <f>Données!B275</f>
        <v>Blonay-Saint-Légier</v>
      </c>
      <c r="C275" s="264">
        <f>Synthèse!G275</f>
        <v>15372305.128163241</v>
      </c>
      <c r="D275" s="492" t="s">
        <v>540</v>
      </c>
      <c r="E275" s="493" t="s">
        <v>540</v>
      </c>
      <c r="F275" s="263">
        <f>Synthèse!F275</f>
        <v>4903911.2892067935</v>
      </c>
      <c r="G275" s="497" t="s">
        <v>540</v>
      </c>
      <c r="H275" s="497" t="s">
        <v>540</v>
      </c>
      <c r="I275" s="264">
        <f>Synthèse!H275</f>
        <v>896526.50563557749</v>
      </c>
      <c r="J275" s="501" t="s">
        <v>540</v>
      </c>
      <c r="K275" s="501" t="s">
        <v>540</v>
      </c>
    </row>
    <row r="276" spans="1:11" s="267" customFormat="1" ht="15" x14ac:dyDescent="0.25">
      <c r="A276" s="86">
        <f>Données!A276</f>
        <v>5902</v>
      </c>
      <c r="B276" s="409" t="str">
        <f>Données!B276</f>
        <v>Belmont-sur-Yverdon</v>
      </c>
      <c r="C276" s="264">
        <f>Synthèse!G276</f>
        <v>255356.76077556648</v>
      </c>
      <c r="D276" s="492" t="s">
        <v>540</v>
      </c>
      <c r="E276" s="493" t="s">
        <v>540</v>
      </c>
      <c r="F276" s="263">
        <f>Synthèse!F276</f>
        <v>42420.295669763349</v>
      </c>
      <c r="G276" s="497" t="s">
        <v>540</v>
      </c>
      <c r="H276" s="497" t="s">
        <v>540</v>
      </c>
      <c r="I276" s="264">
        <f>Synthèse!H276</f>
        <v>36975.948575247086</v>
      </c>
      <c r="J276" s="501" t="s">
        <v>540</v>
      </c>
      <c r="K276" s="501" t="s">
        <v>540</v>
      </c>
    </row>
    <row r="277" spans="1:11" s="267" customFormat="1" ht="15" x14ac:dyDescent="0.25">
      <c r="A277" s="86">
        <f>Données!A277</f>
        <v>5903</v>
      </c>
      <c r="B277" s="409" t="str">
        <f>Données!B277</f>
        <v>Bioley-Magnoux</v>
      </c>
      <c r="C277" s="264">
        <f>Synthèse!G277</f>
        <v>84297.915577715961</v>
      </c>
      <c r="D277" s="492" t="s">
        <v>540</v>
      </c>
      <c r="E277" s="493" t="s">
        <v>540</v>
      </c>
      <c r="F277" s="263">
        <f>Synthèse!F277</f>
        <v>-187182.4592605705</v>
      </c>
      <c r="G277" s="497" t="s">
        <v>540</v>
      </c>
      <c r="H277" s="497" t="s">
        <v>540</v>
      </c>
      <c r="I277" s="264">
        <f>Synthèse!H277</f>
        <v>15527.234974707026</v>
      </c>
      <c r="J277" s="501" t="s">
        <v>540</v>
      </c>
      <c r="K277" s="501" t="s">
        <v>540</v>
      </c>
    </row>
    <row r="278" spans="1:11" s="267" customFormat="1" ht="15" x14ac:dyDescent="0.25">
      <c r="A278" s="86">
        <f>Données!A278</f>
        <v>5904</v>
      </c>
      <c r="B278" s="409" t="str">
        <f>Données!B278</f>
        <v>Chamblon</v>
      </c>
      <c r="C278" s="264">
        <f>Synthèse!G278</f>
        <v>363179.60977222293</v>
      </c>
      <c r="D278" s="492" t="s">
        <v>540</v>
      </c>
      <c r="E278" s="493" t="s">
        <v>540</v>
      </c>
      <c r="F278" s="263">
        <f>Synthèse!F278</f>
        <v>274581.16069922596</v>
      </c>
      <c r="G278" s="497" t="s">
        <v>540</v>
      </c>
      <c r="H278" s="497" t="s">
        <v>540</v>
      </c>
      <c r="I278" s="264">
        <f>Synthèse!H278</f>
        <v>28056.728298196562</v>
      </c>
      <c r="J278" s="501" t="s">
        <v>540</v>
      </c>
      <c r="K278" s="501" t="s">
        <v>540</v>
      </c>
    </row>
    <row r="279" spans="1:11" s="267" customFormat="1" ht="15" x14ac:dyDescent="0.25">
      <c r="A279" s="86">
        <f>Données!A279</f>
        <v>5905</v>
      </c>
      <c r="B279" s="409" t="str">
        <f>Données!B279</f>
        <v>Champvent</v>
      </c>
      <c r="C279" s="264">
        <f>Synthèse!G279</f>
        <v>387376.37048031169</v>
      </c>
      <c r="D279" s="492" t="s">
        <v>540</v>
      </c>
      <c r="E279" s="493" t="s">
        <v>540</v>
      </c>
      <c r="F279" s="263">
        <f>Synthèse!F279</f>
        <v>27564.163895903446</v>
      </c>
      <c r="G279" s="497" t="s">
        <v>540</v>
      </c>
      <c r="H279" s="497" t="s">
        <v>540</v>
      </c>
      <c r="I279" s="264">
        <f>Synthèse!H279</f>
        <v>68418.796288856916</v>
      </c>
      <c r="J279" s="501" t="s">
        <v>540</v>
      </c>
      <c r="K279" s="501" t="s">
        <v>540</v>
      </c>
    </row>
    <row r="280" spans="1:11" s="267" customFormat="1" ht="15" x14ac:dyDescent="0.25">
      <c r="A280" s="86">
        <f>Données!A280</f>
        <v>5907</v>
      </c>
      <c r="B280" s="409" t="str">
        <f>Données!B280</f>
        <v>Chavannes-le-Chêne</v>
      </c>
      <c r="C280" s="264">
        <f>Synthèse!G280</f>
        <v>162558.07801747436</v>
      </c>
      <c r="D280" s="492" t="s">
        <v>540</v>
      </c>
      <c r="E280" s="493" t="s">
        <v>540</v>
      </c>
      <c r="F280" s="263">
        <f>Synthèse!F280</f>
        <v>-13104.32324196276</v>
      </c>
      <c r="G280" s="497" t="s">
        <v>540</v>
      </c>
      <c r="H280" s="497" t="s">
        <v>540</v>
      </c>
      <c r="I280" s="264">
        <f>Synthèse!H280</f>
        <v>31317.491699957762</v>
      </c>
      <c r="J280" s="501" t="s">
        <v>540</v>
      </c>
      <c r="K280" s="501" t="s">
        <v>540</v>
      </c>
    </row>
    <row r="281" spans="1:11" s="267" customFormat="1" ht="15" x14ac:dyDescent="0.25">
      <c r="A281" s="86">
        <f>Données!A281</f>
        <v>5908</v>
      </c>
      <c r="B281" s="409" t="str">
        <f>Données!B281</f>
        <v>Chêne-Pâquier</v>
      </c>
      <c r="C281" s="264">
        <f>Synthèse!G281</f>
        <v>100657.38978678432</v>
      </c>
      <c r="D281" s="492" t="s">
        <v>540</v>
      </c>
      <c r="E281" s="493" t="s">
        <v>540</v>
      </c>
      <c r="F281" s="263">
        <f>Synthèse!F281</f>
        <v>7400.9029166845867</v>
      </c>
      <c r="G281" s="497" t="s">
        <v>540</v>
      </c>
      <c r="H281" s="497" t="s">
        <v>540</v>
      </c>
      <c r="I281" s="264">
        <f>Synthèse!H281</f>
        <v>20651.409312057593</v>
      </c>
      <c r="J281" s="501" t="s">
        <v>540</v>
      </c>
      <c r="K281" s="501" t="s">
        <v>540</v>
      </c>
    </row>
    <row r="282" spans="1:11" s="267" customFormat="1" ht="15" x14ac:dyDescent="0.25">
      <c r="A282" s="86">
        <f>Données!A282</f>
        <v>5909</v>
      </c>
      <c r="B282" s="409" t="str">
        <f>Données!B282</f>
        <v>Cheseaux-Noréaz</v>
      </c>
      <c r="C282" s="264">
        <f>Synthèse!G282</f>
        <v>688693.50062062067</v>
      </c>
      <c r="D282" s="492" t="s">
        <v>540</v>
      </c>
      <c r="E282" s="493" t="s">
        <v>540</v>
      </c>
      <c r="F282" s="263">
        <f>Synthèse!F282</f>
        <v>631675.3026138061</v>
      </c>
      <c r="G282" s="497" t="s">
        <v>540</v>
      </c>
      <c r="H282" s="497" t="s">
        <v>540</v>
      </c>
      <c r="I282" s="264">
        <f>Synthèse!H282</f>
        <v>50768.066992223925</v>
      </c>
      <c r="J282" s="501" t="s">
        <v>540</v>
      </c>
      <c r="K282" s="501" t="s">
        <v>540</v>
      </c>
    </row>
    <row r="283" spans="1:11" s="267" customFormat="1" ht="15" x14ac:dyDescent="0.25">
      <c r="A283" s="86">
        <f>Données!A283</f>
        <v>5910</v>
      </c>
      <c r="B283" s="409" t="str">
        <f>Données!B283</f>
        <v>Cronay</v>
      </c>
      <c r="C283" s="264">
        <f>Synthèse!G283</f>
        <v>140479.66932826876</v>
      </c>
      <c r="D283" s="492" t="s">
        <v>540</v>
      </c>
      <c r="E283" s="493" t="s">
        <v>540</v>
      </c>
      <c r="F283" s="263">
        <f>Synthèse!F283</f>
        <v>-151568.49035773752</v>
      </c>
      <c r="G283" s="497" t="s">
        <v>540</v>
      </c>
      <c r="H283" s="497" t="s">
        <v>540</v>
      </c>
      <c r="I283" s="264">
        <f>Synthèse!H283</f>
        <v>31322.708408097868</v>
      </c>
      <c r="J283" s="501" t="s">
        <v>540</v>
      </c>
      <c r="K283" s="501" t="s">
        <v>540</v>
      </c>
    </row>
    <row r="284" spans="1:11" s="267" customFormat="1" ht="15" x14ac:dyDescent="0.25">
      <c r="A284" s="86">
        <f>Données!A284</f>
        <v>5911</v>
      </c>
      <c r="B284" s="409" t="str">
        <f>Données!B284</f>
        <v>Cuarny</v>
      </c>
      <c r="C284" s="264">
        <f>Synthèse!G284</f>
        <v>102311.58497450544</v>
      </c>
      <c r="D284" s="492" t="s">
        <v>540</v>
      </c>
      <c r="E284" s="493" t="s">
        <v>540</v>
      </c>
      <c r="F284" s="263">
        <f>Synthèse!F284</f>
        <v>3814.9479653711605</v>
      </c>
      <c r="G284" s="497" t="s">
        <v>540</v>
      </c>
      <c r="H284" s="497" t="s">
        <v>540</v>
      </c>
      <c r="I284" s="264">
        <f>Synthèse!H284</f>
        <v>21913.01718604302</v>
      </c>
      <c r="J284" s="501" t="s">
        <v>540</v>
      </c>
      <c r="K284" s="501" t="s">
        <v>540</v>
      </c>
    </row>
    <row r="285" spans="1:11" s="267" customFormat="1" ht="15" x14ac:dyDescent="0.25">
      <c r="A285" s="86">
        <f>Données!A285</f>
        <v>5912</v>
      </c>
      <c r="B285" s="409" t="str">
        <f>Données!B285</f>
        <v>Démoret</v>
      </c>
      <c r="C285" s="264">
        <f>Synthèse!G285</f>
        <v>70774.187685527868</v>
      </c>
      <c r="D285" s="492" t="s">
        <v>540</v>
      </c>
      <c r="E285" s="493" t="s">
        <v>540</v>
      </c>
      <c r="F285" s="263">
        <f>Synthèse!F285</f>
        <v>-37176.620279124312</v>
      </c>
      <c r="G285" s="497" t="s">
        <v>540</v>
      </c>
      <c r="H285" s="497" t="s">
        <v>540</v>
      </c>
      <c r="I285" s="264">
        <f>Synthèse!H285</f>
        <v>12856.214114530878</v>
      </c>
      <c r="J285" s="501" t="s">
        <v>540</v>
      </c>
      <c r="K285" s="501" t="s">
        <v>540</v>
      </c>
    </row>
    <row r="286" spans="1:11" s="267" customFormat="1" ht="15" x14ac:dyDescent="0.25">
      <c r="A286" s="86">
        <f>Données!A286</f>
        <v>5913</v>
      </c>
      <c r="B286" s="409" t="str">
        <f>Données!B286</f>
        <v>Donneloye</v>
      </c>
      <c r="C286" s="264">
        <f>Synthèse!G286</f>
        <v>336277.10567923944</v>
      </c>
      <c r="D286" s="492" t="s">
        <v>540</v>
      </c>
      <c r="E286" s="493" t="s">
        <v>540</v>
      </c>
      <c r="F286" s="263">
        <f>Synthèse!F286</f>
        <v>-156759.39499264117</v>
      </c>
      <c r="G286" s="497" t="s">
        <v>540</v>
      </c>
      <c r="H286" s="497" t="s">
        <v>540</v>
      </c>
      <c r="I286" s="264">
        <f>Synthèse!H286</f>
        <v>62199.845707053595</v>
      </c>
      <c r="J286" s="501" t="s">
        <v>540</v>
      </c>
      <c r="K286" s="501" t="s">
        <v>540</v>
      </c>
    </row>
    <row r="287" spans="1:11" s="267" customFormat="1" ht="15" x14ac:dyDescent="0.25">
      <c r="A287" s="86">
        <f>Données!A287</f>
        <v>5914</v>
      </c>
      <c r="B287" s="409" t="str">
        <f>Données!B287</f>
        <v>Ependes</v>
      </c>
      <c r="C287" s="264">
        <f>Synthèse!G287</f>
        <v>179844.7771841897</v>
      </c>
      <c r="D287" s="492" t="s">
        <v>540</v>
      </c>
      <c r="E287" s="493" t="s">
        <v>540</v>
      </c>
      <c r="F287" s="263">
        <f>Synthèse!F287</f>
        <v>-65386.88626089436</v>
      </c>
      <c r="G287" s="497" t="s">
        <v>540</v>
      </c>
      <c r="H287" s="497" t="s">
        <v>540</v>
      </c>
      <c r="I287" s="264">
        <f>Synthèse!H287</f>
        <v>13780.088369881649</v>
      </c>
      <c r="J287" s="501" t="s">
        <v>540</v>
      </c>
      <c r="K287" s="501" t="s">
        <v>540</v>
      </c>
    </row>
    <row r="288" spans="1:11" s="267" customFormat="1" ht="15" x14ac:dyDescent="0.25">
      <c r="A288" s="86">
        <f>Données!A288</f>
        <v>5919</v>
      </c>
      <c r="B288" s="409" t="str">
        <f>Données!B288</f>
        <v>Mathod</v>
      </c>
      <c r="C288" s="264">
        <f>Synthèse!G288</f>
        <v>451130.5371775502</v>
      </c>
      <c r="D288" s="492" t="s">
        <v>540</v>
      </c>
      <c r="E288" s="493" t="s">
        <v>540</v>
      </c>
      <c r="F288" s="263">
        <f>Synthèse!F288</f>
        <v>-52951.525906832598</v>
      </c>
      <c r="G288" s="497" t="s">
        <v>540</v>
      </c>
      <c r="H288" s="497" t="s">
        <v>540</v>
      </c>
      <c r="I288" s="264">
        <f>Synthèse!H288</f>
        <v>27869.71252267891</v>
      </c>
      <c r="J288" s="501" t="s">
        <v>540</v>
      </c>
      <c r="K288" s="501" t="s">
        <v>540</v>
      </c>
    </row>
    <row r="289" spans="1:11" s="267" customFormat="1" ht="15" x14ac:dyDescent="0.25">
      <c r="A289" s="86">
        <f>Données!A289</f>
        <v>5921</v>
      </c>
      <c r="B289" s="409" t="str">
        <f>Données!B289</f>
        <v>Molondin</v>
      </c>
      <c r="C289" s="264">
        <f>Synthèse!G289</f>
        <v>94888.521598595835</v>
      </c>
      <c r="D289" s="492" t="s">
        <v>540</v>
      </c>
      <c r="E289" s="493" t="s">
        <v>540</v>
      </c>
      <c r="F289" s="263">
        <f>Synthèse!F289</f>
        <v>-142840.63407661236</v>
      </c>
      <c r="G289" s="497" t="s">
        <v>540</v>
      </c>
      <c r="H289" s="497" t="s">
        <v>540</v>
      </c>
      <c r="I289" s="264">
        <f>Synthèse!H289</f>
        <v>17876.7641458496</v>
      </c>
      <c r="J289" s="501" t="s">
        <v>540</v>
      </c>
      <c r="K289" s="501" t="s">
        <v>540</v>
      </c>
    </row>
    <row r="290" spans="1:11" s="267" customFormat="1" ht="15" x14ac:dyDescent="0.25">
      <c r="A290" s="86">
        <f>Données!A290</f>
        <v>5922</v>
      </c>
      <c r="B290" s="409" t="str">
        <f>Données!B290</f>
        <v>Montagny-près-Yverdon</v>
      </c>
      <c r="C290" s="264">
        <f>Synthèse!G290</f>
        <v>629894.03093154565</v>
      </c>
      <c r="D290" s="492" t="s">
        <v>540</v>
      </c>
      <c r="E290" s="493" t="s">
        <v>540</v>
      </c>
      <c r="F290" s="263">
        <f>Synthèse!F290</f>
        <v>371516.14217553305</v>
      </c>
      <c r="G290" s="497" t="s">
        <v>540</v>
      </c>
      <c r="H290" s="497" t="s">
        <v>540</v>
      </c>
      <c r="I290" s="264">
        <f>Synthèse!H290</f>
        <v>99111.838499397854</v>
      </c>
      <c r="J290" s="501" t="s">
        <v>540</v>
      </c>
      <c r="K290" s="501" t="s">
        <v>540</v>
      </c>
    </row>
    <row r="291" spans="1:11" s="267" customFormat="1" ht="15" x14ac:dyDescent="0.25">
      <c r="A291" s="86">
        <f>Données!A291</f>
        <v>5923</v>
      </c>
      <c r="B291" s="409" t="str">
        <f>Données!B291</f>
        <v>Oppens</v>
      </c>
      <c r="C291" s="264">
        <f>Synthèse!G291</f>
        <v>86148.491868333964</v>
      </c>
      <c r="D291" s="492" t="s">
        <v>540</v>
      </c>
      <c r="E291" s="493" t="s">
        <v>540</v>
      </c>
      <c r="F291" s="263">
        <f>Synthèse!F291</f>
        <v>-109587.04019433045</v>
      </c>
      <c r="G291" s="497" t="s">
        <v>540</v>
      </c>
      <c r="H291" s="497" t="s">
        <v>540</v>
      </c>
      <c r="I291" s="264">
        <f>Synthèse!H291</f>
        <v>15164.97887810722</v>
      </c>
      <c r="J291" s="501" t="s">
        <v>540</v>
      </c>
      <c r="K291" s="501" t="s">
        <v>540</v>
      </c>
    </row>
    <row r="292" spans="1:11" s="267" customFormat="1" ht="15" x14ac:dyDescent="0.25">
      <c r="A292" s="86">
        <f>Données!A292</f>
        <v>5924</v>
      </c>
      <c r="B292" s="409" t="str">
        <f>Données!B292</f>
        <v>Orges</v>
      </c>
      <c r="C292" s="264">
        <f>Synthèse!G292</f>
        <v>272190.33670361171</v>
      </c>
      <c r="D292" s="492" t="s">
        <v>540</v>
      </c>
      <c r="E292" s="493" t="s">
        <v>540</v>
      </c>
      <c r="F292" s="263">
        <f>Synthèse!F292</f>
        <v>124554.00309132246</v>
      </c>
      <c r="G292" s="497" t="s">
        <v>540</v>
      </c>
      <c r="H292" s="497" t="s">
        <v>540</v>
      </c>
      <c r="I292" s="264">
        <f>Synthèse!H292</f>
        <v>39637.03637622291</v>
      </c>
      <c r="J292" s="501" t="s">
        <v>540</v>
      </c>
      <c r="K292" s="501" t="s">
        <v>540</v>
      </c>
    </row>
    <row r="293" spans="1:11" s="267" customFormat="1" ht="15" x14ac:dyDescent="0.25">
      <c r="A293" s="86">
        <f>Données!A293</f>
        <v>5925</v>
      </c>
      <c r="B293" s="409" t="str">
        <f>Données!B293</f>
        <v>Orzens</v>
      </c>
      <c r="C293" s="264">
        <f>Synthèse!G293</f>
        <v>154407.9280766127</v>
      </c>
      <c r="D293" s="492" t="s">
        <v>540</v>
      </c>
      <c r="E293" s="493" t="s">
        <v>540</v>
      </c>
      <c r="F293" s="263">
        <f>Synthèse!F293</f>
        <v>-8322.4626468858041</v>
      </c>
      <c r="G293" s="497" t="s">
        <v>540</v>
      </c>
      <c r="H293" s="497" t="s">
        <v>540</v>
      </c>
      <c r="I293" s="264">
        <f>Synthèse!H293</f>
        <v>18546.109525913307</v>
      </c>
      <c r="J293" s="501" t="s">
        <v>540</v>
      </c>
      <c r="K293" s="501" t="s">
        <v>540</v>
      </c>
    </row>
    <row r="294" spans="1:11" s="267" customFormat="1" ht="15" x14ac:dyDescent="0.25">
      <c r="A294" s="86">
        <f>Données!A294</f>
        <v>5926</v>
      </c>
      <c r="B294" s="409" t="str">
        <f>Données!B294</f>
        <v>Pomy</v>
      </c>
      <c r="C294" s="264">
        <f>Synthèse!G294</f>
        <v>488430.07869085245</v>
      </c>
      <c r="D294" s="492" t="s">
        <v>540</v>
      </c>
      <c r="E294" s="493" t="s">
        <v>540</v>
      </c>
      <c r="F294" s="263">
        <f>Synthèse!F294</f>
        <v>213952.75973451376</v>
      </c>
      <c r="G294" s="497" t="s">
        <v>540</v>
      </c>
      <c r="H294" s="497" t="s">
        <v>540</v>
      </c>
      <c r="I294" s="264">
        <f>Synthèse!H294</f>
        <v>35388.356446657897</v>
      </c>
      <c r="J294" s="501" t="s">
        <v>540</v>
      </c>
      <c r="K294" s="501" t="s">
        <v>540</v>
      </c>
    </row>
    <row r="295" spans="1:11" s="267" customFormat="1" ht="15" x14ac:dyDescent="0.25">
      <c r="A295" s="86">
        <f>Données!A295</f>
        <v>5928</v>
      </c>
      <c r="B295" s="409" t="str">
        <f>Données!B295</f>
        <v>Rovray</v>
      </c>
      <c r="C295" s="264">
        <f>Synthèse!G295</f>
        <v>85200.738719890607</v>
      </c>
      <c r="D295" s="492" t="s">
        <v>540</v>
      </c>
      <c r="E295" s="493" t="s">
        <v>540</v>
      </c>
      <c r="F295" s="263">
        <f>Synthèse!F295</f>
        <v>2478.0263372933841</v>
      </c>
      <c r="G295" s="497" t="s">
        <v>540</v>
      </c>
      <c r="H295" s="497" t="s">
        <v>540</v>
      </c>
      <c r="I295" s="264">
        <f>Synthèse!H295</f>
        <v>17685.570691999823</v>
      </c>
      <c r="J295" s="501" t="s">
        <v>540</v>
      </c>
      <c r="K295" s="501" t="s">
        <v>540</v>
      </c>
    </row>
    <row r="296" spans="1:11" s="267" customFormat="1" ht="15" x14ac:dyDescent="0.25">
      <c r="A296" s="86">
        <f>Données!A296</f>
        <v>5929</v>
      </c>
      <c r="B296" s="409" t="str">
        <f>Données!B296</f>
        <v>Suchy</v>
      </c>
      <c r="C296" s="264">
        <f>Synthèse!G296</f>
        <v>337360.89613798511</v>
      </c>
      <c r="D296" s="492" t="s">
        <v>540</v>
      </c>
      <c r="E296" s="493" t="s">
        <v>540</v>
      </c>
      <c r="F296" s="263">
        <f>Synthèse!F296</f>
        <v>79425.822506839933</v>
      </c>
      <c r="G296" s="497" t="s">
        <v>540</v>
      </c>
      <c r="H296" s="497" t="s">
        <v>540</v>
      </c>
      <c r="I296" s="264">
        <f>Synthèse!H296</f>
        <v>25631.720623856607</v>
      </c>
      <c r="J296" s="501" t="s">
        <v>540</v>
      </c>
      <c r="K296" s="501" t="s">
        <v>540</v>
      </c>
    </row>
    <row r="297" spans="1:11" s="267" customFormat="1" ht="15" x14ac:dyDescent="0.25">
      <c r="A297" s="86">
        <f>Données!A297</f>
        <v>5930</v>
      </c>
      <c r="B297" s="409" t="str">
        <f>Données!B297</f>
        <v>Suscévaz</v>
      </c>
      <c r="C297" s="264">
        <f>Synthèse!G297</f>
        <v>86730.629515236898</v>
      </c>
      <c r="D297" s="492" t="s">
        <v>540</v>
      </c>
      <c r="E297" s="493" t="s">
        <v>540</v>
      </c>
      <c r="F297" s="263">
        <f>Synthèse!F297</f>
        <v>-24947.021481807562</v>
      </c>
      <c r="G297" s="497" t="s">
        <v>540</v>
      </c>
      <c r="H297" s="497" t="s">
        <v>540</v>
      </c>
      <c r="I297" s="264">
        <f>Synthèse!H297</f>
        <v>7459.8030061031932</v>
      </c>
      <c r="J297" s="501" t="s">
        <v>540</v>
      </c>
      <c r="K297" s="501" t="s">
        <v>540</v>
      </c>
    </row>
    <row r="298" spans="1:11" s="267" customFormat="1" ht="15" x14ac:dyDescent="0.25">
      <c r="A298" s="86">
        <f>Données!A298</f>
        <v>5931</v>
      </c>
      <c r="B298" s="409" t="str">
        <f>Données!B298</f>
        <v>Treycovagnes</v>
      </c>
      <c r="C298" s="264">
        <f>Synthèse!G298</f>
        <v>272322.80756278709</v>
      </c>
      <c r="D298" s="492" t="s">
        <v>540</v>
      </c>
      <c r="E298" s="493" t="s">
        <v>540</v>
      </c>
      <c r="F298" s="263">
        <f>Synthèse!F298</f>
        <v>44817.987502762902</v>
      </c>
      <c r="G298" s="497" t="s">
        <v>540</v>
      </c>
      <c r="H298" s="497" t="s">
        <v>540</v>
      </c>
      <c r="I298" s="264">
        <f>Synthèse!H298</f>
        <v>19889.879003172638</v>
      </c>
      <c r="J298" s="501" t="s">
        <v>540</v>
      </c>
      <c r="K298" s="501" t="s">
        <v>540</v>
      </c>
    </row>
    <row r="299" spans="1:11" s="267" customFormat="1" ht="15" x14ac:dyDescent="0.25">
      <c r="A299" s="86">
        <f>Données!A299</f>
        <v>5932</v>
      </c>
      <c r="B299" s="409" t="str">
        <f>Données!B299</f>
        <v>Ursins</v>
      </c>
      <c r="C299" s="264">
        <f>Synthèse!G299</f>
        <v>99563.00613911821</v>
      </c>
      <c r="D299" s="492" t="s">
        <v>540</v>
      </c>
      <c r="E299" s="493" t="s">
        <v>540</v>
      </c>
      <c r="F299" s="263">
        <f>Synthèse!F299</f>
        <v>-14193.772412322403</v>
      </c>
      <c r="G299" s="497" t="s">
        <v>540</v>
      </c>
      <c r="H299" s="497" t="s">
        <v>540</v>
      </c>
      <c r="I299" s="264">
        <f>Synthèse!H299</f>
        <v>21517.627076912271</v>
      </c>
      <c r="J299" s="501" t="s">
        <v>540</v>
      </c>
      <c r="K299" s="501" t="s">
        <v>540</v>
      </c>
    </row>
    <row r="300" spans="1:11" s="267" customFormat="1" ht="15" x14ac:dyDescent="0.25">
      <c r="A300" s="86">
        <f>Données!A300</f>
        <v>5933</v>
      </c>
      <c r="B300" s="409" t="str">
        <f>Données!B300</f>
        <v>Valeyres-sous-Montagny</v>
      </c>
      <c r="C300" s="264">
        <f>Synthèse!G300</f>
        <v>366258.79689777159</v>
      </c>
      <c r="D300" s="492" t="s">
        <v>540</v>
      </c>
      <c r="E300" s="493" t="s">
        <v>540</v>
      </c>
      <c r="F300" s="263">
        <f>Synthèse!F300</f>
        <v>-49592.347180777229</v>
      </c>
      <c r="G300" s="497" t="s">
        <v>540</v>
      </c>
      <c r="H300" s="497" t="s">
        <v>540</v>
      </c>
      <c r="I300" s="264">
        <f>Synthèse!H300</f>
        <v>70835.397451530705</v>
      </c>
      <c r="J300" s="501" t="s">
        <v>540</v>
      </c>
      <c r="K300" s="501" t="s">
        <v>540</v>
      </c>
    </row>
    <row r="301" spans="1:11" s="267" customFormat="1" ht="15" x14ac:dyDescent="0.25">
      <c r="A301" s="86">
        <f>Données!A301</f>
        <v>5934</v>
      </c>
      <c r="B301" s="409" t="str">
        <f>Données!B301</f>
        <v>Valeyres-sous-Ursins</v>
      </c>
      <c r="C301" s="264">
        <f>Synthèse!G301</f>
        <v>128508.59334917724</v>
      </c>
      <c r="D301" s="492" t="s">
        <v>540</v>
      </c>
      <c r="E301" s="493" t="s">
        <v>540</v>
      </c>
      <c r="F301" s="263">
        <f>Synthèse!F301</f>
        <v>21151.974815173759</v>
      </c>
      <c r="G301" s="497" t="s">
        <v>540</v>
      </c>
      <c r="H301" s="497" t="s">
        <v>540</v>
      </c>
      <c r="I301" s="264">
        <f>Synthèse!H301</f>
        <v>24209.234303999248</v>
      </c>
      <c r="J301" s="501" t="s">
        <v>540</v>
      </c>
      <c r="K301" s="501" t="s">
        <v>540</v>
      </c>
    </row>
    <row r="302" spans="1:11" s="267" customFormat="1" ht="15" x14ac:dyDescent="0.25">
      <c r="A302" s="86">
        <f>Données!A302</f>
        <v>5935</v>
      </c>
      <c r="B302" s="409" t="str">
        <f>Données!B302</f>
        <v>Villars-Epeney</v>
      </c>
      <c r="C302" s="264">
        <f>Synthèse!G302</f>
        <v>71772.255927794962</v>
      </c>
      <c r="D302" s="492" t="s">
        <v>540</v>
      </c>
      <c r="E302" s="493" t="s">
        <v>540</v>
      </c>
      <c r="F302" s="263">
        <f>Synthèse!F302</f>
        <v>47012.981619847298</v>
      </c>
      <c r="G302" s="497" t="s">
        <v>540</v>
      </c>
      <c r="H302" s="497" t="s">
        <v>540</v>
      </c>
      <c r="I302" s="264">
        <f>Synthèse!H302</f>
        <v>12281.889989159423</v>
      </c>
      <c r="J302" s="501" t="s">
        <v>540</v>
      </c>
      <c r="K302" s="501" t="s">
        <v>540</v>
      </c>
    </row>
    <row r="303" spans="1:11" s="267" customFormat="1" ht="15" x14ac:dyDescent="0.25">
      <c r="A303" s="86">
        <f>Données!A303</f>
        <v>5937</v>
      </c>
      <c r="B303" s="409" t="str">
        <f>Données!B303</f>
        <v>Vugelles-La Mothe</v>
      </c>
      <c r="C303" s="264">
        <f>Synthèse!G303</f>
        <v>54552.341070277624</v>
      </c>
      <c r="D303" s="492" t="s">
        <v>540</v>
      </c>
      <c r="E303" s="493" t="s">
        <v>540</v>
      </c>
      <c r="F303" s="263">
        <f>Synthèse!F303</f>
        <v>-41937.600995616369</v>
      </c>
      <c r="G303" s="497" t="s">
        <v>540</v>
      </c>
      <c r="H303" s="497" t="s">
        <v>540</v>
      </c>
      <c r="I303" s="264">
        <f>Synthèse!H303</f>
        <v>10035.211543241869</v>
      </c>
      <c r="J303" s="501" t="s">
        <v>540</v>
      </c>
      <c r="K303" s="501" t="s">
        <v>540</v>
      </c>
    </row>
    <row r="304" spans="1:11" s="267" customFormat="1" ht="15" x14ac:dyDescent="0.25">
      <c r="A304" s="86">
        <f>Données!A304</f>
        <v>5938</v>
      </c>
      <c r="B304" s="409" t="str">
        <f>Données!B304</f>
        <v>Yverdon-les-Bains</v>
      </c>
      <c r="C304" s="264">
        <f>Synthèse!G304</f>
        <v>14998465.624360442</v>
      </c>
      <c r="D304" s="492" t="s">
        <v>540</v>
      </c>
      <c r="E304" s="493" t="s">
        <v>540</v>
      </c>
      <c r="F304" s="263">
        <f>Synthèse!F304</f>
        <v>-32348019.383975025</v>
      </c>
      <c r="G304" s="497" t="s">
        <v>540</v>
      </c>
      <c r="H304" s="497" t="s">
        <v>540</v>
      </c>
      <c r="I304" s="264">
        <f>Synthèse!H304</f>
        <v>1028080.9140641214</v>
      </c>
      <c r="J304" s="501" t="s">
        <v>540</v>
      </c>
      <c r="K304" s="501" t="s">
        <v>540</v>
      </c>
    </row>
    <row r="305" spans="1:11" s="267" customFormat="1" ht="15" x14ac:dyDescent="0.25">
      <c r="A305" s="86">
        <f>Données!A305</f>
        <v>5939</v>
      </c>
      <c r="B305" s="409" t="str">
        <f>Données!B305</f>
        <v>Yvonand</v>
      </c>
      <c r="C305" s="264">
        <f>Synthèse!G305</f>
        <v>1715164.549063236</v>
      </c>
      <c r="D305" s="492" t="s">
        <v>540</v>
      </c>
      <c r="E305" s="493" t="s">
        <v>540</v>
      </c>
      <c r="F305" s="263">
        <f>Synthèse!F305</f>
        <v>-1236187.5321574206</v>
      </c>
      <c r="G305" s="497" t="s">
        <v>540</v>
      </c>
      <c r="H305" s="497" t="s">
        <v>540</v>
      </c>
      <c r="I305" s="264">
        <f>Synthèse!H305</f>
        <v>289720.63304200745</v>
      </c>
      <c r="J305" s="501" t="s">
        <v>540</v>
      </c>
      <c r="K305" s="501" t="s">
        <v>540</v>
      </c>
    </row>
    <row r="306" spans="1:11" s="267" customFormat="1" ht="15" x14ac:dyDescent="0.25">
      <c r="A306" s="25"/>
      <c r="B306" s="19">
        <v>300</v>
      </c>
      <c r="C306" s="265">
        <f>SUM(C6:C305)</f>
        <v>810939700.00000107</v>
      </c>
      <c r="D306" s="494" t="s">
        <v>540</v>
      </c>
      <c r="E306" s="494" t="s">
        <v>540</v>
      </c>
      <c r="F306" s="265">
        <f>SUM(F6:F305)</f>
        <v>450000.00000032457</v>
      </c>
      <c r="G306" s="498" t="s">
        <v>540</v>
      </c>
      <c r="H306" s="498" t="s">
        <v>540</v>
      </c>
      <c r="I306" s="265">
        <f>SUM(I6:I305)</f>
        <v>71025442.000000045</v>
      </c>
      <c r="J306" s="502" t="s">
        <v>540</v>
      </c>
      <c r="K306" s="502" t="s">
        <v>540</v>
      </c>
    </row>
    <row r="307" spans="1:11" s="267" customFormat="1" ht="15" x14ac:dyDescent="0.25">
      <c r="A307" s="268"/>
      <c r="B307" s="268"/>
      <c r="C307" s="268"/>
      <c r="D307" s="219"/>
      <c r="E307" s="268"/>
      <c r="F307" s="268"/>
      <c r="G307" s="268"/>
      <c r="H307" s="268"/>
      <c r="I307" s="266"/>
      <c r="J307" s="5"/>
      <c r="K307" s="268"/>
    </row>
    <row r="308" spans="1:11" s="267" customFormat="1" ht="15" x14ac:dyDescent="0.25">
      <c r="A308" s="268"/>
      <c r="B308" s="268"/>
      <c r="C308" s="268"/>
      <c r="D308" s="268"/>
      <c r="E308" s="268"/>
      <c r="F308" s="268"/>
      <c r="G308" s="268"/>
      <c r="H308" s="268"/>
      <c r="I308" s="266"/>
      <c r="J308" s="5"/>
      <c r="K308" s="268"/>
    </row>
    <row r="309" spans="1:11" s="267" customFormat="1" ht="15" x14ac:dyDescent="0.25">
      <c r="A309" s="268"/>
      <c r="B309" s="268"/>
      <c r="C309" s="268"/>
      <c r="D309" s="268"/>
      <c r="E309" s="268"/>
      <c r="F309" s="268"/>
      <c r="G309" s="268"/>
      <c r="H309" s="268"/>
      <c r="I309" s="266"/>
      <c r="J309" s="268"/>
      <c r="K309" s="268"/>
    </row>
    <row r="310" spans="1:11" s="267" customFormat="1" ht="15" x14ac:dyDescent="0.25">
      <c r="A310" s="268"/>
      <c r="B310" s="268"/>
      <c r="C310" s="268"/>
      <c r="D310" s="268"/>
      <c r="E310" s="268"/>
      <c r="F310" s="268"/>
      <c r="G310" s="268"/>
      <c r="H310" s="268"/>
      <c r="I310" s="239"/>
      <c r="J310" s="268"/>
      <c r="K310" s="268"/>
    </row>
  </sheetData>
  <sheetProtection sheet="1" objects="1" scenarios="1"/>
  <mergeCells count="5">
    <mergeCell ref="I4:K4"/>
    <mergeCell ref="A4:A5"/>
    <mergeCell ref="B4:B5"/>
    <mergeCell ref="C4:E4"/>
    <mergeCell ref="F4:H4"/>
  </mergeCells>
  <hyperlinks>
    <hyperlink ref="C1" location="Synthèse!A1" display="← Précédent" xr:uid="{D046A632-CF30-4412-9AE7-773599330617}"/>
    <hyperlink ref="D1" location="'Table des matières'!A1" display="Table des             matières" xr:uid="{312CF942-877A-4E96-8B85-400AB3A21C9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59999389629810485"/>
  </sheetPr>
  <dimension ref="A1:L536"/>
  <sheetViews>
    <sheetView zoomScaleNormal="100" workbookViewId="0">
      <pane ySplit="2" topLeftCell="A3" activePane="bottomLeft" state="frozen"/>
      <selection pane="bottomLeft"/>
    </sheetView>
  </sheetViews>
  <sheetFormatPr baseColWidth="10" defaultColWidth="10.75" defaultRowHeight="15" x14ac:dyDescent="0.25"/>
  <cols>
    <col min="1" max="1" width="66.625" style="88" customWidth="1"/>
    <col min="2" max="2" width="12.5" style="88" bestFit="1" customWidth="1"/>
    <col min="3" max="3" width="13.875" style="88" customWidth="1"/>
    <col min="4" max="4" width="10.25" style="88" customWidth="1"/>
    <col min="5" max="8" width="13.125" style="88" customWidth="1"/>
    <col min="9" max="10" width="12.125" style="88" bestFit="1" customWidth="1"/>
    <col min="11" max="11" width="12" style="88" bestFit="1" customWidth="1"/>
    <col min="12" max="16384" width="10.75" style="88"/>
  </cols>
  <sheetData>
    <row r="1" spans="1:11" ht="26.25" x14ac:dyDescent="0.4">
      <c r="A1" s="279" t="s">
        <v>411</v>
      </c>
      <c r="B1" s="316" t="s">
        <v>409</v>
      </c>
      <c r="C1" s="303" t="s">
        <v>401</v>
      </c>
      <c r="D1" s="316" t="s">
        <v>410</v>
      </c>
      <c r="E1" s="301"/>
    </row>
    <row r="3" spans="1:11" ht="21" customHeight="1" x14ac:dyDescent="0.35">
      <c r="A3" s="103" t="s">
        <v>413</v>
      </c>
      <c r="D3" s="223"/>
      <c r="E3" s="223"/>
      <c r="F3" s="223"/>
      <c r="G3" s="223"/>
      <c r="H3" s="223"/>
      <c r="I3" s="223"/>
      <c r="J3" s="223"/>
    </row>
    <row r="4" spans="1:11" s="223" customFormat="1" ht="14.45" customHeight="1" x14ac:dyDescent="0.25">
      <c r="A4" s="223" t="s">
        <v>450</v>
      </c>
      <c r="B4" s="370" t="s">
        <v>440</v>
      </c>
      <c r="D4" s="569" t="s">
        <v>554</v>
      </c>
      <c r="E4" s="570"/>
      <c r="F4" s="570"/>
      <c r="G4" s="570"/>
      <c r="H4" s="571"/>
      <c r="I4" s="393"/>
      <c r="J4" s="393"/>
      <c r="K4" s="393"/>
    </row>
    <row r="5" spans="1:11" x14ac:dyDescent="0.25">
      <c r="A5" s="88" t="s">
        <v>487</v>
      </c>
      <c r="B5" s="371">
        <v>2020</v>
      </c>
      <c r="C5" s="223"/>
      <c r="D5" s="572"/>
      <c r="E5" s="573"/>
      <c r="F5" s="573"/>
      <c r="G5" s="573"/>
      <c r="H5" s="574"/>
      <c r="I5" s="393"/>
      <c r="J5" s="393"/>
      <c r="K5" s="393"/>
    </row>
    <row r="6" spans="1:11" x14ac:dyDescent="0.25">
      <c r="A6" s="88" t="s">
        <v>486</v>
      </c>
      <c r="B6" s="104">
        <v>42734</v>
      </c>
      <c r="D6" s="572"/>
      <c r="E6" s="573"/>
      <c r="F6" s="573"/>
      <c r="G6" s="573"/>
      <c r="H6" s="574"/>
      <c r="I6" s="393"/>
      <c r="J6" s="393"/>
      <c r="K6" s="393"/>
    </row>
    <row r="7" spans="1:11" s="223" customFormat="1" x14ac:dyDescent="0.25">
      <c r="A7" s="223" t="s">
        <v>485</v>
      </c>
      <c r="B7" s="104" t="s">
        <v>488</v>
      </c>
      <c r="D7" s="572"/>
      <c r="E7" s="573"/>
      <c r="F7" s="573"/>
      <c r="G7" s="573"/>
      <c r="H7" s="574"/>
      <c r="I7" s="393"/>
      <c r="J7" s="393"/>
      <c r="K7" s="393"/>
    </row>
    <row r="8" spans="1:11" s="223" customFormat="1" x14ac:dyDescent="0.25">
      <c r="A8" s="223" t="s">
        <v>484</v>
      </c>
      <c r="B8" s="371">
        <v>2022</v>
      </c>
      <c r="D8" s="572"/>
      <c r="E8" s="573"/>
      <c r="F8" s="573"/>
      <c r="G8" s="573"/>
      <c r="H8" s="574"/>
      <c r="I8" s="393"/>
      <c r="J8" s="393"/>
      <c r="K8" s="393"/>
    </row>
    <row r="9" spans="1:11" s="223" customFormat="1" x14ac:dyDescent="0.25">
      <c r="D9" s="572"/>
      <c r="E9" s="573"/>
      <c r="F9" s="573"/>
      <c r="G9" s="573"/>
      <c r="H9" s="574"/>
      <c r="I9" s="393"/>
      <c r="J9" s="393"/>
      <c r="K9" s="393"/>
    </row>
    <row r="10" spans="1:11" ht="21" x14ac:dyDescent="0.35">
      <c r="A10" s="117" t="s">
        <v>430</v>
      </c>
      <c r="B10" s="224"/>
      <c r="C10" s="223"/>
      <c r="D10" s="572"/>
      <c r="E10" s="573"/>
      <c r="F10" s="573"/>
      <c r="G10" s="573"/>
      <c r="H10" s="574"/>
      <c r="I10" s="393"/>
      <c r="J10" s="393"/>
      <c r="K10" s="393"/>
    </row>
    <row r="11" spans="1:11" s="223" customFormat="1" x14ac:dyDescent="0.25">
      <c r="A11" s="224" t="str">
        <f>CONCATENATE("Montant de la PCS (",B7,"), avant effets de l'accord avec l'UCV")</f>
        <v>Montant de la PCS (budget 2022), avant effets de l'accord avec l'UCV</v>
      </c>
      <c r="B11" s="110">
        <v>854861200</v>
      </c>
      <c r="D11" s="572"/>
      <c r="E11" s="573"/>
      <c r="F11" s="573"/>
      <c r="G11" s="573"/>
      <c r="H11" s="574"/>
      <c r="I11" s="393"/>
      <c r="J11" s="393"/>
      <c r="K11" s="393"/>
    </row>
    <row r="12" spans="1:11" s="223" customFormat="1" x14ac:dyDescent="0.25">
      <c r="A12" s="432" t="s">
        <v>498</v>
      </c>
      <c r="B12" s="110">
        <v>43921500</v>
      </c>
      <c r="D12" s="572"/>
      <c r="E12" s="573"/>
      <c r="F12" s="573"/>
      <c r="G12" s="573"/>
      <c r="H12" s="574"/>
      <c r="I12" s="393"/>
      <c r="J12" s="393"/>
      <c r="K12" s="393"/>
    </row>
    <row r="13" spans="1:11" s="223" customFormat="1" x14ac:dyDescent="0.25">
      <c r="A13" s="432" t="s">
        <v>499</v>
      </c>
      <c r="B13" s="110">
        <v>16407000</v>
      </c>
      <c r="C13" s="401" t="s">
        <v>526</v>
      </c>
      <c r="D13" s="572"/>
      <c r="E13" s="573"/>
      <c r="F13" s="573"/>
      <c r="G13" s="573"/>
      <c r="H13" s="574"/>
      <c r="I13" s="393"/>
      <c r="J13" s="393"/>
      <c r="K13" s="393"/>
    </row>
    <row r="14" spans="1:11" s="223" customFormat="1" x14ac:dyDescent="0.25">
      <c r="A14" s="432" t="s">
        <v>500</v>
      </c>
      <c r="B14" s="110">
        <f>IF((60000000-B12-B13)&gt;0,60000000-B12-B13,0)</f>
        <v>0</v>
      </c>
      <c r="C14" s="402">
        <f>SUM(B12:B14)</f>
        <v>60328500</v>
      </c>
      <c r="D14" s="572"/>
      <c r="E14" s="573"/>
      <c r="F14" s="573"/>
      <c r="G14" s="573"/>
      <c r="H14" s="574"/>
      <c r="I14" s="393"/>
      <c r="J14" s="393"/>
      <c r="K14" s="393"/>
    </row>
    <row r="15" spans="1:11" s="223" customFormat="1" x14ac:dyDescent="0.25">
      <c r="A15" s="223" t="s">
        <v>527</v>
      </c>
      <c r="B15" s="111">
        <f>B11-B14-B12</f>
        <v>810939700</v>
      </c>
      <c r="D15" s="572"/>
      <c r="E15" s="573"/>
      <c r="F15" s="573"/>
      <c r="G15" s="573"/>
      <c r="H15" s="574"/>
      <c r="I15" s="393"/>
      <c r="J15" s="393"/>
      <c r="K15" s="393"/>
    </row>
    <row r="16" spans="1:11" x14ac:dyDescent="0.25">
      <c r="D16" s="572"/>
      <c r="E16" s="573"/>
      <c r="F16" s="573"/>
      <c r="G16" s="573"/>
      <c r="H16" s="574"/>
      <c r="I16" s="393"/>
      <c r="J16" s="393"/>
      <c r="K16" s="393"/>
    </row>
    <row r="17" spans="1:12" ht="21" x14ac:dyDescent="0.35">
      <c r="A17" s="103" t="s">
        <v>456</v>
      </c>
      <c r="C17" s="89"/>
      <c r="D17" s="572"/>
      <c r="E17" s="573"/>
      <c r="F17" s="573"/>
      <c r="G17" s="573"/>
      <c r="H17" s="574"/>
      <c r="I17" s="393"/>
      <c r="J17" s="393"/>
      <c r="K17" s="393"/>
    </row>
    <row r="18" spans="1:12" x14ac:dyDescent="0.25">
      <c r="A18" s="88" t="s">
        <v>457</v>
      </c>
      <c r="B18" s="105">
        <v>0.5</v>
      </c>
      <c r="C18" s="94"/>
      <c r="D18" s="572"/>
      <c r="E18" s="573"/>
      <c r="F18" s="573"/>
      <c r="G18" s="573"/>
      <c r="H18" s="574"/>
      <c r="I18" s="393"/>
      <c r="J18" s="393"/>
      <c r="K18" s="393"/>
    </row>
    <row r="19" spans="1:12" x14ac:dyDescent="0.25">
      <c r="A19" s="88" t="s">
        <v>425</v>
      </c>
      <c r="B19" s="105">
        <v>0.3</v>
      </c>
      <c r="C19" s="95"/>
      <c r="D19" s="575"/>
      <c r="E19" s="576"/>
      <c r="F19" s="576"/>
      <c r="G19" s="576"/>
      <c r="H19" s="577"/>
      <c r="I19" s="393"/>
      <c r="J19" s="393"/>
      <c r="K19" s="393"/>
    </row>
    <row r="20" spans="1:12" x14ac:dyDescent="0.25">
      <c r="D20" s="393"/>
      <c r="E20" s="393"/>
      <c r="F20" s="393"/>
      <c r="G20" s="393"/>
      <c r="H20" s="393"/>
      <c r="I20" s="393"/>
      <c r="J20" s="393"/>
      <c r="K20" s="393"/>
    </row>
    <row r="21" spans="1:12" ht="21" x14ac:dyDescent="0.35">
      <c r="A21" s="103" t="s">
        <v>459</v>
      </c>
      <c r="H21" s="223"/>
      <c r="I21" s="223"/>
      <c r="J21" s="223"/>
      <c r="K21" s="223"/>
    </row>
    <row r="22" spans="1:12" x14ac:dyDescent="0.25">
      <c r="B22" s="96" t="s">
        <v>250</v>
      </c>
      <c r="C22" s="96" t="s">
        <v>251</v>
      </c>
      <c r="D22" s="96" t="s">
        <v>337</v>
      </c>
      <c r="E22" s="96" t="s">
        <v>380</v>
      </c>
      <c r="F22" s="96" t="s">
        <v>381</v>
      </c>
      <c r="H22" s="223"/>
      <c r="I22" s="223"/>
      <c r="J22" s="223"/>
      <c r="K22" s="223"/>
    </row>
    <row r="23" spans="1:12" x14ac:dyDescent="0.25">
      <c r="A23" s="88" t="s">
        <v>458</v>
      </c>
      <c r="B23" s="106">
        <v>0.2</v>
      </c>
      <c r="C23" s="106">
        <v>0.3</v>
      </c>
      <c r="D23" s="106">
        <v>0.4</v>
      </c>
      <c r="E23" s="106">
        <v>0.5</v>
      </c>
      <c r="F23" s="106">
        <v>0.6</v>
      </c>
      <c r="G23" s="205"/>
      <c r="H23" s="223"/>
      <c r="I23" s="223"/>
      <c r="J23" s="223"/>
      <c r="K23" s="223"/>
    </row>
    <row r="24" spans="1:12" x14ac:dyDescent="0.25">
      <c r="A24" s="88" t="s">
        <v>362</v>
      </c>
      <c r="B24" s="106">
        <v>1</v>
      </c>
      <c r="C24" s="106">
        <v>1.2</v>
      </c>
      <c r="D24" s="106">
        <v>1.5</v>
      </c>
      <c r="E24" s="161">
        <v>2</v>
      </c>
      <c r="F24" s="225">
        <v>3</v>
      </c>
      <c r="G24" s="205"/>
      <c r="H24" s="223"/>
      <c r="I24" s="223"/>
      <c r="J24" s="223"/>
      <c r="K24" s="223"/>
    </row>
    <row r="25" spans="1:12" x14ac:dyDescent="0.25">
      <c r="F25" s="89"/>
      <c r="I25" s="89"/>
      <c r="J25" s="89"/>
      <c r="K25" s="89"/>
      <c r="L25" s="89"/>
    </row>
    <row r="26" spans="1:12" ht="21" x14ac:dyDescent="0.35">
      <c r="A26" s="103" t="s">
        <v>460</v>
      </c>
      <c r="B26" s="89"/>
      <c r="C26" s="89"/>
      <c r="D26" s="89"/>
      <c r="E26" s="97"/>
      <c r="F26" s="90"/>
      <c r="I26" s="89"/>
      <c r="J26" s="224"/>
      <c r="K26" s="224"/>
      <c r="L26" s="91"/>
    </row>
    <row r="27" spans="1:12" x14ac:dyDescent="0.25">
      <c r="A27" s="108" t="s">
        <v>461</v>
      </c>
      <c r="B27" s="112">
        <v>0</v>
      </c>
      <c r="C27" s="112">
        <v>1000</v>
      </c>
      <c r="D27" s="112">
        <v>3000</v>
      </c>
      <c r="E27" s="112">
        <v>5000</v>
      </c>
      <c r="F27" s="112">
        <v>9000</v>
      </c>
      <c r="G27" s="112">
        <v>12000</v>
      </c>
      <c r="H27" s="112">
        <v>15000</v>
      </c>
      <c r="I27" s="98"/>
      <c r="J27" s="224"/>
      <c r="K27" s="224"/>
      <c r="L27" s="89"/>
    </row>
    <row r="28" spans="1:12" ht="15" customHeight="1" x14ac:dyDescent="0.25">
      <c r="A28" s="108"/>
      <c r="B28" s="112">
        <v>1000</v>
      </c>
      <c r="C28" s="112">
        <v>3000</v>
      </c>
      <c r="D28" s="112">
        <v>5000</v>
      </c>
      <c r="E28" s="112">
        <v>9000</v>
      </c>
      <c r="F28" s="112">
        <v>12000</v>
      </c>
      <c r="G28" s="112">
        <v>15000</v>
      </c>
      <c r="H28" s="112"/>
      <c r="I28" s="98"/>
      <c r="J28" s="224"/>
      <c r="K28" s="224"/>
      <c r="L28" s="89"/>
    </row>
    <row r="29" spans="1:12" x14ac:dyDescent="0.25">
      <c r="A29" s="109" t="s">
        <v>363</v>
      </c>
      <c r="B29" s="146">
        <v>125</v>
      </c>
      <c r="C29" s="146">
        <v>350</v>
      </c>
      <c r="D29" s="146">
        <v>500</v>
      </c>
      <c r="E29" s="146">
        <v>600</v>
      </c>
      <c r="F29" s="146">
        <v>850</v>
      </c>
      <c r="G29" s="146">
        <v>1000</v>
      </c>
      <c r="H29" s="146">
        <v>1050</v>
      </c>
      <c r="I29" s="99"/>
      <c r="J29" s="224"/>
      <c r="K29" s="224"/>
      <c r="L29" s="89"/>
    </row>
    <row r="30" spans="1:12" x14ac:dyDescent="0.25">
      <c r="A30" s="89" t="s">
        <v>355</v>
      </c>
      <c r="B30" s="159">
        <v>99.4</v>
      </c>
      <c r="C30" s="107"/>
      <c r="D30" s="107"/>
      <c r="E30" s="107"/>
      <c r="F30" s="107"/>
      <c r="G30" s="107"/>
      <c r="H30" s="107"/>
      <c r="I30" s="89"/>
      <c r="J30" s="224"/>
      <c r="K30" s="224"/>
      <c r="L30" s="89"/>
    </row>
    <row r="31" spans="1:12" s="369" customFormat="1" x14ac:dyDescent="0.2">
      <c r="A31" s="366" t="str">
        <f>CONCATENATE("Indice IPC au 30 juin ",B5)</f>
        <v>Indice IPC au 30 juin 2020</v>
      </c>
      <c r="B31" s="367">
        <v>98.6</v>
      </c>
      <c r="C31" s="368"/>
      <c r="D31" s="368"/>
      <c r="E31" s="368"/>
      <c r="F31" s="368"/>
      <c r="G31" s="368"/>
      <c r="H31" s="368"/>
      <c r="I31" s="368"/>
      <c r="J31" s="368"/>
      <c r="K31" s="368"/>
      <c r="L31" s="368"/>
    </row>
    <row r="32" spans="1:12" x14ac:dyDescent="0.25">
      <c r="A32" s="89" t="s">
        <v>356</v>
      </c>
      <c r="B32" s="160">
        <f>+B29/$B$30*$B$31</f>
        <v>123.99396378269616</v>
      </c>
      <c r="C32" s="101">
        <f t="shared" ref="C32:H32" si="0">+C29/$B$30*$B$31</f>
        <v>347.18309859154925</v>
      </c>
      <c r="D32" s="101">
        <f t="shared" si="0"/>
        <v>495.97585513078462</v>
      </c>
      <c r="E32" s="101">
        <f t="shared" si="0"/>
        <v>595.17102615694159</v>
      </c>
      <c r="F32" s="101">
        <f t="shared" si="0"/>
        <v>843.15895372233388</v>
      </c>
      <c r="G32" s="101">
        <f t="shared" si="0"/>
        <v>991.95171026156925</v>
      </c>
      <c r="H32" s="101">
        <f t="shared" si="0"/>
        <v>1041.5492957746478</v>
      </c>
      <c r="I32" s="89"/>
      <c r="J32" s="89"/>
      <c r="K32" s="89"/>
      <c r="L32" s="89"/>
    </row>
    <row r="34" spans="1:12" ht="21" x14ac:dyDescent="0.35">
      <c r="A34" s="103" t="s">
        <v>462</v>
      </c>
    </row>
    <row r="35" spans="1:12" x14ac:dyDescent="0.25">
      <c r="A35" s="223" t="s">
        <v>463</v>
      </c>
      <c r="B35" s="113">
        <v>0.27</v>
      </c>
    </row>
    <row r="36" spans="1:12" s="223" customFormat="1" x14ac:dyDescent="0.25"/>
    <row r="37" spans="1:12" ht="21" x14ac:dyDescent="0.35">
      <c r="A37" s="103" t="s">
        <v>466</v>
      </c>
      <c r="G37" s="92"/>
      <c r="H37" s="93"/>
      <c r="L37" s="92"/>
    </row>
    <row r="38" spans="1:12" x14ac:dyDescent="0.25">
      <c r="A38" s="102"/>
      <c r="B38" s="115" t="s">
        <v>312</v>
      </c>
      <c r="C38" s="115" t="s">
        <v>531</v>
      </c>
      <c r="E38" s="100" t="s">
        <v>471</v>
      </c>
      <c r="F38" s="100"/>
      <c r="G38" s="183">
        <v>4.5</v>
      </c>
      <c r="H38" s="170">
        <v>0.75</v>
      </c>
      <c r="I38" s="578" t="s">
        <v>469</v>
      </c>
      <c r="J38" s="579"/>
      <c r="K38" s="63">
        <f>DT!G306+DT!L306</f>
        <v>214651035.73504782</v>
      </c>
    </row>
    <row r="39" spans="1:12" x14ac:dyDescent="0.25">
      <c r="A39" s="223" t="s">
        <v>468</v>
      </c>
      <c r="B39" s="114">
        <v>8</v>
      </c>
      <c r="C39" s="96">
        <f>+H39</f>
        <v>0.75</v>
      </c>
      <c r="E39" s="100" t="s">
        <v>364</v>
      </c>
      <c r="F39" s="100"/>
      <c r="G39" s="116">
        <f>G38*H45</f>
        <v>169396838.70134395</v>
      </c>
      <c r="H39" s="158">
        <f>(IF(G39&gt;K39,H38,H38/K39*G39))</f>
        <v>0.75</v>
      </c>
      <c r="I39" s="578" t="s">
        <v>470</v>
      </c>
      <c r="J39" s="579"/>
      <c r="K39" s="63">
        <f>K38*H38</f>
        <v>160988276.80128586</v>
      </c>
    </row>
    <row r="40" spans="1:12" x14ac:dyDescent="0.25">
      <c r="A40" s="88" t="s">
        <v>467</v>
      </c>
      <c r="B40" s="114">
        <v>1</v>
      </c>
      <c r="C40" s="96">
        <f>+H39</f>
        <v>0.75</v>
      </c>
      <c r="K40" s="213"/>
    </row>
    <row r="42" spans="1:12" ht="21" x14ac:dyDescent="0.35">
      <c r="A42" s="103" t="s">
        <v>475</v>
      </c>
      <c r="H42" s="203"/>
    </row>
    <row r="43" spans="1:12" x14ac:dyDescent="0.25">
      <c r="A43" s="88" t="s">
        <v>473</v>
      </c>
      <c r="B43" s="547">
        <v>48</v>
      </c>
      <c r="C43" s="400" t="s">
        <v>474</v>
      </c>
    </row>
    <row r="44" spans="1:12" x14ac:dyDescent="0.25">
      <c r="A44" s="88" t="s">
        <v>472</v>
      </c>
      <c r="B44" s="547">
        <v>8</v>
      </c>
      <c r="C44" s="215"/>
      <c r="E44" s="181"/>
      <c r="I44" s="578" t="str">
        <f>CONCATENATE("PCS selon ",B7)</f>
        <v>PCS selon budget 2022</v>
      </c>
      <c r="J44" s="579"/>
      <c r="K44" s="63">
        <f>B15</f>
        <v>810939700</v>
      </c>
    </row>
    <row r="45" spans="1:12" x14ac:dyDescent="0.25">
      <c r="A45" s="88" t="s">
        <v>479</v>
      </c>
      <c r="B45" s="375">
        <v>92.188000000000002</v>
      </c>
      <c r="E45" s="578" t="str">
        <f>CONCATENATE("Valeur du point ",B4)</f>
        <v>Valeur du point Acomptes 2022</v>
      </c>
      <c r="F45" s="580"/>
      <c r="G45" s="579"/>
      <c r="H45" s="63">
        <f>VPI!R306</f>
        <v>37643741.933631986</v>
      </c>
      <c r="I45" s="578" t="s">
        <v>481</v>
      </c>
      <c r="J45" s="579"/>
      <c r="K45" s="141">
        <v>815872100</v>
      </c>
    </row>
    <row r="46" spans="1:12" x14ac:dyDescent="0.25">
      <c r="A46" s="88" t="s">
        <v>379</v>
      </c>
      <c r="B46" s="546">
        <f>B45+K46</f>
        <v>92.188000000000002</v>
      </c>
      <c r="E46" s="578" t="s">
        <v>480</v>
      </c>
      <c r="F46" s="580"/>
      <c r="G46" s="579"/>
      <c r="H46" s="141">
        <v>37080520.101833388</v>
      </c>
      <c r="I46" s="578" t="s">
        <v>478</v>
      </c>
      <c r="J46" s="579"/>
      <c r="K46" s="100">
        <f>IF((K44/K45)&gt;(H45/H46),(K44-K45)/H45,0)</f>
        <v>0</v>
      </c>
    </row>
    <row r="47" spans="1:12" x14ac:dyDescent="0.25">
      <c r="A47" s="223"/>
      <c r="E47" s="581"/>
      <c r="F47" s="581"/>
      <c r="G47" s="581"/>
    </row>
    <row r="48" spans="1:12" ht="21" x14ac:dyDescent="0.35">
      <c r="A48" s="103" t="s">
        <v>465</v>
      </c>
      <c r="B48" s="373" t="s">
        <v>477</v>
      </c>
      <c r="C48" s="535" t="s">
        <v>496</v>
      </c>
      <c r="D48" s="373" t="s">
        <v>476</v>
      </c>
    </row>
    <row r="49" spans="1:12" x14ac:dyDescent="0.25">
      <c r="A49" s="88" t="s">
        <v>569</v>
      </c>
      <c r="B49" s="141">
        <v>426572.21449512744</v>
      </c>
      <c r="C49" s="399">
        <f>D49-B49</f>
        <v>2.9103830456733704E-9</v>
      </c>
      <c r="D49" s="63">
        <f>'Péréquation directe'!H312</f>
        <v>426572.21449513035</v>
      </c>
      <c r="L49" s="92"/>
    </row>
    <row r="50" spans="1:12" x14ac:dyDescent="0.25">
      <c r="A50" s="88" t="s">
        <v>464</v>
      </c>
      <c r="B50" s="141">
        <v>450000</v>
      </c>
      <c r="C50" s="425" t="s">
        <v>510</v>
      </c>
      <c r="D50" s="92"/>
      <c r="L50" s="92"/>
    </row>
    <row r="51" spans="1:12" s="223" customFormat="1" x14ac:dyDescent="0.25">
      <c r="B51" s="374"/>
    </row>
    <row r="52" spans="1:12" ht="21" x14ac:dyDescent="0.35">
      <c r="A52" s="117" t="s">
        <v>414</v>
      </c>
      <c r="B52" s="89"/>
      <c r="C52" s="89"/>
      <c r="D52" s="145"/>
      <c r="F52" s="145"/>
      <c r="G52" s="212"/>
      <c r="H52" s="119"/>
    </row>
    <row r="53" spans="1:12" s="223" customFormat="1" x14ac:dyDescent="0.25">
      <c r="A53" s="224" t="s">
        <v>482</v>
      </c>
      <c r="B53" s="63">
        <v>62118300</v>
      </c>
      <c r="C53" s="224"/>
      <c r="D53" s="145"/>
      <c r="F53" s="145"/>
      <c r="G53" s="212"/>
      <c r="H53" s="119"/>
    </row>
    <row r="54" spans="1:12" s="223" customFormat="1" x14ac:dyDescent="0.25">
      <c r="A54" s="224" t="s">
        <v>483</v>
      </c>
      <c r="B54" s="376">
        <v>1.4999999999999999E-2</v>
      </c>
      <c r="C54" s="224"/>
      <c r="D54" s="145"/>
      <c r="F54" s="145"/>
      <c r="G54" s="212"/>
      <c r="H54" s="119"/>
    </row>
    <row r="55" spans="1:12" x14ac:dyDescent="0.25">
      <c r="A55" s="89" t="str">
        <f>CONCATENATE("Montant de la facture ",B8)</f>
        <v>Montant de la facture 2022</v>
      </c>
      <c r="B55" s="63">
        <f>ROUND((B53*(1+B54)^(B8-2013)),0)</f>
        <v>71025442</v>
      </c>
      <c r="C55" s="89"/>
      <c r="D55" s="145"/>
      <c r="E55" s="89"/>
      <c r="F55" s="119"/>
      <c r="G55" s="212"/>
      <c r="H55" s="119"/>
    </row>
    <row r="56" spans="1:12" x14ac:dyDescent="0.25">
      <c r="A56" s="89"/>
      <c r="B56" s="377"/>
      <c r="C56" s="89"/>
      <c r="D56" s="145"/>
      <c r="E56" s="89"/>
      <c r="F56" s="119"/>
      <c r="G56" s="212"/>
      <c r="H56" s="119"/>
    </row>
    <row r="57" spans="1:12" x14ac:dyDescent="0.25">
      <c r="G57" s="212"/>
      <c r="H57" s="119"/>
      <c r="I57" s="223"/>
      <c r="J57" s="223"/>
      <c r="K57" s="223"/>
    </row>
    <row r="59" spans="1:12" x14ac:dyDescent="0.25">
      <c r="A59" s="224"/>
      <c r="B59" s="224"/>
    </row>
    <row r="60" spans="1:12" ht="21" x14ac:dyDescent="0.35">
      <c r="A60" s="117" t="s">
        <v>367</v>
      </c>
    </row>
    <row r="61" spans="1:12" x14ac:dyDescent="0.25">
      <c r="A61" s="88" t="s">
        <v>334</v>
      </c>
      <c r="B61" s="88">
        <v>5621</v>
      </c>
    </row>
    <row r="62" spans="1:12" x14ac:dyDescent="0.25">
      <c r="A62" s="88" t="s">
        <v>277</v>
      </c>
      <c r="B62" s="88">
        <v>5742</v>
      </c>
    </row>
    <row r="63" spans="1:12" x14ac:dyDescent="0.25">
      <c r="A63" s="88" t="s">
        <v>225</v>
      </c>
      <c r="B63" s="88">
        <v>5401</v>
      </c>
    </row>
    <row r="64" spans="1:12" x14ac:dyDescent="0.25">
      <c r="A64" s="88" t="s">
        <v>15</v>
      </c>
      <c r="B64" s="88">
        <v>5851</v>
      </c>
    </row>
    <row r="65" spans="1:2" x14ac:dyDescent="0.25">
      <c r="A65" s="88" t="s">
        <v>98</v>
      </c>
      <c r="B65" s="88">
        <v>5701</v>
      </c>
    </row>
    <row r="66" spans="1:2" x14ac:dyDescent="0.25">
      <c r="A66" s="88" t="s">
        <v>227</v>
      </c>
      <c r="B66" s="88">
        <v>5743</v>
      </c>
    </row>
    <row r="67" spans="1:2" x14ac:dyDescent="0.25">
      <c r="A67" s="88" t="s">
        <v>353</v>
      </c>
      <c r="B67" s="88">
        <v>5702</v>
      </c>
    </row>
    <row r="68" spans="1:2" x14ac:dyDescent="0.25">
      <c r="A68" s="88" t="s">
        <v>157</v>
      </c>
      <c r="B68" s="88">
        <v>5511</v>
      </c>
    </row>
    <row r="69" spans="1:2" x14ac:dyDescent="0.25">
      <c r="A69" s="88" t="s">
        <v>67</v>
      </c>
      <c r="B69" s="88">
        <v>5422</v>
      </c>
    </row>
    <row r="70" spans="1:2" x14ac:dyDescent="0.25">
      <c r="A70" s="88" t="s">
        <v>295</v>
      </c>
      <c r="B70" s="88">
        <v>5451</v>
      </c>
    </row>
    <row r="71" spans="1:2" x14ac:dyDescent="0.25">
      <c r="A71" s="88" t="s">
        <v>228</v>
      </c>
      <c r="B71" s="88">
        <v>5744</v>
      </c>
    </row>
    <row r="72" spans="1:2" x14ac:dyDescent="0.25">
      <c r="A72" s="88" t="s">
        <v>68</v>
      </c>
      <c r="B72" s="88">
        <v>5423</v>
      </c>
    </row>
    <row r="73" spans="1:2" x14ac:dyDescent="0.25">
      <c r="A73" s="88" t="s">
        <v>99</v>
      </c>
      <c r="B73" s="88">
        <v>5703</v>
      </c>
    </row>
    <row r="74" spans="1:2" x14ac:dyDescent="0.25">
      <c r="A74" s="88" t="s">
        <v>229</v>
      </c>
      <c r="B74" s="88">
        <v>5745</v>
      </c>
    </row>
    <row r="75" spans="1:2" x14ac:dyDescent="0.25">
      <c r="A75" s="88" t="s">
        <v>230</v>
      </c>
      <c r="B75" s="88">
        <v>5746</v>
      </c>
    </row>
    <row r="76" spans="1:2" x14ac:dyDescent="0.25">
      <c r="A76" s="88" t="s">
        <v>195</v>
      </c>
      <c r="B76" s="88">
        <v>5704</v>
      </c>
    </row>
    <row r="77" spans="1:2" x14ac:dyDescent="0.25">
      <c r="A77" s="88" t="s">
        <v>318</v>
      </c>
      <c r="B77" s="88">
        <v>5581</v>
      </c>
    </row>
    <row r="78" spans="1:2" x14ac:dyDescent="0.25">
      <c r="A78" s="88" t="s">
        <v>51</v>
      </c>
      <c r="B78" s="88">
        <v>5902</v>
      </c>
    </row>
    <row r="79" spans="1:2" x14ac:dyDescent="0.25">
      <c r="A79" s="88" t="s">
        <v>158</v>
      </c>
      <c r="B79" s="88">
        <v>5512</v>
      </c>
    </row>
    <row r="80" spans="1:2" x14ac:dyDescent="0.25">
      <c r="A80" s="88" t="s">
        <v>69</v>
      </c>
      <c r="B80" s="88">
        <v>5424</v>
      </c>
    </row>
    <row r="81" spans="1:2" x14ac:dyDescent="0.25">
      <c r="A81" s="88" t="s">
        <v>298</v>
      </c>
      <c r="B81" s="88">
        <v>5471</v>
      </c>
    </row>
    <row r="82" spans="1:2" x14ac:dyDescent="0.25">
      <c r="A82" s="88" t="s">
        <v>226</v>
      </c>
      <c r="B82" s="88">
        <v>5402</v>
      </c>
    </row>
    <row r="83" spans="1:2" x14ac:dyDescent="0.25">
      <c r="A83" s="88" t="s">
        <v>70</v>
      </c>
      <c r="B83" s="88">
        <v>5425</v>
      </c>
    </row>
    <row r="84" spans="1:2" x14ac:dyDescent="0.25">
      <c r="A84" s="88" t="s">
        <v>52</v>
      </c>
      <c r="B84" s="88">
        <v>5903</v>
      </c>
    </row>
    <row r="85" spans="1:2" x14ac:dyDescent="0.25">
      <c r="A85" s="88" t="s">
        <v>400</v>
      </c>
      <c r="B85" s="88">
        <v>5892</v>
      </c>
    </row>
    <row r="86" spans="1:2" x14ac:dyDescent="0.25">
      <c r="A86" s="88" t="s">
        <v>231</v>
      </c>
      <c r="B86" s="88">
        <v>5747</v>
      </c>
    </row>
    <row r="87" spans="1:2" x14ac:dyDescent="0.25">
      <c r="A87" s="88" t="s">
        <v>196</v>
      </c>
      <c r="B87" s="88">
        <v>5705</v>
      </c>
    </row>
    <row r="88" spans="1:2" x14ac:dyDescent="0.25">
      <c r="A88" s="88" t="s">
        <v>32</v>
      </c>
      <c r="B88" s="88">
        <v>5551</v>
      </c>
    </row>
    <row r="89" spans="1:2" x14ac:dyDescent="0.25">
      <c r="A89" s="88" t="s">
        <v>197</v>
      </c>
      <c r="B89" s="88">
        <v>5706</v>
      </c>
    </row>
    <row r="90" spans="1:2" x14ac:dyDescent="0.25">
      <c r="A90" s="88" t="s">
        <v>159</v>
      </c>
      <c r="B90" s="88">
        <v>5514</v>
      </c>
    </row>
    <row r="91" spans="1:2" x14ac:dyDescent="0.25">
      <c r="A91" s="88" t="s">
        <v>65</v>
      </c>
      <c r="B91" s="88">
        <v>5426</v>
      </c>
    </row>
    <row r="92" spans="1:2" x14ac:dyDescent="0.25">
      <c r="A92" s="88" t="s">
        <v>182</v>
      </c>
      <c r="B92" s="88">
        <v>5661</v>
      </c>
    </row>
    <row r="93" spans="1:2" x14ac:dyDescent="0.25">
      <c r="A93" s="88" t="s">
        <v>343</v>
      </c>
      <c r="B93" s="88">
        <v>5613</v>
      </c>
    </row>
    <row r="94" spans="1:2" x14ac:dyDescent="0.25">
      <c r="A94" s="88" t="s">
        <v>299</v>
      </c>
      <c r="B94" s="88">
        <v>5472</v>
      </c>
    </row>
    <row r="95" spans="1:2" x14ac:dyDescent="0.25">
      <c r="A95" s="88" t="s">
        <v>188</v>
      </c>
      <c r="B95" s="88">
        <v>5473</v>
      </c>
    </row>
    <row r="96" spans="1:2" x14ac:dyDescent="0.25">
      <c r="A96" s="88" t="s">
        <v>130</v>
      </c>
      <c r="B96" s="88">
        <v>5622</v>
      </c>
    </row>
    <row r="97" spans="1:2" x14ac:dyDescent="0.25">
      <c r="A97" s="88" t="s">
        <v>160</v>
      </c>
      <c r="B97" s="88">
        <v>5515</v>
      </c>
    </row>
    <row r="98" spans="1:2" x14ac:dyDescent="0.25">
      <c r="A98" s="88" t="s">
        <v>232</v>
      </c>
      <c r="B98" s="88">
        <v>5748</v>
      </c>
    </row>
    <row r="99" spans="1:2" x14ac:dyDescent="0.25">
      <c r="A99" s="88" t="s">
        <v>131</v>
      </c>
      <c r="B99" s="88">
        <v>5623</v>
      </c>
    </row>
    <row r="100" spans="1:2" x14ac:dyDescent="0.25">
      <c r="A100" s="88" t="s">
        <v>33</v>
      </c>
      <c r="B100" s="88">
        <v>5552</v>
      </c>
    </row>
    <row r="101" spans="1:2" x14ac:dyDescent="0.25">
      <c r="A101" s="88" t="s">
        <v>16</v>
      </c>
      <c r="B101" s="88">
        <v>5852</v>
      </c>
    </row>
    <row r="102" spans="1:2" x14ac:dyDescent="0.25">
      <c r="A102" s="88" t="s">
        <v>17</v>
      </c>
      <c r="B102" s="88">
        <v>5853</v>
      </c>
    </row>
    <row r="103" spans="1:2" x14ac:dyDescent="0.25">
      <c r="A103" s="88" t="s">
        <v>18</v>
      </c>
      <c r="B103" s="88">
        <v>5854</v>
      </c>
    </row>
    <row r="104" spans="1:2" x14ac:dyDescent="0.25">
      <c r="A104" s="88" t="s">
        <v>352</v>
      </c>
      <c r="B104" s="88">
        <v>5624</v>
      </c>
    </row>
    <row r="105" spans="1:2" x14ac:dyDescent="0.25">
      <c r="A105" s="88" t="s">
        <v>183</v>
      </c>
      <c r="B105" s="88">
        <v>5663</v>
      </c>
    </row>
    <row r="106" spans="1:2" x14ac:dyDescent="0.25">
      <c r="A106" s="88" t="s">
        <v>53</v>
      </c>
      <c r="B106" s="88">
        <v>5904</v>
      </c>
    </row>
    <row r="107" spans="1:2" x14ac:dyDescent="0.25">
      <c r="A107" s="88" t="s">
        <v>34</v>
      </c>
      <c r="B107" s="88">
        <v>5553</v>
      </c>
    </row>
    <row r="108" spans="1:2" x14ac:dyDescent="0.25">
      <c r="A108" s="88" t="s">
        <v>316</v>
      </c>
      <c r="B108" s="88">
        <v>5812</v>
      </c>
    </row>
    <row r="109" spans="1:2" x14ac:dyDescent="0.25">
      <c r="A109" s="88" t="s">
        <v>54</v>
      </c>
      <c r="B109" s="88">
        <v>5905</v>
      </c>
    </row>
    <row r="110" spans="1:2" x14ac:dyDescent="0.25">
      <c r="A110" s="88" t="s">
        <v>186</v>
      </c>
      <c r="B110" s="88">
        <v>5882</v>
      </c>
    </row>
    <row r="111" spans="1:2" x14ac:dyDescent="0.25">
      <c r="A111" s="88" t="s">
        <v>12</v>
      </c>
      <c r="B111" s="88">
        <v>5841</v>
      </c>
    </row>
    <row r="112" spans="1:2" x14ac:dyDescent="0.25">
      <c r="A112" s="88" t="s">
        <v>198</v>
      </c>
      <c r="B112" s="88">
        <v>5707</v>
      </c>
    </row>
    <row r="113" spans="1:2" x14ac:dyDescent="0.25">
      <c r="A113" s="88" t="s">
        <v>199</v>
      </c>
      <c r="B113" s="88">
        <v>5708</v>
      </c>
    </row>
    <row r="114" spans="1:2" x14ac:dyDescent="0.25">
      <c r="A114" s="88" t="s">
        <v>55</v>
      </c>
      <c r="B114" s="88">
        <v>5907</v>
      </c>
    </row>
    <row r="115" spans="1:2" x14ac:dyDescent="0.25">
      <c r="A115" s="88" t="s">
        <v>307</v>
      </c>
      <c r="B115" s="88">
        <v>5475</v>
      </c>
    </row>
    <row r="116" spans="1:2" x14ac:dyDescent="0.25">
      <c r="A116" s="88" t="s">
        <v>221</v>
      </c>
      <c r="B116" s="88">
        <v>5627</v>
      </c>
    </row>
    <row r="117" spans="1:2" x14ac:dyDescent="0.25">
      <c r="A117" s="88" t="s">
        <v>85</v>
      </c>
      <c r="B117" s="88">
        <v>5665</v>
      </c>
    </row>
    <row r="118" spans="1:2" x14ac:dyDescent="0.25">
      <c r="A118" s="88" t="s">
        <v>233</v>
      </c>
      <c r="B118" s="88">
        <v>5749</v>
      </c>
    </row>
    <row r="119" spans="1:2" x14ac:dyDescent="0.25">
      <c r="A119" s="88" t="s">
        <v>56</v>
      </c>
      <c r="B119" s="88">
        <v>5908</v>
      </c>
    </row>
    <row r="120" spans="1:2" x14ac:dyDescent="0.25">
      <c r="A120" s="88" t="s">
        <v>57</v>
      </c>
      <c r="B120" s="88">
        <v>5909</v>
      </c>
    </row>
    <row r="121" spans="1:2" x14ac:dyDescent="0.25">
      <c r="A121" s="88" t="s">
        <v>319</v>
      </c>
      <c r="B121" s="88">
        <v>5582</v>
      </c>
    </row>
    <row r="122" spans="1:2" x14ac:dyDescent="0.25">
      <c r="A122" s="88" t="s">
        <v>200</v>
      </c>
      <c r="B122" s="88">
        <v>5709</v>
      </c>
    </row>
    <row r="123" spans="1:2" x14ac:dyDescent="0.25">
      <c r="A123" s="88" t="s">
        <v>100</v>
      </c>
      <c r="B123" s="88">
        <v>5403</v>
      </c>
    </row>
    <row r="124" spans="1:2" x14ac:dyDescent="0.25">
      <c r="A124" s="88" t="s">
        <v>308</v>
      </c>
      <c r="B124" s="88">
        <v>5476</v>
      </c>
    </row>
    <row r="125" spans="1:2" x14ac:dyDescent="0.25">
      <c r="A125" s="88" t="s">
        <v>317</v>
      </c>
      <c r="B125" s="88">
        <v>5813</v>
      </c>
    </row>
    <row r="126" spans="1:2" x14ac:dyDescent="0.25">
      <c r="A126" s="88" t="s">
        <v>254</v>
      </c>
      <c r="B126" s="88">
        <v>5601</v>
      </c>
    </row>
    <row r="127" spans="1:2" x14ac:dyDescent="0.25">
      <c r="A127" s="88" t="s">
        <v>222</v>
      </c>
      <c r="B127" s="88">
        <v>5628</v>
      </c>
    </row>
    <row r="128" spans="1:2" x14ac:dyDescent="0.25">
      <c r="A128" s="88" t="s">
        <v>134</v>
      </c>
      <c r="B128" s="88">
        <v>5629</v>
      </c>
    </row>
    <row r="129" spans="1:2" x14ac:dyDescent="0.25">
      <c r="A129" s="88" t="s">
        <v>201</v>
      </c>
      <c r="B129" s="88">
        <v>5710</v>
      </c>
    </row>
    <row r="130" spans="1:2" x14ac:dyDescent="0.25">
      <c r="A130" s="88" t="s">
        <v>202</v>
      </c>
      <c r="B130" s="88">
        <v>5711</v>
      </c>
    </row>
    <row r="131" spans="1:2" x14ac:dyDescent="0.25">
      <c r="A131" s="88" t="s">
        <v>35</v>
      </c>
      <c r="B131" s="88">
        <v>5554</v>
      </c>
    </row>
    <row r="132" spans="1:2" x14ac:dyDescent="0.25">
      <c r="A132" s="88" t="s">
        <v>203</v>
      </c>
      <c r="B132" s="88">
        <v>5712</v>
      </c>
    </row>
    <row r="133" spans="1:2" x14ac:dyDescent="0.25">
      <c r="A133" s="88" t="s">
        <v>101</v>
      </c>
      <c r="B133" s="88">
        <v>5404</v>
      </c>
    </row>
    <row r="134" spans="1:2" x14ac:dyDescent="0.25">
      <c r="A134" s="88" t="s">
        <v>240</v>
      </c>
      <c r="B134" s="88">
        <v>5785</v>
      </c>
    </row>
    <row r="135" spans="1:2" x14ac:dyDescent="0.25">
      <c r="A135" s="88" t="s">
        <v>36</v>
      </c>
      <c r="B135" s="88">
        <v>5555</v>
      </c>
    </row>
    <row r="136" spans="1:2" x14ac:dyDescent="0.25">
      <c r="A136" s="88" t="s">
        <v>5</v>
      </c>
      <c r="B136" s="88">
        <v>5816</v>
      </c>
    </row>
    <row r="137" spans="1:2" x14ac:dyDescent="0.25">
      <c r="A137" s="88" t="s">
        <v>187</v>
      </c>
      <c r="B137" s="88">
        <v>5883</v>
      </c>
    </row>
    <row r="138" spans="1:2" x14ac:dyDescent="0.25">
      <c r="A138" s="88" t="s">
        <v>45</v>
      </c>
      <c r="B138" s="88">
        <v>5884</v>
      </c>
    </row>
    <row r="139" spans="1:2" x14ac:dyDescent="0.25">
      <c r="A139" s="88" t="s">
        <v>309</v>
      </c>
      <c r="B139" s="88">
        <v>5477</v>
      </c>
    </row>
    <row r="140" spans="1:2" x14ac:dyDescent="0.25">
      <c r="A140" s="88" t="s">
        <v>204</v>
      </c>
      <c r="B140" s="88">
        <v>5713</v>
      </c>
    </row>
    <row r="141" spans="1:2" x14ac:dyDescent="0.25">
      <c r="A141" s="88" t="s">
        <v>205</v>
      </c>
      <c r="B141" s="88">
        <v>5714</v>
      </c>
    </row>
    <row r="142" spans="1:2" x14ac:dyDescent="0.25">
      <c r="A142" s="88" t="s">
        <v>320</v>
      </c>
      <c r="B142" s="88">
        <v>5583</v>
      </c>
    </row>
    <row r="143" spans="1:2" x14ac:dyDescent="0.25">
      <c r="A143" s="88" t="s">
        <v>58</v>
      </c>
      <c r="B143" s="88">
        <v>5910</v>
      </c>
    </row>
    <row r="144" spans="1:2" x14ac:dyDescent="0.25">
      <c r="A144" s="88" t="s">
        <v>281</v>
      </c>
      <c r="B144" s="88">
        <v>5752</v>
      </c>
    </row>
    <row r="145" spans="1:2" x14ac:dyDescent="0.25">
      <c r="A145" s="88" t="s">
        <v>215</v>
      </c>
      <c r="B145" s="88">
        <v>5479</v>
      </c>
    </row>
    <row r="146" spans="1:2" x14ac:dyDescent="0.25">
      <c r="A146" s="88" t="s">
        <v>59</v>
      </c>
      <c r="B146" s="88">
        <v>5911</v>
      </c>
    </row>
    <row r="147" spans="1:2" x14ac:dyDescent="0.25">
      <c r="A147" s="88" t="s">
        <v>296</v>
      </c>
      <c r="B147" s="88">
        <v>5456</v>
      </c>
    </row>
    <row r="148" spans="1:2" x14ac:dyDescent="0.25">
      <c r="A148" s="88" t="s">
        <v>161</v>
      </c>
      <c r="B148" s="88">
        <v>5516</v>
      </c>
    </row>
    <row r="149" spans="1:2" x14ac:dyDescent="0.25">
      <c r="A149" s="88" t="s">
        <v>86</v>
      </c>
      <c r="B149" s="88">
        <v>5669</v>
      </c>
    </row>
    <row r="150" spans="1:2" x14ac:dyDescent="0.25">
      <c r="A150" s="88" t="s">
        <v>216</v>
      </c>
      <c r="B150" s="88">
        <v>5480</v>
      </c>
    </row>
    <row r="151" spans="1:2" x14ac:dyDescent="0.25">
      <c r="A151" s="88" t="s">
        <v>60</v>
      </c>
      <c r="B151" s="88">
        <v>5912</v>
      </c>
    </row>
    <row r="152" spans="1:2" x14ac:dyDescent="0.25">
      <c r="A152" s="88" t="s">
        <v>135</v>
      </c>
      <c r="B152" s="88">
        <v>5631</v>
      </c>
    </row>
    <row r="153" spans="1:2" x14ac:dyDescent="0.25">
      <c r="A153" s="88" t="s">
        <v>136</v>
      </c>
      <c r="B153" s="88">
        <v>5632</v>
      </c>
    </row>
    <row r="154" spans="1:2" x14ac:dyDescent="0.25">
      <c r="A154" s="88" t="s">
        <v>217</v>
      </c>
      <c r="B154" s="88">
        <v>5481</v>
      </c>
    </row>
    <row r="155" spans="1:2" x14ac:dyDescent="0.25">
      <c r="A155" s="88" t="s">
        <v>87</v>
      </c>
      <c r="B155" s="88">
        <v>5671</v>
      </c>
    </row>
    <row r="156" spans="1:2" x14ac:dyDescent="0.25">
      <c r="A156" s="88" t="s">
        <v>61</v>
      </c>
      <c r="B156" s="88">
        <v>5913</v>
      </c>
    </row>
    <row r="157" spans="1:2" x14ac:dyDescent="0.25">
      <c r="A157" s="88" t="s">
        <v>206</v>
      </c>
      <c r="B157" s="88">
        <v>5715</v>
      </c>
    </row>
    <row r="158" spans="1:2" x14ac:dyDescent="0.25">
      <c r="A158" s="88" t="s">
        <v>19</v>
      </c>
      <c r="B158" s="88">
        <v>5855</v>
      </c>
    </row>
    <row r="159" spans="1:2" x14ac:dyDescent="0.25">
      <c r="A159" s="88" t="s">
        <v>162</v>
      </c>
      <c r="B159" s="88">
        <v>5518</v>
      </c>
    </row>
    <row r="160" spans="1:2" x14ac:dyDescent="0.25">
      <c r="A160" s="88" t="s">
        <v>137</v>
      </c>
      <c r="B160" s="88">
        <v>5633</v>
      </c>
    </row>
    <row r="161" spans="1:2" x14ac:dyDescent="0.25">
      <c r="A161" s="88" t="s">
        <v>138</v>
      </c>
      <c r="B161" s="88">
        <v>5634</v>
      </c>
    </row>
    <row r="162" spans="1:2" x14ac:dyDescent="0.25">
      <c r="A162" s="88" t="s">
        <v>218</v>
      </c>
      <c r="B162" s="88">
        <v>5482</v>
      </c>
    </row>
    <row r="163" spans="1:2" x14ac:dyDescent="0.25">
      <c r="A163" s="88" t="s">
        <v>139</v>
      </c>
      <c r="B163" s="88">
        <v>5635</v>
      </c>
    </row>
    <row r="164" spans="1:2" x14ac:dyDescent="0.25">
      <c r="A164" s="88" t="s">
        <v>321</v>
      </c>
      <c r="B164" s="88">
        <v>5584</v>
      </c>
    </row>
    <row r="165" spans="1:2" x14ac:dyDescent="0.25">
      <c r="A165" s="88" t="s">
        <v>62</v>
      </c>
      <c r="B165" s="88">
        <v>5914</v>
      </c>
    </row>
    <row r="166" spans="1:2" x14ac:dyDescent="0.25">
      <c r="A166" s="88" t="s">
        <v>20</v>
      </c>
      <c r="B166" s="88">
        <v>5856</v>
      </c>
    </row>
    <row r="167" spans="1:2" x14ac:dyDescent="0.25">
      <c r="A167" s="88" t="s">
        <v>163</v>
      </c>
      <c r="B167" s="88">
        <v>5520</v>
      </c>
    </row>
    <row r="168" spans="1:2" x14ac:dyDescent="0.25">
      <c r="A168" s="88" t="s">
        <v>164</v>
      </c>
      <c r="B168" s="88">
        <v>5521</v>
      </c>
    </row>
    <row r="169" spans="1:2" x14ac:dyDescent="0.25">
      <c r="A169" s="88" t="s">
        <v>140</v>
      </c>
      <c r="B169" s="88">
        <v>5636</v>
      </c>
    </row>
    <row r="170" spans="1:2" x14ac:dyDescent="0.25">
      <c r="A170" s="88" t="s">
        <v>207</v>
      </c>
      <c r="B170" s="88">
        <v>5716</v>
      </c>
    </row>
    <row r="171" spans="1:2" x14ac:dyDescent="0.25">
      <c r="A171" s="88" t="s">
        <v>297</v>
      </c>
      <c r="B171" s="88">
        <v>5458</v>
      </c>
    </row>
    <row r="172" spans="1:2" x14ac:dyDescent="0.25">
      <c r="A172" s="88" t="s">
        <v>290</v>
      </c>
      <c r="B172" s="88">
        <v>5427</v>
      </c>
    </row>
    <row r="173" spans="1:2" x14ac:dyDescent="0.25">
      <c r="A173" s="88" t="s">
        <v>125</v>
      </c>
      <c r="B173" s="88">
        <v>5483</v>
      </c>
    </row>
    <row r="174" spans="1:2" x14ac:dyDescent="0.25">
      <c r="A174" s="88" t="s">
        <v>165</v>
      </c>
      <c r="B174" s="88">
        <v>5522</v>
      </c>
    </row>
    <row r="175" spans="1:2" x14ac:dyDescent="0.25">
      <c r="A175" s="88" t="s">
        <v>37</v>
      </c>
      <c r="B175" s="88">
        <v>5556</v>
      </c>
    </row>
    <row r="176" spans="1:2" x14ac:dyDescent="0.25">
      <c r="A176" s="88" t="s">
        <v>38</v>
      </c>
      <c r="B176" s="88">
        <v>5557</v>
      </c>
    </row>
    <row r="177" spans="1:2" x14ac:dyDescent="0.25">
      <c r="A177" s="88" t="s">
        <v>128</v>
      </c>
      <c r="B177" s="88">
        <v>5604</v>
      </c>
    </row>
    <row r="178" spans="1:2" x14ac:dyDescent="0.25">
      <c r="A178" s="88" t="s">
        <v>208</v>
      </c>
      <c r="B178" s="88">
        <v>5717</v>
      </c>
    </row>
    <row r="179" spans="1:2" x14ac:dyDescent="0.25">
      <c r="A179" s="88" t="s">
        <v>166</v>
      </c>
      <c r="B179" s="88">
        <v>5523</v>
      </c>
    </row>
    <row r="180" spans="1:2" x14ac:dyDescent="0.25">
      <c r="A180" s="88" t="s">
        <v>209</v>
      </c>
      <c r="B180" s="88">
        <v>5718</v>
      </c>
    </row>
    <row r="181" spans="1:2" x14ac:dyDescent="0.25">
      <c r="A181" s="88" t="s">
        <v>39</v>
      </c>
      <c r="B181" s="88">
        <v>5559</v>
      </c>
    </row>
    <row r="182" spans="1:2" x14ac:dyDescent="0.25">
      <c r="A182" s="88" t="s">
        <v>21</v>
      </c>
      <c r="B182" s="88">
        <v>5857</v>
      </c>
    </row>
    <row r="183" spans="1:2" x14ac:dyDescent="0.25">
      <c r="A183" s="88" t="s">
        <v>291</v>
      </c>
      <c r="B183" s="88">
        <v>5428</v>
      </c>
    </row>
    <row r="184" spans="1:2" x14ac:dyDescent="0.25">
      <c r="A184" s="88" t="s">
        <v>210</v>
      </c>
      <c r="B184" s="88">
        <v>5719</v>
      </c>
    </row>
    <row r="185" spans="1:2" x14ac:dyDescent="0.25">
      <c r="A185" s="88" t="s">
        <v>211</v>
      </c>
      <c r="B185" s="88">
        <v>5720</v>
      </c>
    </row>
    <row r="186" spans="1:2" x14ac:dyDescent="0.25">
      <c r="A186" s="88" t="s">
        <v>212</v>
      </c>
      <c r="B186" s="88">
        <v>5721</v>
      </c>
    </row>
    <row r="187" spans="1:2" x14ac:dyDescent="0.25">
      <c r="A187" s="88" t="s">
        <v>126</v>
      </c>
      <c r="B187" s="88">
        <v>5484</v>
      </c>
    </row>
    <row r="188" spans="1:2" x14ac:dyDescent="0.25">
      <c r="A188" s="88" t="s">
        <v>346</v>
      </c>
      <c r="B188" s="88">
        <v>5541</v>
      </c>
    </row>
    <row r="189" spans="1:2" x14ac:dyDescent="0.25">
      <c r="A189" s="88" t="s">
        <v>127</v>
      </c>
      <c r="B189" s="88">
        <v>5485</v>
      </c>
    </row>
    <row r="190" spans="1:2" x14ac:dyDescent="0.25">
      <c r="A190" s="88" t="s">
        <v>6</v>
      </c>
      <c r="B190" s="88">
        <v>5817</v>
      </c>
    </row>
    <row r="191" spans="1:2" x14ac:dyDescent="0.25">
      <c r="A191" s="88" t="s">
        <v>40</v>
      </c>
      <c r="B191" s="88">
        <v>5560</v>
      </c>
    </row>
    <row r="192" spans="1:2" x14ac:dyDescent="0.25">
      <c r="A192" s="88" t="s">
        <v>41</v>
      </c>
      <c r="B192" s="88">
        <v>5561</v>
      </c>
    </row>
    <row r="193" spans="1:2" x14ac:dyDescent="0.25">
      <c r="A193" s="88" t="s">
        <v>213</v>
      </c>
      <c r="B193" s="88">
        <v>5722</v>
      </c>
    </row>
    <row r="194" spans="1:2" x14ac:dyDescent="0.25">
      <c r="A194" s="88" t="s">
        <v>102</v>
      </c>
      <c r="B194" s="88">
        <v>5405</v>
      </c>
    </row>
    <row r="195" spans="1:2" x14ac:dyDescent="0.25">
      <c r="A195" s="88" t="s">
        <v>399</v>
      </c>
      <c r="B195" s="88">
        <v>5656</v>
      </c>
    </row>
    <row r="196" spans="1:2" x14ac:dyDescent="0.25">
      <c r="A196" s="88" t="s">
        <v>7</v>
      </c>
      <c r="B196" s="88">
        <v>5819</v>
      </c>
    </row>
    <row r="197" spans="1:2" x14ac:dyDescent="0.25">
      <c r="A197" s="88" t="s">
        <v>88</v>
      </c>
      <c r="B197" s="88">
        <v>5673</v>
      </c>
    </row>
    <row r="198" spans="1:2" x14ac:dyDescent="0.25">
      <c r="A198" s="88" t="s">
        <v>46</v>
      </c>
      <c r="B198" s="88">
        <v>5885</v>
      </c>
    </row>
    <row r="199" spans="1:2" x14ac:dyDescent="0.25">
      <c r="A199" s="88" t="s">
        <v>348</v>
      </c>
      <c r="B199" s="88">
        <v>5804</v>
      </c>
    </row>
    <row r="200" spans="1:2" x14ac:dyDescent="0.25">
      <c r="A200" s="88" t="s">
        <v>375</v>
      </c>
      <c r="B200" s="88">
        <v>5806</v>
      </c>
    </row>
    <row r="201" spans="1:2" x14ac:dyDescent="0.25">
      <c r="A201" s="88" t="s">
        <v>322</v>
      </c>
      <c r="B201" s="88">
        <v>5585</v>
      </c>
    </row>
    <row r="202" spans="1:2" x14ac:dyDescent="0.25">
      <c r="A202" s="88" t="s">
        <v>282</v>
      </c>
      <c r="B202" s="88">
        <v>5754</v>
      </c>
    </row>
    <row r="203" spans="1:2" x14ac:dyDescent="0.25">
      <c r="A203" s="88" t="s">
        <v>189</v>
      </c>
      <c r="B203" s="88">
        <v>5474</v>
      </c>
    </row>
    <row r="204" spans="1:2" x14ac:dyDescent="0.25">
      <c r="A204" s="88" t="s">
        <v>192</v>
      </c>
      <c r="B204" s="88">
        <v>5758</v>
      </c>
    </row>
    <row r="205" spans="1:2" x14ac:dyDescent="0.25">
      <c r="A205" s="88" t="s">
        <v>269</v>
      </c>
      <c r="B205" s="88">
        <v>5726</v>
      </c>
    </row>
    <row r="206" spans="1:2" x14ac:dyDescent="0.25">
      <c r="A206" s="88" t="s">
        <v>153</v>
      </c>
      <c r="B206" s="88">
        <v>5498</v>
      </c>
    </row>
    <row r="207" spans="1:2" x14ac:dyDescent="0.25">
      <c r="A207" s="88" t="s">
        <v>48</v>
      </c>
      <c r="B207" s="88">
        <v>5889</v>
      </c>
    </row>
    <row r="208" spans="1:2" x14ac:dyDescent="0.25">
      <c r="A208" s="88" t="s">
        <v>28</v>
      </c>
      <c r="B208" s="88">
        <v>5871</v>
      </c>
    </row>
    <row r="209" spans="1:2" x14ac:dyDescent="0.25">
      <c r="A209" s="88" t="s">
        <v>276</v>
      </c>
      <c r="B209" s="88">
        <v>5741</v>
      </c>
    </row>
    <row r="210" spans="1:2" x14ac:dyDescent="0.25">
      <c r="A210" s="88" t="s">
        <v>108</v>
      </c>
      <c r="B210" s="88">
        <v>5586</v>
      </c>
    </row>
    <row r="211" spans="1:2" x14ac:dyDescent="0.25">
      <c r="A211" s="88" t="s">
        <v>103</v>
      </c>
      <c r="B211" s="88">
        <v>5406</v>
      </c>
    </row>
    <row r="212" spans="1:2" x14ac:dyDescent="0.25">
      <c r="A212" s="88" t="s">
        <v>141</v>
      </c>
      <c r="B212" s="88">
        <v>5637</v>
      </c>
    </row>
    <row r="213" spans="1:2" x14ac:dyDescent="0.25">
      <c r="A213" s="88" t="s">
        <v>184</v>
      </c>
      <c r="B213" s="88">
        <v>5872</v>
      </c>
    </row>
    <row r="214" spans="1:2" x14ac:dyDescent="0.25">
      <c r="A214" s="88" t="s">
        <v>185</v>
      </c>
      <c r="B214" s="88">
        <v>5873</v>
      </c>
    </row>
    <row r="215" spans="1:2" x14ac:dyDescent="0.25">
      <c r="A215" s="88" t="s">
        <v>109</v>
      </c>
      <c r="B215" s="88">
        <v>5587</v>
      </c>
    </row>
    <row r="216" spans="1:2" x14ac:dyDescent="0.25">
      <c r="A216" s="88" t="s">
        <v>274</v>
      </c>
      <c r="B216" s="88">
        <v>5731</v>
      </c>
    </row>
    <row r="217" spans="1:2" x14ac:dyDescent="0.25">
      <c r="A217" s="88" t="s">
        <v>234</v>
      </c>
      <c r="B217" s="88">
        <v>5750</v>
      </c>
    </row>
    <row r="218" spans="1:2" x14ac:dyDescent="0.25">
      <c r="A218" s="88" t="s">
        <v>104</v>
      </c>
      <c r="B218" s="88">
        <v>5407</v>
      </c>
    </row>
    <row r="219" spans="1:2" x14ac:dyDescent="0.25">
      <c r="A219" s="88" t="s">
        <v>283</v>
      </c>
      <c r="B219" s="88">
        <v>5755</v>
      </c>
    </row>
    <row r="220" spans="1:2" x14ac:dyDescent="0.25">
      <c r="A220" s="88" t="s">
        <v>0</v>
      </c>
      <c r="B220" s="88">
        <v>5486</v>
      </c>
    </row>
    <row r="221" spans="1:2" x14ac:dyDescent="0.25">
      <c r="A221" s="88" t="s">
        <v>142</v>
      </c>
      <c r="B221" s="88">
        <v>5638</v>
      </c>
    </row>
    <row r="222" spans="1:2" x14ac:dyDescent="0.25">
      <c r="A222" s="88" t="s">
        <v>303</v>
      </c>
      <c r="B222" s="88">
        <v>5429</v>
      </c>
    </row>
    <row r="223" spans="1:2" x14ac:dyDescent="0.25">
      <c r="A223" s="88" t="s">
        <v>89</v>
      </c>
      <c r="B223" s="88">
        <v>5674</v>
      </c>
    </row>
    <row r="224" spans="1:2" x14ac:dyDescent="0.25">
      <c r="A224" s="88" t="s">
        <v>90</v>
      </c>
      <c r="B224" s="88">
        <v>5675</v>
      </c>
    </row>
    <row r="225" spans="1:2" x14ac:dyDescent="0.25">
      <c r="A225" s="88" t="s">
        <v>22</v>
      </c>
      <c r="B225" s="88">
        <v>5858</v>
      </c>
    </row>
    <row r="226" spans="1:2" x14ac:dyDescent="0.25">
      <c r="A226" s="88" t="s">
        <v>143</v>
      </c>
      <c r="B226" s="88">
        <v>5639</v>
      </c>
    </row>
    <row r="227" spans="1:2" x14ac:dyDescent="0.25">
      <c r="A227" s="88" t="s">
        <v>1</v>
      </c>
      <c r="B227" s="88">
        <v>5487</v>
      </c>
    </row>
    <row r="228" spans="1:2" x14ac:dyDescent="0.25">
      <c r="A228" s="88" t="s">
        <v>144</v>
      </c>
      <c r="B228" s="88">
        <v>5640</v>
      </c>
    </row>
    <row r="229" spans="1:2" x14ac:dyDescent="0.25">
      <c r="A229" s="88" t="s">
        <v>129</v>
      </c>
      <c r="B229" s="88">
        <v>5606</v>
      </c>
    </row>
    <row r="230" spans="1:2" x14ac:dyDescent="0.25">
      <c r="A230" s="88" t="s">
        <v>241</v>
      </c>
      <c r="B230" s="88">
        <v>5790</v>
      </c>
    </row>
    <row r="231" spans="1:2" x14ac:dyDescent="0.25">
      <c r="A231" s="88" t="s">
        <v>304</v>
      </c>
      <c r="B231" s="88">
        <v>5430</v>
      </c>
    </row>
    <row r="232" spans="1:2" x14ac:dyDescent="0.25">
      <c r="A232" s="88" t="s">
        <v>323</v>
      </c>
      <c r="B232" s="88">
        <v>5919</v>
      </c>
    </row>
    <row r="233" spans="1:2" x14ac:dyDescent="0.25">
      <c r="A233" s="88" t="s">
        <v>42</v>
      </c>
      <c r="B233" s="88">
        <v>5562</v>
      </c>
    </row>
    <row r="234" spans="1:2" x14ac:dyDescent="0.25">
      <c r="A234" s="88" t="s">
        <v>2</v>
      </c>
      <c r="B234" s="88">
        <v>5488</v>
      </c>
    </row>
    <row r="235" spans="1:2" x14ac:dyDescent="0.25">
      <c r="A235" s="88" t="s">
        <v>3</v>
      </c>
      <c r="B235" s="88">
        <v>5489</v>
      </c>
    </row>
    <row r="236" spans="1:2" x14ac:dyDescent="0.25">
      <c r="A236" s="88" t="s">
        <v>214</v>
      </c>
      <c r="B236" s="88">
        <v>5723</v>
      </c>
    </row>
    <row r="237" spans="1:2" x14ac:dyDescent="0.25">
      <c r="A237" s="88" t="s">
        <v>8</v>
      </c>
      <c r="B237" s="88">
        <v>5821</v>
      </c>
    </row>
    <row r="238" spans="1:2" x14ac:dyDescent="0.25">
      <c r="A238" s="88" t="s">
        <v>4</v>
      </c>
      <c r="B238" s="88">
        <v>5490</v>
      </c>
    </row>
    <row r="239" spans="1:2" x14ac:dyDescent="0.25">
      <c r="A239" s="88" t="s">
        <v>305</v>
      </c>
      <c r="B239" s="88">
        <v>5431</v>
      </c>
    </row>
    <row r="240" spans="1:2" x14ac:dyDescent="0.25">
      <c r="A240" s="88" t="s">
        <v>324</v>
      </c>
      <c r="B240" s="88">
        <v>5921</v>
      </c>
    </row>
    <row r="241" spans="1:2" x14ac:dyDescent="0.25">
      <c r="A241" s="88" t="s">
        <v>235</v>
      </c>
      <c r="B241" s="88">
        <v>5922</v>
      </c>
    </row>
    <row r="242" spans="1:2" x14ac:dyDescent="0.25">
      <c r="A242" s="88" t="s">
        <v>354</v>
      </c>
      <c r="B242" s="88">
        <v>5693</v>
      </c>
    </row>
    <row r="243" spans="1:2" x14ac:dyDescent="0.25">
      <c r="A243" s="88" t="s">
        <v>284</v>
      </c>
      <c r="B243" s="88">
        <v>5756</v>
      </c>
    </row>
    <row r="244" spans="1:2" x14ac:dyDescent="0.25">
      <c r="A244" s="88" t="s">
        <v>347</v>
      </c>
      <c r="B244" s="88">
        <v>5540</v>
      </c>
    </row>
    <row r="245" spans="1:2" x14ac:dyDescent="0.25">
      <c r="A245" s="88" t="s">
        <v>147</v>
      </c>
      <c r="B245" s="88">
        <v>5491</v>
      </c>
    </row>
    <row r="246" spans="1:2" x14ac:dyDescent="0.25">
      <c r="A246" s="88" t="s">
        <v>242</v>
      </c>
      <c r="B246" s="88">
        <v>5792</v>
      </c>
    </row>
    <row r="247" spans="1:2" x14ac:dyDescent="0.25">
      <c r="A247" s="88" t="s">
        <v>47</v>
      </c>
      <c r="B247" s="88">
        <v>5886</v>
      </c>
    </row>
    <row r="248" spans="1:2" x14ac:dyDescent="0.25">
      <c r="A248" s="88" t="s">
        <v>148</v>
      </c>
      <c r="B248" s="88">
        <v>5492</v>
      </c>
    </row>
    <row r="249" spans="1:2" x14ac:dyDescent="0.25">
      <c r="A249" s="88" t="s">
        <v>23</v>
      </c>
      <c r="B249" s="88">
        <v>5859</v>
      </c>
    </row>
    <row r="250" spans="1:2" x14ac:dyDescent="0.25">
      <c r="A250" s="88" t="s">
        <v>145</v>
      </c>
      <c r="B250" s="88">
        <v>5642</v>
      </c>
    </row>
    <row r="251" spans="1:2" x14ac:dyDescent="0.25">
      <c r="A251" s="88" t="s">
        <v>167</v>
      </c>
      <c r="B251" s="88">
        <v>5527</v>
      </c>
    </row>
    <row r="252" spans="1:2" x14ac:dyDescent="0.25">
      <c r="A252" s="88" t="s">
        <v>91</v>
      </c>
      <c r="B252" s="88">
        <v>5678</v>
      </c>
    </row>
    <row r="253" spans="1:2" x14ac:dyDescent="0.25">
      <c r="A253" s="88" t="s">
        <v>245</v>
      </c>
      <c r="B253" s="88">
        <v>5563</v>
      </c>
    </row>
    <row r="254" spans="1:2" x14ac:dyDescent="0.25">
      <c r="A254" s="88" t="s">
        <v>246</v>
      </c>
      <c r="B254" s="88">
        <v>5564</v>
      </c>
    </row>
    <row r="255" spans="1:2" x14ac:dyDescent="0.25">
      <c r="A255" s="88" t="s">
        <v>105</v>
      </c>
      <c r="B255" s="88">
        <v>5408</v>
      </c>
    </row>
    <row r="256" spans="1:2" x14ac:dyDescent="0.25">
      <c r="A256" s="88" t="s">
        <v>63</v>
      </c>
      <c r="B256" s="88">
        <v>5724</v>
      </c>
    </row>
    <row r="257" spans="1:2" x14ac:dyDescent="0.25">
      <c r="A257" s="88" t="s">
        <v>92</v>
      </c>
      <c r="B257" s="88">
        <v>5680</v>
      </c>
    </row>
    <row r="258" spans="1:2" x14ac:dyDescent="0.25">
      <c r="A258" s="88" t="s">
        <v>106</v>
      </c>
      <c r="B258" s="88">
        <v>5409</v>
      </c>
    </row>
    <row r="259" spans="1:2" x14ac:dyDescent="0.25">
      <c r="A259" s="88" t="s">
        <v>247</v>
      </c>
      <c r="B259" s="88">
        <v>5565</v>
      </c>
    </row>
    <row r="260" spans="1:2" x14ac:dyDescent="0.25">
      <c r="A260" s="88" t="s">
        <v>236</v>
      </c>
      <c r="B260" s="88">
        <v>5923</v>
      </c>
    </row>
    <row r="261" spans="1:2" x14ac:dyDescent="0.25">
      <c r="A261" s="88" t="s">
        <v>285</v>
      </c>
      <c r="B261" s="88">
        <v>5757</v>
      </c>
    </row>
    <row r="262" spans="1:2" x14ac:dyDescent="0.25">
      <c r="A262" s="88" t="s">
        <v>237</v>
      </c>
      <c r="B262" s="88">
        <v>5924</v>
      </c>
    </row>
    <row r="263" spans="1:2" x14ac:dyDescent="0.25">
      <c r="A263" s="88" t="s">
        <v>116</v>
      </c>
      <c r="B263" s="88">
        <v>5410</v>
      </c>
    </row>
    <row r="264" spans="1:2" x14ac:dyDescent="0.25">
      <c r="A264" s="88" t="s">
        <v>117</v>
      </c>
      <c r="B264" s="88">
        <v>5411</v>
      </c>
    </row>
    <row r="265" spans="1:2" x14ac:dyDescent="0.25">
      <c r="A265" s="88" t="s">
        <v>149</v>
      </c>
      <c r="B265" s="88">
        <v>5493</v>
      </c>
    </row>
    <row r="266" spans="1:2" x14ac:dyDescent="0.25">
      <c r="A266" s="88" t="s">
        <v>350</v>
      </c>
      <c r="B266" s="88">
        <v>5805</v>
      </c>
    </row>
    <row r="267" spans="1:2" x14ac:dyDescent="0.25">
      <c r="A267" s="88" t="s">
        <v>328</v>
      </c>
      <c r="B267" s="88">
        <v>5925</v>
      </c>
    </row>
    <row r="268" spans="1:2" x14ac:dyDescent="0.25">
      <c r="A268" s="88" t="s">
        <v>168</v>
      </c>
      <c r="B268" s="88">
        <v>5529</v>
      </c>
    </row>
    <row r="269" spans="1:2" x14ac:dyDescent="0.25">
      <c r="A269" s="88" t="s">
        <v>169</v>
      </c>
      <c r="B269" s="88">
        <v>5530</v>
      </c>
    </row>
    <row r="270" spans="1:2" x14ac:dyDescent="0.25">
      <c r="A270" s="88" t="s">
        <v>110</v>
      </c>
      <c r="B270" s="88">
        <v>5588</v>
      </c>
    </row>
    <row r="271" spans="1:2" x14ac:dyDescent="0.25">
      <c r="A271" s="88" t="s">
        <v>9</v>
      </c>
      <c r="B271" s="88">
        <v>5822</v>
      </c>
    </row>
    <row r="272" spans="1:2" x14ac:dyDescent="0.25">
      <c r="A272" s="88" t="s">
        <v>150</v>
      </c>
      <c r="B272" s="88">
        <v>5495</v>
      </c>
    </row>
    <row r="273" spans="1:2" x14ac:dyDescent="0.25">
      <c r="A273" s="88" t="s">
        <v>151</v>
      </c>
      <c r="B273" s="88">
        <v>5496</v>
      </c>
    </row>
    <row r="274" spans="1:2" x14ac:dyDescent="0.25">
      <c r="A274" s="88" t="s">
        <v>170</v>
      </c>
      <c r="B274" s="88">
        <v>5531</v>
      </c>
    </row>
    <row r="275" spans="1:2" x14ac:dyDescent="0.25">
      <c r="A275" s="88" t="s">
        <v>24</v>
      </c>
      <c r="B275" s="88">
        <v>5860</v>
      </c>
    </row>
    <row r="276" spans="1:2" x14ac:dyDescent="0.25">
      <c r="A276" s="88" t="s">
        <v>171</v>
      </c>
      <c r="B276" s="88">
        <v>5533</v>
      </c>
    </row>
    <row r="277" spans="1:2" x14ac:dyDescent="0.25">
      <c r="A277" s="88" t="s">
        <v>152</v>
      </c>
      <c r="B277" s="88">
        <v>5497</v>
      </c>
    </row>
    <row r="278" spans="1:2" x14ac:dyDescent="0.25">
      <c r="A278" s="88" t="s">
        <v>329</v>
      </c>
      <c r="B278" s="88">
        <v>5926</v>
      </c>
    </row>
    <row r="279" spans="1:2" x14ac:dyDescent="0.25">
      <c r="A279" s="88" t="s">
        <v>64</v>
      </c>
      <c r="B279" s="88">
        <v>5725</v>
      </c>
    </row>
    <row r="280" spans="1:2" x14ac:dyDescent="0.25">
      <c r="A280" s="88" t="s">
        <v>193</v>
      </c>
      <c r="B280" s="88">
        <v>5759</v>
      </c>
    </row>
    <row r="281" spans="1:2" x14ac:dyDescent="0.25">
      <c r="A281" s="88" t="s">
        <v>146</v>
      </c>
      <c r="B281" s="88">
        <v>5643</v>
      </c>
    </row>
    <row r="282" spans="1:2" x14ac:dyDescent="0.25">
      <c r="A282" s="88" t="s">
        <v>93</v>
      </c>
      <c r="B282" s="88">
        <v>5683</v>
      </c>
    </row>
    <row r="283" spans="1:2" x14ac:dyDescent="0.25">
      <c r="A283" s="88" t="s">
        <v>111</v>
      </c>
      <c r="B283" s="88">
        <v>5589</v>
      </c>
    </row>
    <row r="284" spans="1:2" x14ac:dyDescent="0.25">
      <c r="A284" s="88" t="s">
        <v>248</v>
      </c>
      <c r="B284" s="88">
        <v>5566</v>
      </c>
    </row>
    <row r="285" spans="1:2" x14ac:dyDescent="0.25">
      <c r="A285" s="88" t="s">
        <v>256</v>
      </c>
      <c r="B285" s="88">
        <v>5607</v>
      </c>
    </row>
    <row r="286" spans="1:2" x14ac:dyDescent="0.25">
      <c r="A286" s="88" t="s">
        <v>112</v>
      </c>
      <c r="B286" s="88">
        <v>5590</v>
      </c>
    </row>
    <row r="287" spans="1:2" x14ac:dyDescent="0.25">
      <c r="A287" s="88" t="s">
        <v>194</v>
      </c>
      <c r="B287" s="88">
        <v>5760</v>
      </c>
    </row>
    <row r="288" spans="1:2" x14ac:dyDescent="0.25">
      <c r="A288" s="88" t="s">
        <v>325</v>
      </c>
      <c r="B288" s="88">
        <v>5591</v>
      </c>
    </row>
    <row r="289" spans="1:2" x14ac:dyDescent="0.25">
      <c r="A289" s="88" t="s">
        <v>118</v>
      </c>
      <c r="B289" s="88">
        <v>5412</v>
      </c>
    </row>
    <row r="290" spans="1:2" x14ac:dyDescent="0.25">
      <c r="A290" s="88" t="s">
        <v>114</v>
      </c>
      <c r="B290" s="88">
        <v>5609</v>
      </c>
    </row>
    <row r="291" spans="1:2" x14ac:dyDescent="0.25">
      <c r="A291" s="88" t="s">
        <v>119</v>
      </c>
      <c r="B291" s="88">
        <v>5413</v>
      </c>
    </row>
    <row r="292" spans="1:2" x14ac:dyDescent="0.25">
      <c r="A292" s="88" t="s">
        <v>25</v>
      </c>
      <c r="B292" s="88">
        <v>5861</v>
      </c>
    </row>
    <row r="293" spans="1:2" x14ac:dyDescent="0.25">
      <c r="A293" s="88" t="s">
        <v>121</v>
      </c>
      <c r="B293" s="88">
        <v>5761</v>
      </c>
    </row>
    <row r="294" spans="1:2" x14ac:dyDescent="0.25">
      <c r="A294" s="88" t="s">
        <v>191</v>
      </c>
      <c r="B294" s="88">
        <v>5592</v>
      </c>
    </row>
    <row r="295" spans="1:2" x14ac:dyDescent="0.25">
      <c r="A295" s="88" t="s">
        <v>263</v>
      </c>
      <c r="B295" s="88">
        <v>5645</v>
      </c>
    </row>
    <row r="296" spans="1:2" x14ac:dyDescent="0.25">
      <c r="A296" s="88" t="s">
        <v>243</v>
      </c>
      <c r="B296" s="88">
        <v>5798</v>
      </c>
    </row>
    <row r="297" spans="1:2" x14ac:dyDescent="0.25">
      <c r="A297" s="88" t="s">
        <v>94</v>
      </c>
      <c r="B297" s="88">
        <v>5684</v>
      </c>
    </row>
    <row r="298" spans="1:2" x14ac:dyDescent="0.25">
      <c r="A298" s="88" t="s">
        <v>13</v>
      </c>
      <c r="B298" s="88">
        <v>5842</v>
      </c>
    </row>
    <row r="299" spans="1:2" x14ac:dyDescent="0.25">
      <c r="A299" s="88" t="s">
        <v>14</v>
      </c>
      <c r="B299" s="88">
        <v>5843</v>
      </c>
    </row>
    <row r="300" spans="1:2" x14ac:dyDescent="0.25">
      <c r="A300" s="88" t="s">
        <v>330</v>
      </c>
      <c r="B300" s="88">
        <v>5928</v>
      </c>
    </row>
    <row r="301" spans="1:2" x14ac:dyDescent="0.25">
      <c r="A301" s="88" t="s">
        <v>172</v>
      </c>
      <c r="B301" s="88">
        <v>5534</v>
      </c>
    </row>
    <row r="302" spans="1:2" x14ac:dyDescent="0.25">
      <c r="A302" s="88" t="s">
        <v>29</v>
      </c>
      <c r="B302" s="88">
        <v>5535</v>
      </c>
    </row>
    <row r="303" spans="1:2" x14ac:dyDescent="0.25">
      <c r="A303" s="88" t="s">
        <v>270</v>
      </c>
      <c r="B303" s="88">
        <v>5727</v>
      </c>
    </row>
    <row r="304" spans="1:2" x14ac:dyDescent="0.25">
      <c r="A304" s="88" t="s">
        <v>107</v>
      </c>
      <c r="B304" s="88">
        <v>5568</v>
      </c>
    </row>
    <row r="305" spans="1:2" x14ac:dyDescent="0.25">
      <c r="A305" s="88" t="s">
        <v>306</v>
      </c>
      <c r="B305" s="88">
        <v>5434</v>
      </c>
    </row>
    <row r="306" spans="1:2" x14ac:dyDescent="0.25">
      <c r="A306" s="88" t="s">
        <v>292</v>
      </c>
      <c r="B306" s="88">
        <v>5435</v>
      </c>
    </row>
    <row r="307" spans="1:2" x14ac:dyDescent="0.25">
      <c r="A307" s="88" t="s">
        <v>293</v>
      </c>
      <c r="B307" s="88">
        <v>5436</v>
      </c>
    </row>
    <row r="308" spans="1:2" x14ac:dyDescent="0.25">
      <c r="A308" s="88" t="s">
        <v>264</v>
      </c>
      <c r="B308" s="88">
        <v>5646</v>
      </c>
    </row>
    <row r="309" spans="1:2" x14ac:dyDescent="0.25">
      <c r="A309" s="88" t="s">
        <v>265</v>
      </c>
      <c r="B309" s="88">
        <v>5648</v>
      </c>
    </row>
    <row r="310" spans="1:2" x14ac:dyDescent="0.25">
      <c r="A310" s="88" t="s">
        <v>294</v>
      </c>
      <c r="B310" s="88">
        <v>5437</v>
      </c>
    </row>
    <row r="311" spans="1:2" x14ac:dyDescent="0.25">
      <c r="A311" s="88" t="s">
        <v>253</v>
      </c>
      <c r="B311" s="88">
        <v>5611</v>
      </c>
    </row>
    <row r="312" spans="1:2" x14ac:dyDescent="0.25">
      <c r="A312" s="88" t="s">
        <v>154</v>
      </c>
      <c r="B312" s="88">
        <v>5499</v>
      </c>
    </row>
    <row r="313" spans="1:2" x14ac:dyDescent="0.25">
      <c r="A313" s="88" t="s">
        <v>122</v>
      </c>
      <c r="B313" s="88">
        <v>5762</v>
      </c>
    </row>
    <row r="314" spans="1:2" x14ac:dyDescent="0.25">
      <c r="A314" s="88" t="s">
        <v>244</v>
      </c>
      <c r="B314" s="88">
        <v>5799</v>
      </c>
    </row>
    <row r="315" spans="1:2" x14ac:dyDescent="0.25">
      <c r="A315" s="88" t="s">
        <v>271</v>
      </c>
      <c r="B315" s="88">
        <v>5728</v>
      </c>
    </row>
    <row r="316" spans="1:2" x14ac:dyDescent="0.25">
      <c r="A316" s="88" t="s">
        <v>115</v>
      </c>
      <c r="B316" s="88">
        <v>5610</v>
      </c>
    </row>
    <row r="317" spans="1:2" x14ac:dyDescent="0.25">
      <c r="A317" s="88" t="s">
        <v>331</v>
      </c>
      <c r="B317" s="88">
        <v>5929</v>
      </c>
    </row>
    <row r="318" spans="1:2" x14ac:dyDescent="0.25">
      <c r="A318" s="88" t="s">
        <v>155</v>
      </c>
      <c r="B318" s="88">
        <v>5501</v>
      </c>
    </row>
    <row r="319" spans="1:2" x14ac:dyDescent="0.25">
      <c r="A319" s="88" t="s">
        <v>332</v>
      </c>
      <c r="B319" s="88">
        <v>5930</v>
      </c>
    </row>
    <row r="320" spans="1:2" x14ac:dyDescent="0.25">
      <c r="A320" s="88" t="s">
        <v>95</v>
      </c>
      <c r="B320" s="88">
        <v>5688</v>
      </c>
    </row>
    <row r="321" spans="1:2" x14ac:dyDescent="0.25">
      <c r="A321" s="88" t="s">
        <v>272</v>
      </c>
      <c r="B321" s="88">
        <v>5729</v>
      </c>
    </row>
    <row r="322" spans="1:2" x14ac:dyDescent="0.25">
      <c r="A322" s="88" t="s">
        <v>26</v>
      </c>
      <c r="B322" s="88">
        <v>5862</v>
      </c>
    </row>
    <row r="323" spans="1:2" x14ac:dyDescent="0.25">
      <c r="A323" s="88" t="s">
        <v>344</v>
      </c>
      <c r="B323" s="88">
        <v>5571</v>
      </c>
    </row>
    <row r="324" spans="1:2" x14ac:dyDescent="0.25">
      <c r="A324" s="88" t="s">
        <v>266</v>
      </c>
      <c r="B324" s="88">
        <v>5649</v>
      </c>
    </row>
    <row r="325" spans="1:2" x14ac:dyDescent="0.25">
      <c r="A325" s="88" t="s">
        <v>273</v>
      </c>
      <c r="B325" s="88">
        <v>5730</v>
      </c>
    </row>
    <row r="326" spans="1:2" x14ac:dyDescent="0.25">
      <c r="A326" s="88" t="s">
        <v>10</v>
      </c>
      <c r="B326" s="88">
        <v>5827</v>
      </c>
    </row>
    <row r="327" spans="1:2" x14ac:dyDescent="0.25">
      <c r="A327" s="88" t="s">
        <v>333</v>
      </c>
      <c r="B327" s="88">
        <v>5931</v>
      </c>
    </row>
    <row r="328" spans="1:2" x14ac:dyDescent="0.25">
      <c r="A328" s="88" t="s">
        <v>374</v>
      </c>
      <c r="B328" s="88">
        <v>5828</v>
      </c>
    </row>
    <row r="329" spans="1:2" x14ac:dyDescent="0.25">
      <c r="A329" s="88" t="s">
        <v>238</v>
      </c>
      <c r="B329" s="88">
        <v>5932</v>
      </c>
    </row>
    <row r="330" spans="1:2" x14ac:dyDescent="0.25">
      <c r="A330" s="88" t="s">
        <v>349</v>
      </c>
      <c r="B330" s="88">
        <v>5831</v>
      </c>
    </row>
    <row r="331" spans="1:2" x14ac:dyDescent="0.25">
      <c r="A331" s="88" t="s">
        <v>326</v>
      </c>
      <c r="B331" s="88">
        <v>5933</v>
      </c>
    </row>
    <row r="332" spans="1:2" x14ac:dyDescent="0.25">
      <c r="A332" s="88" t="s">
        <v>123</v>
      </c>
      <c r="B332" s="88">
        <v>5763</v>
      </c>
    </row>
    <row r="333" spans="1:2" x14ac:dyDescent="0.25">
      <c r="A333" s="88" t="s">
        <v>327</v>
      </c>
      <c r="B333" s="88">
        <v>5934</v>
      </c>
    </row>
    <row r="334" spans="1:2" x14ac:dyDescent="0.25">
      <c r="A334" s="88" t="s">
        <v>286</v>
      </c>
      <c r="B334" s="88">
        <v>5764</v>
      </c>
    </row>
    <row r="335" spans="1:2" x14ac:dyDescent="0.25">
      <c r="A335" s="88" t="s">
        <v>287</v>
      </c>
      <c r="B335" s="88">
        <v>5765</v>
      </c>
    </row>
    <row r="336" spans="1:2" x14ac:dyDescent="0.25">
      <c r="A336" s="88" t="s">
        <v>267</v>
      </c>
      <c r="B336" s="88">
        <v>5650</v>
      </c>
    </row>
    <row r="337" spans="1:2" x14ac:dyDescent="0.25">
      <c r="A337" s="88" t="s">
        <v>49</v>
      </c>
      <c r="B337" s="88">
        <v>5890</v>
      </c>
    </row>
    <row r="338" spans="1:2" x14ac:dyDescent="0.25">
      <c r="A338" s="88" t="s">
        <v>50</v>
      </c>
      <c r="B338" s="88">
        <v>5891</v>
      </c>
    </row>
    <row r="339" spans="1:2" x14ac:dyDescent="0.25">
      <c r="A339" s="88" t="s">
        <v>275</v>
      </c>
      <c r="B339" s="88">
        <v>5732</v>
      </c>
    </row>
    <row r="340" spans="1:2" x14ac:dyDescent="0.25">
      <c r="A340" s="88" t="s">
        <v>255</v>
      </c>
      <c r="B340" s="88">
        <v>5935</v>
      </c>
    </row>
    <row r="341" spans="1:2" x14ac:dyDescent="0.25">
      <c r="A341" s="88" t="s">
        <v>96</v>
      </c>
      <c r="B341" s="88">
        <v>5690</v>
      </c>
    </row>
    <row r="342" spans="1:2" x14ac:dyDescent="0.25">
      <c r="A342" s="88" t="s">
        <v>30</v>
      </c>
      <c r="B342" s="88">
        <v>5537</v>
      </c>
    </row>
    <row r="343" spans="1:2" x14ac:dyDescent="0.25">
      <c r="A343" s="88" t="s">
        <v>268</v>
      </c>
      <c r="B343" s="88">
        <v>5651</v>
      </c>
    </row>
    <row r="344" spans="1:2" x14ac:dyDescent="0.25">
      <c r="A344" s="88" t="s">
        <v>178</v>
      </c>
      <c r="B344" s="88">
        <v>5652</v>
      </c>
    </row>
    <row r="345" spans="1:2" x14ac:dyDescent="0.25">
      <c r="A345" s="88" t="s">
        <v>11</v>
      </c>
      <c r="B345" s="88">
        <v>5830</v>
      </c>
    </row>
    <row r="346" spans="1:2" x14ac:dyDescent="0.25">
      <c r="A346" s="88" t="s">
        <v>120</v>
      </c>
      <c r="B346" s="88">
        <v>5414</v>
      </c>
    </row>
    <row r="347" spans="1:2" x14ac:dyDescent="0.25">
      <c r="A347" s="88" t="s">
        <v>27</v>
      </c>
      <c r="B347" s="88">
        <v>5863</v>
      </c>
    </row>
    <row r="348" spans="1:2" x14ac:dyDescent="0.25">
      <c r="A348" s="88" t="s">
        <v>31</v>
      </c>
      <c r="B348" s="88">
        <v>5539</v>
      </c>
    </row>
    <row r="349" spans="1:2" x14ac:dyDescent="0.25">
      <c r="A349" s="88" t="s">
        <v>97</v>
      </c>
      <c r="B349" s="88">
        <v>5692</v>
      </c>
    </row>
    <row r="350" spans="1:2" x14ac:dyDescent="0.25">
      <c r="A350" s="88" t="s">
        <v>156</v>
      </c>
      <c r="B350" s="88">
        <v>5503</v>
      </c>
    </row>
    <row r="351" spans="1:2" x14ac:dyDescent="0.25">
      <c r="A351" s="88" t="s">
        <v>179</v>
      </c>
      <c r="B351" s="88">
        <v>5653</v>
      </c>
    </row>
    <row r="352" spans="1:2" x14ac:dyDescent="0.25">
      <c r="A352" s="88" t="s">
        <v>239</v>
      </c>
      <c r="B352" s="88">
        <v>5937</v>
      </c>
    </row>
    <row r="353" spans="1:2" x14ac:dyDescent="0.25">
      <c r="A353" s="88" t="s">
        <v>288</v>
      </c>
      <c r="B353" s="88">
        <v>5766</v>
      </c>
    </row>
    <row r="354" spans="1:2" x14ac:dyDescent="0.25">
      <c r="A354" s="88" t="s">
        <v>315</v>
      </c>
      <c r="B354" s="88">
        <v>5803</v>
      </c>
    </row>
    <row r="355" spans="1:2" x14ac:dyDescent="0.25">
      <c r="A355" s="88" t="s">
        <v>180</v>
      </c>
      <c r="B355" s="88">
        <v>5654</v>
      </c>
    </row>
    <row r="356" spans="1:2" x14ac:dyDescent="0.25">
      <c r="A356" s="88" t="s">
        <v>345</v>
      </c>
      <c r="B356" s="88">
        <v>5464</v>
      </c>
    </row>
    <row r="357" spans="1:2" x14ac:dyDescent="0.25">
      <c r="A357" s="88" t="s">
        <v>181</v>
      </c>
      <c r="B357" s="88">
        <v>5655</v>
      </c>
    </row>
    <row r="358" spans="1:2" x14ac:dyDescent="0.25">
      <c r="A358" s="88" t="s">
        <v>133</v>
      </c>
      <c r="B358" s="88">
        <v>5938</v>
      </c>
    </row>
    <row r="359" spans="1:2" x14ac:dyDescent="0.25">
      <c r="A359" s="88" t="s">
        <v>132</v>
      </c>
      <c r="B359" s="88">
        <v>5939</v>
      </c>
    </row>
    <row r="360" spans="1:2" x14ac:dyDescent="0.25">
      <c r="A360" s="88" t="s">
        <v>66</v>
      </c>
      <c r="B360" s="88">
        <v>5415</v>
      </c>
    </row>
    <row r="370" spans="2:2" x14ac:dyDescent="0.25">
      <c r="B370" s="89"/>
    </row>
    <row r="371" spans="2:2" x14ac:dyDescent="0.25">
      <c r="B371" s="89"/>
    </row>
    <row r="372" spans="2:2" x14ac:dyDescent="0.25">
      <c r="B372" s="89"/>
    </row>
    <row r="373" spans="2:2" x14ac:dyDescent="0.25">
      <c r="B373" s="89"/>
    </row>
    <row r="374" spans="2:2" x14ac:dyDescent="0.25">
      <c r="B374" s="89"/>
    </row>
    <row r="375" spans="2:2" x14ac:dyDescent="0.25">
      <c r="B375" s="89"/>
    </row>
    <row r="376" spans="2:2" x14ac:dyDescent="0.25">
      <c r="B376" s="89"/>
    </row>
    <row r="377" spans="2:2" x14ac:dyDescent="0.25">
      <c r="B377" s="89"/>
    </row>
    <row r="378" spans="2:2" x14ac:dyDescent="0.25">
      <c r="B378" s="89"/>
    </row>
    <row r="379" spans="2:2" x14ac:dyDescent="0.25">
      <c r="B379" s="89"/>
    </row>
    <row r="380" spans="2:2" x14ac:dyDescent="0.25">
      <c r="B380" s="89"/>
    </row>
    <row r="381" spans="2:2" x14ac:dyDescent="0.25">
      <c r="B381" s="89"/>
    </row>
    <row r="382" spans="2:2" x14ac:dyDescent="0.25">
      <c r="B382" s="89"/>
    </row>
    <row r="383" spans="2:2" x14ac:dyDescent="0.25">
      <c r="B383" s="89"/>
    </row>
    <row r="384" spans="2:2" x14ac:dyDescent="0.25">
      <c r="B384" s="89"/>
    </row>
    <row r="385" spans="2:2" x14ac:dyDescent="0.25">
      <c r="B385" s="89"/>
    </row>
    <row r="386" spans="2:2" x14ac:dyDescent="0.25">
      <c r="B386" s="89"/>
    </row>
    <row r="387" spans="2:2" x14ac:dyDescent="0.25">
      <c r="B387" s="89"/>
    </row>
    <row r="388" spans="2:2" x14ac:dyDescent="0.25">
      <c r="B388" s="89"/>
    </row>
    <row r="389" spans="2:2" x14ac:dyDescent="0.25">
      <c r="B389" s="89"/>
    </row>
    <row r="390" spans="2:2" x14ac:dyDescent="0.25">
      <c r="B390" s="89"/>
    </row>
    <row r="391" spans="2:2" x14ac:dyDescent="0.25">
      <c r="B391" s="89"/>
    </row>
    <row r="392" spans="2:2" x14ac:dyDescent="0.25">
      <c r="B392" s="89"/>
    </row>
    <row r="393" spans="2:2" x14ac:dyDescent="0.25">
      <c r="B393" s="89"/>
    </row>
    <row r="394" spans="2:2" x14ac:dyDescent="0.25">
      <c r="B394" s="89"/>
    </row>
    <row r="395" spans="2:2" x14ac:dyDescent="0.25">
      <c r="B395" s="89"/>
    </row>
    <row r="396" spans="2:2" x14ac:dyDescent="0.25">
      <c r="B396" s="89"/>
    </row>
    <row r="397" spans="2:2" x14ac:dyDescent="0.25">
      <c r="B397" s="89"/>
    </row>
    <row r="398" spans="2:2" x14ac:dyDescent="0.25">
      <c r="B398" s="89"/>
    </row>
    <row r="399" spans="2:2" x14ac:dyDescent="0.25">
      <c r="B399" s="89"/>
    </row>
    <row r="400" spans="2:2" x14ac:dyDescent="0.25">
      <c r="B400" s="89"/>
    </row>
    <row r="401" spans="2:2" x14ac:dyDescent="0.25">
      <c r="B401" s="89"/>
    </row>
    <row r="402" spans="2:2" x14ac:dyDescent="0.25">
      <c r="B402" s="89"/>
    </row>
    <row r="403" spans="2:2" x14ac:dyDescent="0.25">
      <c r="B403" s="89"/>
    </row>
    <row r="404" spans="2:2" x14ac:dyDescent="0.25">
      <c r="B404" s="89"/>
    </row>
    <row r="405" spans="2:2" x14ac:dyDescent="0.25">
      <c r="B405" s="89"/>
    </row>
    <row r="406" spans="2:2" x14ac:dyDescent="0.25">
      <c r="B406" s="89"/>
    </row>
    <row r="407" spans="2:2" x14ac:dyDescent="0.25">
      <c r="B407" s="89"/>
    </row>
    <row r="408" spans="2:2" x14ac:dyDescent="0.25">
      <c r="B408" s="89"/>
    </row>
    <row r="409" spans="2:2" x14ac:dyDescent="0.25">
      <c r="B409" s="89"/>
    </row>
    <row r="410" spans="2:2" x14ac:dyDescent="0.25">
      <c r="B410" s="89"/>
    </row>
    <row r="411" spans="2:2" x14ac:dyDescent="0.25">
      <c r="B411" s="89"/>
    </row>
    <row r="412" spans="2:2" x14ac:dyDescent="0.25">
      <c r="B412" s="89"/>
    </row>
    <row r="413" spans="2:2" x14ac:dyDescent="0.25">
      <c r="B413" s="89"/>
    </row>
    <row r="414" spans="2:2" x14ac:dyDescent="0.25">
      <c r="B414" s="89"/>
    </row>
    <row r="415" spans="2:2" x14ac:dyDescent="0.25">
      <c r="B415" s="89"/>
    </row>
    <row r="416" spans="2:2" x14ac:dyDescent="0.25">
      <c r="B416" s="89"/>
    </row>
    <row r="417" spans="2:2" x14ac:dyDescent="0.25">
      <c r="B417" s="89"/>
    </row>
    <row r="418" spans="2:2" x14ac:dyDescent="0.25">
      <c r="B418" s="89"/>
    </row>
    <row r="419" spans="2:2" x14ac:dyDescent="0.25">
      <c r="B419" s="89"/>
    </row>
    <row r="420" spans="2:2" x14ac:dyDescent="0.25">
      <c r="B420" s="89"/>
    </row>
    <row r="421" spans="2:2" x14ac:dyDescent="0.25">
      <c r="B421" s="89"/>
    </row>
    <row r="422" spans="2:2" x14ac:dyDescent="0.25">
      <c r="B422" s="89"/>
    </row>
    <row r="423" spans="2:2" x14ac:dyDescent="0.25">
      <c r="B423" s="89"/>
    </row>
    <row r="424" spans="2:2" x14ac:dyDescent="0.25">
      <c r="B424" s="89"/>
    </row>
    <row r="425" spans="2:2" x14ac:dyDescent="0.25">
      <c r="B425" s="89"/>
    </row>
    <row r="426" spans="2:2" x14ac:dyDescent="0.25">
      <c r="B426" s="89"/>
    </row>
    <row r="427" spans="2:2" x14ac:dyDescent="0.25">
      <c r="B427" s="89"/>
    </row>
    <row r="428" spans="2:2" x14ac:dyDescent="0.25">
      <c r="B428" s="89"/>
    </row>
    <row r="429" spans="2:2" x14ac:dyDescent="0.25">
      <c r="B429" s="89"/>
    </row>
    <row r="430" spans="2:2" x14ac:dyDescent="0.25">
      <c r="B430" s="89"/>
    </row>
    <row r="431" spans="2:2" x14ac:dyDescent="0.25">
      <c r="B431" s="89"/>
    </row>
    <row r="432" spans="2:2" x14ac:dyDescent="0.25">
      <c r="B432" s="89"/>
    </row>
    <row r="433" spans="2:2" x14ac:dyDescent="0.25">
      <c r="B433" s="89"/>
    </row>
    <row r="434" spans="2:2" x14ac:dyDescent="0.25">
      <c r="B434" s="89"/>
    </row>
    <row r="435" spans="2:2" x14ac:dyDescent="0.25">
      <c r="B435" s="89"/>
    </row>
    <row r="436" spans="2:2" x14ac:dyDescent="0.25">
      <c r="B436" s="89"/>
    </row>
    <row r="437" spans="2:2" x14ac:dyDescent="0.25">
      <c r="B437" s="89"/>
    </row>
    <row r="438" spans="2:2" x14ac:dyDescent="0.25">
      <c r="B438" s="89"/>
    </row>
    <row r="439" spans="2:2" x14ac:dyDescent="0.25">
      <c r="B439" s="89"/>
    </row>
    <row r="440" spans="2:2" x14ac:dyDescent="0.25">
      <c r="B440" s="89"/>
    </row>
    <row r="441" spans="2:2" x14ac:dyDescent="0.25">
      <c r="B441" s="89"/>
    </row>
    <row r="442" spans="2:2" x14ac:dyDescent="0.25">
      <c r="B442" s="89"/>
    </row>
    <row r="443" spans="2:2" x14ac:dyDescent="0.25">
      <c r="B443" s="89"/>
    </row>
    <row r="444" spans="2:2" x14ac:dyDescent="0.25">
      <c r="B444" s="89"/>
    </row>
    <row r="445" spans="2:2" x14ac:dyDescent="0.25">
      <c r="B445" s="89"/>
    </row>
    <row r="446" spans="2:2" x14ac:dyDescent="0.25">
      <c r="B446" s="89"/>
    </row>
    <row r="447" spans="2:2" x14ac:dyDescent="0.25">
      <c r="B447" s="89"/>
    </row>
    <row r="448" spans="2:2" x14ac:dyDescent="0.25">
      <c r="B448" s="89"/>
    </row>
    <row r="449" spans="2:2" x14ac:dyDescent="0.25">
      <c r="B449" s="89"/>
    </row>
    <row r="450" spans="2:2" x14ac:dyDescent="0.25">
      <c r="B450" s="89"/>
    </row>
    <row r="451" spans="2:2" x14ac:dyDescent="0.25">
      <c r="B451" s="89"/>
    </row>
    <row r="452" spans="2:2" x14ac:dyDescent="0.25">
      <c r="B452" s="89"/>
    </row>
    <row r="453" spans="2:2" x14ac:dyDescent="0.25">
      <c r="B453" s="89"/>
    </row>
    <row r="454" spans="2:2" x14ac:dyDescent="0.25">
      <c r="B454" s="89"/>
    </row>
    <row r="455" spans="2:2" x14ac:dyDescent="0.25">
      <c r="B455" s="89"/>
    </row>
    <row r="456" spans="2:2" x14ac:dyDescent="0.25">
      <c r="B456" s="89"/>
    </row>
    <row r="457" spans="2:2" x14ac:dyDescent="0.25">
      <c r="B457" s="89"/>
    </row>
    <row r="458" spans="2:2" x14ac:dyDescent="0.25">
      <c r="B458" s="89"/>
    </row>
    <row r="459" spans="2:2" x14ac:dyDescent="0.25">
      <c r="B459" s="89"/>
    </row>
    <row r="460" spans="2:2" x14ac:dyDescent="0.25">
      <c r="B460" s="89"/>
    </row>
    <row r="461" spans="2:2" x14ac:dyDescent="0.25">
      <c r="B461" s="89"/>
    </row>
    <row r="462" spans="2:2" x14ac:dyDescent="0.25">
      <c r="B462" s="89"/>
    </row>
    <row r="463" spans="2:2" x14ac:dyDescent="0.25">
      <c r="B463" s="89"/>
    </row>
    <row r="464" spans="2:2" x14ac:dyDescent="0.25">
      <c r="B464" s="89"/>
    </row>
    <row r="465" spans="2:2" x14ac:dyDescent="0.25">
      <c r="B465" s="89"/>
    </row>
    <row r="466" spans="2:2" x14ac:dyDescent="0.25">
      <c r="B466" s="89"/>
    </row>
    <row r="467" spans="2:2" x14ac:dyDescent="0.25">
      <c r="B467" s="89"/>
    </row>
    <row r="468" spans="2:2" x14ac:dyDescent="0.25">
      <c r="B468" s="89"/>
    </row>
    <row r="469" spans="2:2" x14ac:dyDescent="0.25">
      <c r="B469" s="89"/>
    </row>
    <row r="470" spans="2:2" x14ac:dyDescent="0.25">
      <c r="B470" s="89"/>
    </row>
    <row r="471" spans="2:2" x14ac:dyDescent="0.25">
      <c r="B471" s="89"/>
    </row>
    <row r="472" spans="2:2" x14ac:dyDescent="0.25">
      <c r="B472" s="89"/>
    </row>
    <row r="473" spans="2:2" x14ac:dyDescent="0.25">
      <c r="B473" s="89"/>
    </row>
    <row r="474" spans="2:2" x14ac:dyDescent="0.25">
      <c r="B474" s="89"/>
    </row>
    <row r="475" spans="2:2" x14ac:dyDescent="0.25">
      <c r="B475" s="89"/>
    </row>
    <row r="476" spans="2:2" x14ac:dyDescent="0.25">
      <c r="B476" s="89"/>
    </row>
    <row r="477" spans="2:2" x14ac:dyDescent="0.25">
      <c r="B477" s="89"/>
    </row>
    <row r="478" spans="2:2" x14ac:dyDescent="0.25">
      <c r="B478" s="89"/>
    </row>
    <row r="479" spans="2:2" x14ac:dyDescent="0.25">
      <c r="B479" s="89"/>
    </row>
    <row r="480" spans="2:2" x14ac:dyDescent="0.25">
      <c r="B480" s="89"/>
    </row>
    <row r="481" spans="2:2" x14ac:dyDescent="0.25">
      <c r="B481" s="89"/>
    </row>
    <row r="482" spans="2:2" x14ac:dyDescent="0.25">
      <c r="B482" s="89"/>
    </row>
    <row r="483" spans="2:2" x14ac:dyDescent="0.25">
      <c r="B483" s="89"/>
    </row>
    <row r="484" spans="2:2" x14ac:dyDescent="0.25">
      <c r="B484" s="89"/>
    </row>
    <row r="485" spans="2:2" x14ac:dyDescent="0.25">
      <c r="B485" s="89"/>
    </row>
    <row r="486" spans="2:2" x14ac:dyDescent="0.25">
      <c r="B486" s="89"/>
    </row>
    <row r="487" spans="2:2" x14ac:dyDescent="0.25">
      <c r="B487" s="89"/>
    </row>
    <row r="488" spans="2:2" x14ac:dyDescent="0.25">
      <c r="B488" s="89"/>
    </row>
    <row r="489" spans="2:2" x14ac:dyDescent="0.25">
      <c r="B489" s="89"/>
    </row>
    <row r="490" spans="2:2" x14ac:dyDescent="0.25">
      <c r="B490" s="89"/>
    </row>
    <row r="491" spans="2:2" x14ac:dyDescent="0.25">
      <c r="B491" s="89"/>
    </row>
    <row r="492" spans="2:2" x14ac:dyDescent="0.25">
      <c r="B492" s="89"/>
    </row>
    <row r="493" spans="2:2" x14ac:dyDescent="0.25">
      <c r="B493" s="89"/>
    </row>
    <row r="494" spans="2:2" x14ac:dyDescent="0.25">
      <c r="B494" s="89"/>
    </row>
    <row r="495" spans="2:2" x14ac:dyDescent="0.25">
      <c r="B495" s="89"/>
    </row>
    <row r="496" spans="2:2" x14ac:dyDescent="0.25">
      <c r="B496" s="89"/>
    </row>
    <row r="497" spans="2:2" x14ac:dyDescent="0.25">
      <c r="B497" s="89"/>
    </row>
    <row r="498" spans="2:2" x14ac:dyDescent="0.25">
      <c r="B498" s="89"/>
    </row>
    <row r="499" spans="2:2" x14ac:dyDescent="0.25">
      <c r="B499" s="89"/>
    </row>
    <row r="500" spans="2:2" x14ac:dyDescent="0.25">
      <c r="B500" s="89"/>
    </row>
    <row r="501" spans="2:2" x14ac:dyDescent="0.25">
      <c r="B501" s="89"/>
    </row>
    <row r="502" spans="2:2" x14ac:dyDescent="0.25">
      <c r="B502" s="89"/>
    </row>
    <row r="503" spans="2:2" x14ac:dyDescent="0.25">
      <c r="B503" s="89"/>
    </row>
    <row r="504" spans="2:2" x14ac:dyDescent="0.25">
      <c r="B504" s="89"/>
    </row>
    <row r="505" spans="2:2" x14ac:dyDescent="0.25">
      <c r="B505" s="89"/>
    </row>
    <row r="506" spans="2:2" x14ac:dyDescent="0.25">
      <c r="B506" s="89"/>
    </row>
    <row r="507" spans="2:2" x14ac:dyDescent="0.25">
      <c r="B507" s="89"/>
    </row>
    <row r="508" spans="2:2" x14ac:dyDescent="0.25">
      <c r="B508" s="89"/>
    </row>
    <row r="509" spans="2:2" x14ac:dyDescent="0.25">
      <c r="B509" s="89"/>
    </row>
    <row r="510" spans="2:2" x14ac:dyDescent="0.25">
      <c r="B510" s="89"/>
    </row>
    <row r="511" spans="2:2" x14ac:dyDescent="0.25">
      <c r="B511" s="89"/>
    </row>
    <row r="512" spans="2:2" x14ac:dyDescent="0.25">
      <c r="B512" s="89"/>
    </row>
    <row r="513" spans="2:2" x14ac:dyDescent="0.25">
      <c r="B513" s="89"/>
    </row>
    <row r="514" spans="2:2" x14ac:dyDescent="0.25">
      <c r="B514" s="89"/>
    </row>
    <row r="515" spans="2:2" x14ac:dyDescent="0.25">
      <c r="B515" s="89"/>
    </row>
    <row r="516" spans="2:2" x14ac:dyDescent="0.25">
      <c r="B516" s="89"/>
    </row>
    <row r="517" spans="2:2" x14ac:dyDescent="0.25">
      <c r="B517" s="89"/>
    </row>
    <row r="518" spans="2:2" x14ac:dyDescent="0.25">
      <c r="B518" s="89"/>
    </row>
    <row r="519" spans="2:2" x14ac:dyDescent="0.25">
      <c r="B519" s="89"/>
    </row>
    <row r="520" spans="2:2" x14ac:dyDescent="0.25">
      <c r="B520" s="89"/>
    </row>
    <row r="521" spans="2:2" x14ac:dyDescent="0.25">
      <c r="B521" s="89"/>
    </row>
    <row r="522" spans="2:2" x14ac:dyDescent="0.25">
      <c r="B522" s="89"/>
    </row>
    <row r="523" spans="2:2" x14ac:dyDescent="0.25">
      <c r="B523" s="89"/>
    </row>
    <row r="524" spans="2:2" x14ac:dyDescent="0.25">
      <c r="B524" s="89"/>
    </row>
    <row r="525" spans="2:2" x14ac:dyDescent="0.25">
      <c r="B525" s="89"/>
    </row>
    <row r="526" spans="2:2" x14ac:dyDescent="0.25">
      <c r="B526" s="89"/>
    </row>
    <row r="527" spans="2:2" x14ac:dyDescent="0.25">
      <c r="B527" s="89"/>
    </row>
    <row r="528" spans="2:2" x14ac:dyDescent="0.25">
      <c r="B528" s="89"/>
    </row>
    <row r="529" spans="2:2" x14ac:dyDescent="0.25">
      <c r="B529" s="89"/>
    </row>
    <row r="530" spans="2:2" x14ac:dyDescent="0.25">
      <c r="B530" s="89"/>
    </row>
    <row r="531" spans="2:2" x14ac:dyDescent="0.25">
      <c r="B531" s="89"/>
    </row>
    <row r="532" spans="2:2" x14ac:dyDescent="0.25">
      <c r="B532" s="89"/>
    </row>
    <row r="533" spans="2:2" x14ac:dyDescent="0.25">
      <c r="B533" s="89"/>
    </row>
    <row r="534" spans="2:2" x14ac:dyDescent="0.25">
      <c r="B534" s="89"/>
    </row>
    <row r="535" spans="2:2" x14ac:dyDescent="0.25">
      <c r="B535" s="89"/>
    </row>
    <row r="536" spans="2:2" x14ac:dyDescent="0.25">
      <c r="B536" s="89"/>
    </row>
  </sheetData>
  <sheetProtection sheet="1" objects="1" scenarios="1"/>
  <protectedRanges>
    <protectedRange sqref="C49" name="Plage7"/>
    <protectedRange sqref="B11:B13" name="Plage1_2"/>
    <protectedRange sqref="B5:B9" name="Plage1_1"/>
    <protectedRange sqref="B61:B369" name="Plage1_4"/>
    <protectedRange sqref="A61:A369" name="Plage1_3"/>
    <protectedRange sqref="A370:A399 B18:B19 B31 B43:B44 B49:B50 B39:B40 G38 B55 C44:F44 B23:F24 B35:B36" name="Plage1"/>
    <protectedRange sqref="B29:H29" name="Plage2"/>
  </protectedRanges>
  <sortState xmlns:xlrd2="http://schemas.microsoft.com/office/spreadsheetml/2017/richdata2" ref="A61:B360">
    <sortCondition ref="A61:A360"/>
  </sortState>
  <mergeCells count="9">
    <mergeCell ref="D4:H19"/>
    <mergeCell ref="I38:J38"/>
    <mergeCell ref="I39:J39"/>
    <mergeCell ref="E45:G45"/>
    <mergeCell ref="E47:G47"/>
    <mergeCell ref="I45:J45"/>
    <mergeCell ref="I46:J46"/>
    <mergeCell ref="E46:G46"/>
    <mergeCell ref="I44:J44"/>
  </mergeCells>
  <phoneticPr fontId="21" type="noConversion"/>
  <conditionalFormatting sqref="C49">
    <cfRule type="cellIs" dxfId="11" priority="1" operator="between">
      <formula>0.0001</formula>
      <formula>-0.0001</formula>
    </cfRule>
  </conditionalFormatting>
  <hyperlinks>
    <hyperlink ref="B1" location="'Table des matières'!A1" display="← Précédent" xr:uid="{D2BA6053-0976-40F7-8227-05DFF461E239}"/>
    <hyperlink ref="C1" location="'Table des matières'!A1" display="Table des matières" xr:uid="{8B4C0576-AED6-4CBB-9B94-F0C9D36FE0A6}"/>
    <hyperlink ref="D1" location="Recherche!A1" display="Suivant →" xr:uid="{6A41D26C-1E16-43C0-9824-7CBF963FF2DC}"/>
  </hyperlinks>
  <printOptions horizontalCentered="1"/>
  <pageMargins left="0" right="0" top="0" bottom="0" header="0.51181102362204722" footer="0.51181102362204722"/>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59999389629810485"/>
    <pageSetUpPr fitToPage="1"/>
  </sheetPr>
  <dimension ref="A1:L68"/>
  <sheetViews>
    <sheetView workbookViewId="0"/>
  </sheetViews>
  <sheetFormatPr baseColWidth="10" defaultColWidth="10.875" defaultRowHeight="15" x14ac:dyDescent="0.25"/>
  <cols>
    <col min="1" max="1" width="3.375" style="88" customWidth="1"/>
    <col min="2" max="2" width="17.125" style="88" customWidth="1"/>
    <col min="3" max="4" width="12.75" style="88" customWidth="1"/>
    <col min="5" max="6" width="12.75" style="119" customWidth="1"/>
    <col min="7" max="7" width="11.75" style="88" bestFit="1" customWidth="1"/>
    <col min="8" max="8" width="10.875" style="88"/>
    <col min="9" max="9" width="11.5" style="88" customWidth="1"/>
    <col min="10" max="16384" width="10.875" style="88"/>
  </cols>
  <sheetData>
    <row r="1" spans="1:10" ht="26.25" x14ac:dyDescent="0.4">
      <c r="A1" s="279" t="s">
        <v>537</v>
      </c>
      <c r="B1" s="279"/>
      <c r="H1" s="304" t="s">
        <v>409</v>
      </c>
      <c r="I1" s="303" t="s">
        <v>401</v>
      </c>
      <c r="J1" s="304" t="s">
        <v>410</v>
      </c>
    </row>
    <row r="3" spans="1:10" s="120" customFormat="1" ht="26.25" x14ac:dyDescent="0.4">
      <c r="B3" s="123"/>
      <c r="C3" s="583"/>
      <c r="D3" s="583"/>
      <c r="E3" s="583"/>
      <c r="F3" s="121"/>
    </row>
    <row r="6" spans="1:10" ht="18.75" x14ac:dyDescent="0.3">
      <c r="B6" s="582" t="str">
        <f>Paramètres!B4</f>
        <v>Acomptes 2022</v>
      </c>
      <c r="C6" s="582"/>
      <c r="D6" s="582"/>
      <c r="E6" s="582"/>
      <c r="F6" s="582"/>
    </row>
    <row r="7" spans="1:10" s="149" customFormat="1" ht="18.75" x14ac:dyDescent="0.3">
      <c r="B7" s="582">
        <f>C3</f>
        <v>0</v>
      </c>
      <c r="C7" s="582"/>
      <c r="D7" s="582"/>
      <c r="E7" s="582"/>
      <c r="F7" s="582"/>
    </row>
    <row r="8" spans="1:10" s="149" customFormat="1" ht="12.75" x14ac:dyDescent="0.2">
      <c r="B8" s="156" t="e">
        <f>CONCATENATE("Population : ",VLOOKUP($B$7,Synthèse!B6:D305,3,FALSE))</f>
        <v>#N/A</v>
      </c>
      <c r="C8" s="147"/>
      <c r="D8" s="147"/>
      <c r="E8" s="148"/>
      <c r="F8" s="155" t="e">
        <f>CONCATENATE("N° OFS : ",VLOOKUP($B$7,Paramètres!A61:B360,2,FALSE))</f>
        <v>#N/A</v>
      </c>
    </row>
    <row r="9" spans="1:10" s="149" customFormat="1" ht="12.75" x14ac:dyDescent="0.2">
      <c r="B9" s="156" t="e">
        <f>CONCATENATE("Taux : ",VLOOKUP($B$7,Synthèse!B6:C305,2,FALSE))</f>
        <v>#N/A</v>
      </c>
      <c r="C9" s="147"/>
      <c r="D9" s="147"/>
      <c r="E9" s="148"/>
      <c r="F9" s="184" t="e">
        <f>CONCATENATE("Valeur du point d'impôt péréquatif : ",ROUND(VLOOKUP(B7,Ecrêtage!B6:M314,2,FALSE),0))</f>
        <v>#N/A</v>
      </c>
    </row>
    <row r="10" spans="1:10" s="149" customFormat="1" ht="12.75" x14ac:dyDescent="0.2">
      <c r="B10" s="147"/>
      <c r="C10" s="147"/>
      <c r="D10" s="147"/>
      <c r="E10" s="148"/>
      <c r="F10" s="184"/>
      <c r="H10" s="198"/>
      <c r="I10" s="198"/>
    </row>
    <row r="11" spans="1:10" ht="18" x14ac:dyDescent="0.35">
      <c r="B11" s="142" t="s">
        <v>419</v>
      </c>
      <c r="C11" s="67"/>
      <c r="D11" s="67"/>
      <c r="E11" s="122"/>
      <c r="F11" s="122"/>
    </row>
    <row r="12" spans="1:10" s="149" customFormat="1" ht="6" customHeight="1" x14ac:dyDescent="0.2">
      <c r="B12" s="147"/>
      <c r="C12" s="147"/>
      <c r="D12" s="147"/>
      <c r="E12" s="148"/>
      <c r="F12" s="148"/>
    </row>
    <row r="13" spans="1:10" s="149" customFormat="1" ht="12.75" x14ac:dyDescent="0.2">
      <c r="B13" s="154" t="s">
        <v>351</v>
      </c>
      <c r="C13" s="147"/>
      <c r="D13" s="147"/>
      <c r="E13" s="148"/>
      <c r="F13" s="148"/>
    </row>
    <row r="14" spans="1:10" s="149" customFormat="1" ht="12.75" x14ac:dyDescent="0.2">
      <c r="B14" s="147" t="s">
        <v>543</v>
      </c>
      <c r="C14" s="147"/>
      <c r="D14" s="147"/>
      <c r="E14" s="150" t="e">
        <f>VLOOKUP(C3,PCS!B12:E311,4,FALSE)*PCS!$E$11</f>
        <v>#N/A</v>
      </c>
      <c r="F14" s="148"/>
    </row>
    <row r="15" spans="1:10" s="149" customFormat="1" ht="12.75" x14ac:dyDescent="0.2">
      <c r="B15" s="147" t="s">
        <v>425</v>
      </c>
      <c r="C15" s="147"/>
      <c r="D15" s="147"/>
      <c r="E15" s="150" t="e">
        <f>VLOOKUP(C3,PCS!B12:D311,3,FALSE)*PCS!$D$11</f>
        <v>#N/A</v>
      </c>
      <c r="F15" s="148" t="e">
        <f>E14+E15</f>
        <v>#N/A</v>
      </c>
    </row>
    <row r="16" spans="1:10" s="149" customFormat="1" ht="6" customHeight="1" x14ac:dyDescent="0.2">
      <c r="B16" s="147"/>
      <c r="C16" s="147"/>
      <c r="D16" s="147"/>
      <c r="E16" s="148"/>
      <c r="F16" s="148"/>
    </row>
    <row r="17" spans="2:8" s="149" customFormat="1" ht="12.75" x14ac:dyDescent="0.2">
      <c r="B17" s="154" t="s">
        <v>366</v>
      </c>
      <c r="C17" s="147"/>
      <c r="D17" s="147"/>
      <c r="E17" s="148"/>
      <c r="F17" s="148"/>
    </row>
    <row r="18" spans="2:8" s="149" customFormat="1" ht="12.75" x14ac:dyDescent="0.2">
      <c r="B18" s="147" t="e">
        <f>CONCATENATE("Ecrêtage en points d'impôt: ",ROUND(VLOOKUP($C$3,Ecrêtage!B6:L305,11,FALSE),2))</f>
        <v>#N/A</v>
      </c>
      <c r="C18" s="147"/>
      <c r="D18" s="151"/>
      <c r="E18" s="148"/>
      <c r="F18" s="148" t="e">
        <f>VLOOKUP($C$3,Ecrêtage!B6:M305,12,FALSE)</f>
        <v>#N/A</v>
      </c>
    </row>
    <row r="19" spans="2:8" s="149" customFormat="1" ht="6" customHeight="1" x14ac:dyDescent="0.2">
      <c r="B19" s="147"/>
      <c r="C19" s="147"/>
      <c r="D19" s="147"/>
      <c r="E19" s="148"/>
      <c r="F19" s="148"/>
    </row>
    <row r="20" spans="2:8" s="149" customFormat="1" ht="12.75" x14ac:dyDescent="0.2">
      <c r="B20" s="154" t="s">
        <v>532</v>
      </c>
      <c r="C20" s="147"/>
      <c r="D20" s="147"/>
      <c r="E20" s="148"/>
      <c r="F20" s="148"/>
    </row>
    <row r="21" spans="2:8" s="149" customFormat="1" ht="12.75" x14ac:dyDescent="0.2">
      <c r="B21" s="147" t="str">
        <f>CONCATENATE("Solde en points d'impôt: ",ROUND(PCS!H11,2))</f>
        <v>Solde en points d'impôt: 14.6</v>
      </c>
      <c r="C21" s="147"/>
      <c r="D21" s="147"/>
      <c r="E21" s="148"/>
      <c r="F21" s="148"/>
    </row>
    <row r="22" spans="2:8" s="149" customFormat="1" ht="12.75" x14ac:dyDescent="0.2">
      <c r="B22" s="147" t="s">
        <v>370</v>
      </c>
      <c r="C22" s="147"/>
      <c r="D22" s="147"/>
      <c r="E22" s="148"/>
      <c r="F22" s="148" t="e">
        <f>VLOOKUP($C$3,PCS!B12:H311,7,FALSE)</f>
        <v>#N/A</v>
      </c>
    </row>
    <row r="23" spans="2:8" s="149" customFormat="1" ht="6" customHeight="1" x14ac:dyDescent="0.2">
      <c r="B23" s="147"/>
      <c r="C23" s="147"/>
      <c r="D23" s="147"/>
      <c r="E23" s="148"/>
      <c r="F23" s="152"/>
    </row>
    <row r="24" spans="2:8" s="149" customFormat="1" ht="12.75" x14ac:dyDescent="0.2">
      <c r="B24" s="154" t="s">
        <v>384</v>
      </c>
      <c r="C24" s="147"/>
      <c r="D24" s="147"/>
      <c r="E24" s="148"/>
      <c r="F24" s="153" t="e">
        <f>F15+F18+F22</f>
        <v>#N/A</v>
      </c>
      <c r="G24" s="231"/>
      <c r="H24" s="231"/>
    </row>
    <row r="25" spans="2:8" s="149" customFormat="1" ht="6" customHeight="1" x14ac:dyDescent="0.2">
      <c r="B25" s="147"/>
      <c r="C25" s="147"/>
      <c r="D25" s="147"/>
      <c r="E25" s="148"/>
      <c r="F25" s="148"/>
    </row>
    <row r="26" spans="2:8" ht="18" x14ac:dyDescent="0.35">
      <c r="B26" s="142" t="s">
        <v>373</v>
      </c>
      <c r="C26" s="67"/>
      <c r="D26" s="67"/>
      <c r="E26" s="122"/>
      <c r="F26" s="122"/>
      <c r="G26" s="230"/>
    </row>
    <row r="27" spans="2:8" s="149" customFormat="1" ht="6" customHeight="1" x14ac:dyDescent="0.2">
      <c r="B27" s="147"/>
      <c r="C27" s="147"/>
      <c r="D27" s="147"/>
      <c r="E27" s="148"/>
      <c r="F27" s="148"/>
    </row>
    <row r="28" spans="2:8" s="149" customFormat="1" ht="12.75" x14ac:dyDescent="0.2">
      <c r="B28" s="154" t="s">
        <v>513</v>
      </c>
      <c r="C28" s="147"/>
      <c r="D28" s="147"/>
      <c r="E28" s="148"/>
      <c r="F28" s="148" t="e">
        <f>VLOOKUP(B7,'Péréquation directe'!B12:E311,4,FALSE)</f>
        <v>#N/A</v>
      </c>
      <c r="G28" s="232"/>
    </row>
    <row r="29" spans="2:8" s="149" customFormat="1" ht="6" customHeight="1" x14ac:dyDescent="0.2">
      <c r="B29" s="147"/>
      <c r="C29" s="147"/>
      <c r="D29" s="147"/>
      <c r="E29" s="148"/>
      <c r="F29" s="148"/>
    </row>
    <row r="30" spans="2:8" s="149" customFormat="1" ht="12.75" x14ac:dyDescent="0.2">
      <c r="B30" s="154" t="s">
        <v>514</v>
      </c>
      <c r="C30" s="147"/>
      <c r="D30" s="147"/>
      <c r="E30" s="148"/>
      <c r="F30" s="148" t="e">
        <f>VLOOKUP(B7,'Péréquation directe'!B12:F311,5,FALSE)</f>
        <v>#N/A</v>
      </c>
    </row>
    <row r="31" spans="2:8" s="149" customFormat="1" ht="6" customHeight="1" x14ac:dyDescent="0.2">
      <c r="B31" s="147"/>
      <c r="C31" s="147"/>
      <c r="D31" s="147"/>
      <c r="E31" s="148"/>
      <c r="F31" s="148"/>
      <c r="H31" s="149" t="s">
        <v>383</v>
      </c>
    </row>
    <row r="32" spans="2:8" s="149" customFormat="1" ht="12.75" x14ac:dyDescent="0.2">
      <c r="B32" s="154" t="s">
        <v>515</v>
      </c>
      <c r="C32" s="147"/>
      <c r="D32" s="147"/>
      <c r="E32" s="148"/>
      <c r="F32" s="251"/>
    </row>
    <row r="33" spans="2:12" s="149" customFormat="1" ht="12.75" x14ac:dyDescent="0.2">
      <c r="B33" s="253" t="s">
        <v>388</v>
      </c>
      <c r="C33" s="252"/>
      <c r="D33" s="252"/>
      <c r="E33" s="254" t="e">
        <f>VLOOKUP(B7,DT!B6:H305,7,FALSE)</f>
        <v>#N/A</v>
      </c>
      <c r="F33" s="252"/>
    </row>
    <row r="34" spans="2:12" s="149" customFormat="1" ht="12.75" x14ac:dyDescent="0.2">
      <c r="B34" s="253" t="s">
        <v>389</v>
      </c>
      <c r="C34" s="252"/>
      <c r="D34" s="252"/>
      <c r="E34" s="254" t="e">
        <f>VLOOKUP(B7,DT!B6:M305,12,FALSE)</f>
        <v>#N/A</v>
      </c>
      <c r="F34" s="255" t="e">
        <f>SUM(E33:E34)</f>
        <v>#N/A</v>
      </c>
    </row>
    <row r="35" spans="2:12" s="149" customFormat="1" ht="6" customHeight="1" x14ac:dyDescent="0.2">
      <c r="B35" s="252"/>
      <c r="C35" s="252"/>
      <c r="D35" s="252"/>
      <c r="E35" s="252"/>
      <c r="F35" s="252"/>
    </row>
    <row r="36" spans="2:12" s="149" customFormat="1" ht="12.75" x14ac:dyDescent="0.2">
      <c r="B36" s="154" t="s">
        <v>436</v>
      </c>
      <c r="C36" s="147"/>
      <c r="D36" s="147"/>
      <c r="E36" s="148"/>
      <c r="F36" s="148"/>
    </row>
    <row r="37" spans="2:12" s="149" customFormat="1" ht="12.75" customHeight="1" x14ac:dyDescent="0.2">
      <c r="B37" s="147" t="s">
        <v>376</v>
      </c>
      <c r="C37" s="147"/>
      <c r="D37" s="147"/>
      <c r="E37" s="150" t="e">
        <f>VLOOKUP(B7,Effort!B6:K305,10,FALSE)</f>
        <v>#N/A</v>
      </c>
      <c r="F37" s="148"/>
      <c r="L37" s="248"/>
    </row>
    <row r="38" spans="2:12" s="149" customFormat="1" ht="12.75" customHeight="1" x14ac:dyDescent="0.2">
      <c r="B38" s="147" t="s">
        <v>368</v>
      </c>
      <c r="C38" s="147"/>
      <c r="D38" s="147"/>
      <c r="E38" s="150" t="e">
        <f>VLOOKUP(B7,Aide!B6:I305,8,FALSE)</f>
        <v>#N/A</v>
      </c>
      <c r="F38" s="148"/>
      <c r="L38" s="248"/>
    </row>
    <row r="39" spans="2:12" s="149" customFormat="1" ht="12.75" customHeight="1" x14ac:dyDescent="0.2">
      <c r="B39" s="147" t="s">
        <v>369</v>
      </c>
      <c r="C39" s="147"/>
      <c r="D39" s="147"/>
      <c r="E39" s="150" t="e">
        <f>VLOOKUP(B7,Taux!B6:J305,9,FALSE)</f>
        <v>#N/A</v>
      </c>
      <c r="F39" s="148" t="e">
        <f>SUM(E37:E39)</f>
        <v>#N/A</v>
      </c>
      <c r="L39" s="248"/>
    </row>
    <row r="40" spans="2:12" s="149" customFormat="1" ht="6" customHeight="1" x14ac:dyDescent="0.2">
      <c r="B40" s="147"/>
      <c r="C40" s="147"/>
      <c r="D40" s="147"/>
      <c r="E40" s="148"/>
      <c r="F40" s="148"/>
      <c r="L40" s="248"/>
    </row>
    <row r="41" spans="2:12" s="149" customFormat="1" ht="12.75" customHeight="1" x14ac:dyDescent="0.2">
      <c r="B41" s="154" t="s">
        <v>509</v>
      </c>
      <c r="C41" s="147"/>
      <c r="D41" s="147"/>
      <c r="E41" s="148"/>
      <c r="F41" s="148" t="e">
        <f>VLOOKUP(B7,'Péréquation directe'!B12:J311,9,FALSE)</f>
        <v>#N/A</v>
      </c>
      <c r="L41" s="248"/>
    </row>
    <row r="42" spans="2:12" s="149" customFormat="1" ht="6" customHeight="1" x14ac:dyDescent="0.2">
      <c r="B42" s="147"/>
      <c r="C42" s="147"/>
      <c r="D42" s="147"/>
      <c r="E42" s="148"/>
      <c r="F42" s="152"/>
      <c r="L42" s="248"/>
    </row>
    <row r="43" spans="2:12" s="149" customFormat="1" ht="12.75" x14ac:dyDescent="0.2">
      <c r="B43" s="154" t="s">
        <v>538</v>
      </c>
      <c r="C43" s="147"/>
      <c r="D43" s="147"/>
      <c r="E43" s="148"/>
      <c r="F43" s="199" t="e">
        <f>SUM(F27:F42)</f>
        <v>#N/A</v>
      </c>
    </row>
    <row r="44" spans="2:12" s="149" customFormat="1" ht="6" customHeight="1" x14ac:dyDescent="0.2">
      <c r="B44" s="147"/>
      <c r="C44" s="147"/>
      <c r="D44" s="147"/>
      <c r="E44" s="148"/>
      <c r="F44" s="148"/>
    </row>
    <row r="45" spans="2:12" ht="18" x14ac:dyDescent="0.35">
      <c r="B45" s="142" t="s">
        <v>534</v>
      </c>
      <c r="C45" s="67"/>
      <c r="D45" s="67"/>
      <c r="E45" s="122"/>
      <c r="F45" s="122"/>
      <c r="G45" s="149"/>
      <c r="H45" s="149"/>
      <c r="I45" s="149"/>
      <c r="J45" s="149"/>
      <c r="K45" s="149"/>
    </row>
    <row r="46" spans="2:12" s="149" customFormat="1" ht="6" customHeight="1" x14ac:dyDescent="0.2">
      <c r="B46" s="147"/>
      <c r="C46" s="147"/>
      <c r="D46" s="147"/>
      <c r="E46" s="148"/>
      <c r="F46" s="148"/>
    </row>
    <row r="47" spans="2:12" s="149" customFormat="1" ht="12.75" x14ac:dyDescent="0.2">
      <c r="B47" s="147" t="s">
        <v>533</v>
      </c>
      <c r="C47" s="147"/>
      <c r="D47" s="147"/>
      <c r="E47" s="150" t="e">
        <f>VLOOKUP(B7,'Facture policière'!B6:I305,8,FALSE)</f>
        <v>#N/A</v>
      </c>
      <c r="F47" s="148"/>
    </row>
    <row r="48" spans="2:12" s="149" customFormat="1" ht="12.75" x14ac:dyDescent="0.2">
      <c r="B48" s="147" t="s">
        <v>535</v>
      </c>
      <c r="C48" s="147"/>
      <c r="D48" s="147"/>
      <c r="E48" s="150" t="e">
        <f>VLOOKUP(B7,'Facture policière'!B6:K305,10,FALSE)</f>
        <v>#N/A</v>
      </c>
      <c r="F48" s="148" t="e">
        <f>E47+E48</f>
        <v>#N/A</v>
      </c>
    </row>
    <row r="49" spans="2:6" s="149" customFormat="1" ht="12.75" x14ac:dyDescent="0.2">
      <c r="B49" s="147"/>
      <c r="C49" s="147"/>
      <c r="D49" s="147"/>
      <c r="E49" s="148"/>
      <c r="F49" s="152"/>
    </row>
    <row r="50" spans="2:6" s="149" customFormat="1" ht="12.75" x14ac:dyDescent="0.2">
      <c r="B50" s="154" t="s">
        <v>536</v>
      </c>
      <c r="C50" s="147"/>
      <c r="D50" s="147"/>
      <c r="E50" s="148"/>
      <c r="F50" s="153" t="e">
        <f>F48</f>
        <v>#N/A</v>
      </c>
    </row>
    <row r="51" spans="2:6" s="149" customFormat="1" ht="6" customHeight="1" x14ac:dyDescent="0.2">
      <c r="B51" s="147"/>
      <c r="C51" s="147"/>
      <c r="D51" s="147"/>
      <c r="E51" s="148"/>
      <c r="F51" s="148"/>
    </row>
    <row r="52" spans="2:6" ht="18" x14ac:dyDescent="0.35">
      <c r="B52" s="142" t="s">
        <v>420</v>
      </c>
      <c r="C52" s="67"/>
      <c r="D52" s="67"/>
      <c r="E52" s="122"/>
      <c r="F52" s="122"/>
    </row>
    <row r="53" spans="2:6" ht="6" customHeight="1" x14ac:dyDescent="0.25">
      <c r="B53" s="147"/>
      <c r="C53" s="147"/>
      <c r="D53" s="147"/>
      <c r="E53" s="147"/>
      <c r="F53" s="147"/>
    </row>
    <row r="54" spans="2:6" x14ac:dyDescent="0.25">
      <c r="B54" s="154" t="s">
        <v>377</v>
      </c>
      <c r="C54" s="147"/>
      <c r="D54" s="147"/>
      <c r="E54" s="147"/>
      <c r="F54" s="153" t="e">
        <f>+F24+F43+F50</f>
        <v>#N/A</v>
      </c>
    </row>
    <row r="55" spans="2:6" ht="6" customHeight="1" x14ac:dyDescent="0.25">
      <c r="B55" s="147"/>
      <c r="C55" s="147"/>
      <c r="D55" s="147"/>
      <c r="E55" s="147"/>
      <c r="F55" s="147"/>
    </row>
    <row r="56" spans="2:6" ht="18" x14ac:dyDescent="0.35">
      <c r="B56" s="142" t="s">
        <v>378</v>
      </c>
      <c r="C56" s="67"/>
      <c r="D56" s="67"/>
      <c r="E56" s="122"/>
      <c r="F56" s="122"/>
    </row>
    <row r="57" spans="2:6" ht="6" customHeight="1" x14ac:dyDescent="0.25">
      <c r="B57" s="147"/>
      <c r="C57" s="147"/>
      <c r="D57" s="147"/>
      <c r="E57" s="148"/>
      <c r="F57" s="148"/>
    </row>
    <row r="58" spans="2:6" ht="38.25" x14ac:dyDescent="0.25">
      <c r="B58" s="147"/>
      <c r="C58" s="256" t="s">
        <v>390</v>
      </c>
      <c r="D58" s="257" t="s">
        <v>397</v>
      </c>
      <c r="E58" s="257" t="s">
        <v>278</v>
      </c>
      <c r="F58" s="258" t="s">
        <v>541</v>
      </c>
    </row>
    <row r="59" spans="2:6" x14ac:dyDescent="0.25">
      <c r="B59" s="259" t="s">
        <v>391</v>
      </c>
      <c r="C59" s="443" t="e">
        <f>SUM(D59:F59)</f>
        <v>#N/A</v>
      </c>
      <c r="D59" s="444" t="e">
        <f>VLOOKUP($C$3,'Décompte vs acomptes'!$B$6:$K$305,2,FALSE)</f>
        <v>#N/A</v>
      </c>
      <c r="E59" s="444" t="e">
        <f>VLOOKUP($C$3,'Décompte vs acomptes'!$B$6:$K$305,5,FALSE)</f>
        <v>#N/A</v>
      </c>
      <c r="F59" s="445" t="e">
        <f>VLOOKUP($C$3,'Décompte vs acomptes'!$B$6:$K$305,8,FALSE)</f>
        <v>#N/A</v>
      </c>
    </row>
    <row r="60" spans="2:6" x14ac:dyDescent="0.25">
      <c r="B60" s="259" t="s">
        <v>396</v>
      </c>
      <c r="C60" s="442" t="e">
        <f>IF(SUM(D60:F60)=0,"À venir", SUM(D60:F60))</f>
        <v>#N/A</v>
      </c>
      <c r="D60" s="440" t="e">
        <f>VLOOKUP($C$3,'Décompte vs acomptes'!$B$6:$K$305,3,FALSE)</f>
        <v>#N/A</v>
      </c>
      <c r="E60" s="440" t="e">
        <f>VLOOKUP($C$3,'Décompte vs acomptes'!$B$6:$K$305,6,FALSE)</f>
        <v>#N/A</v>
      </c>
      <c r="F60" s="441" t="e">
        <f>VLOOKUP($C$3,'Décompte vs acomptes'!$B$6:$K$305,9,FALSE)</f>
        <v>#N/A</v>
      </c>
    </row>
    <row r="61" spans="2:6" x14ac:dyDescent="0.25">
      <c r="B61" s="259" t="s">
        <v>542</v>
      </c>
      <c r="C61" s="443" t="e">
        <f>IF(SUM(D61:F61)=0,"À venir", SUM(D61:F601))</f>
        <v>#N/A</v>
      </c>
      <c r="D61" s="443" t="e">
        <f>VLOOKUP(B7,'Décompte vs acomptes'!B6:K305,4,FALSE)</f>
        <v>#N/A</v>
      </c>
      <c r="E61" s="443" t="e">
        <f>VLOOKUP(B7,'Décompte vs acomptes'!B6:K305,7,FALSE)</f>
        <v>#N/A</v>
      </c>
      <c r="F61" s="443" t="e">
        <f>VLOOKUP(B7,'Décompte vs acomptes'!B6:K305,10,FALSE)</f>
        <v>#N/A</v>
      </c>
    </row>
    <row r="62" spans="2:6" x14ac:dyDescent="0.25">
      <c r="B62" s="220"/>
      <c r="C62" s="260" t="s">
        <v>392</v>
      </c>
      <c r="D62" s="220"/>
      <c r="E62" s="5"/>
      <c r="F62" s="5"/>
    </row>
    <row r="63" spans="2:6" x14ac:dyDescent="0.25">
      <c r="B63" s="584" t="s">
        <v>553</v>
      </c>
      <c r="C63" s="584"/>
      <c r="D63" s="584"/>
      <c r="E63" s="584"/>
      <c r="F63" s="584"/>
    </row>
    <row r="64" spans="2:6" x14ac:dyDescent="0.25">
      <c r="B64" s="584"/>
      <c r="C64" s="584"/>
      <c r="D64" s="584"/>
      <c r="E64" s="584"/>
      <c r="F64" s="584"/>
    </row>
    <row r="65" spans="2:6" x14ac:dyDescent="0.25">
      <c r="B65" s="584"/>
      <c r="C65" s="584"/>
      <c r="D65" s="584"/>
      <c r="E65" s="584"/>
      <c r="F65" s="584"/>
    </row>
    <row r="66" spans="2:6" x14ac:dyDescent="0.25">
      <c r="B66" s="584"/>
      <c r="C66" s="584"/>
      <c r="D66" s="584"/>
      <c r="E66" s="584"/>
      <c r="F66" s="584"/>
    </row>
    <row r="67" spans="2:6" x14ac:dyDescent="0.25">
      <c r="B67" s="584"/>
      <c r="C67" s="584"/>
      <c r="D67" s="584"/>
      <c r="E67" s="584"/>
      <c r="F67" s="584"/>
    </row>
    <row r="68" spans="2:6" x14ac:dyDescent="0.25">
      <c r="B68" s="584"/>
      <c r="C68" s="584"/>
      <c r="D68" s="584"/>
      <c r="E68" s="584"/>
      <c r="F68" s="584"/>
    </row>
  </sheetData>
  <sheetProtection sheet="1" objects="1" scenarios="1"/>
  <protectedRanges>
    <protectedRange sqref="C3:E3" name="Plage1"/>
  </protectedRanges>
  <mergeCells count="4">
    <mergeCell ref="B6:F6"/>
    <mergeCell ref="B7:F7"/>
    <mergeCell ref="C3:E3"/>
    <mergeCell ref="B63:F68"/>
  </mergeCells>
  <hyperlinks>
    <hyperlink ref="H1" location="Paramètres!A1" display="← Précédent" xr:uid="{C99E8DC9-34D7-4506-948C-E2C82BEE3638}"/>
    <hyperlink ref="I1" location="'Table des matières'!A1" display="Table des matières" xr:uid="{DBE8451B-35F5-4A69-8050-8558AFF6E9FB}"/>
    <hyperlink ref="J1" location="Données!A1" display="Suivant →" xr:uid="{3934449B-B3E9-4F99-990E-AAED3775E5CF}"/>
  </hyperlink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311B9C-B1F5-4E57-8162-0ECA1A164850}">
          <x14:formula1>
            <xm:f>Paramètres!$A$61:$A$360</xm:f>
          </x14:formula1>
          <xm:sqref>C3:E3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CN306"/>
  <sheetViews>
    <sheetView zoomScaleNormal="100" workbookViewId="0">
      <pane ySplit="5" topLeftCell="A6" activePane="bottomLeft" state="frozen"/>
      <selection pane="bottomLeft"/>
    </sheetView>
  </sheetViews>
  <sheetFormatPr baseColWidth="10" defaultColWidth="8.625" defaultRowHeight="15" x14ac:dyDescent="0.25"/>
  <cols>
    <col min="1" max="1" width="8.5" style="196" customWidth="1"/>
    <col min="2" max="2" width="21.625" style="13" bestFit="1" customWidth="1"/>
    <col min="3" max="3" width="13.5" style="191" bestFit="1" customWidth="1"/>
    <col min="4" max="4" width="11.5" style="13" customWidth="1"/>
    <col min="5" max="5" width="10.625" style="13" bestFit="1" customWidth="1"/>
    <col min="6" max="6" width="9.375" style="13" bestFit="1" customWidth="1"/>
    <col min="7" max="7" width="12.25" style="207" bestFit="1" customWidth="1"/>
    <col min="8" max="8" width="11.5" style="207" bestFit="1" customWidth="1"/>
    <col min="9" max="11" width="11.5" style="13" bestFit="1" customWidth="1"/>
    <col min="12" max="12" width="12.25" style="13" bestFit="1" customWidth="1"/>
    <col min="13" max="13" width="15.375" style="13" bestFit="1" customWidth="1"/>
    <col min="14" max="16" width="12.125" style="5" bestFit="1" customWidth="1"/>
    <col min="17" max="17" width="12.5" style="5" bestFit="1" customWidth="1"/>
    <col min="18" max="18" width="12.125" style="5" bestFit="1" customWidth="1"/>
    <col min="19" max="19" width="12.5" style="5" bestFit="1" customWidth="1"/>
    <col min="20" max="20" width="15.375" style="13" bestFit="1" customWidth="1"/>
    <col min="21" max="21" width="13" style="13" bestFit="1" customWidth="1"/>
    <col min="22" max="22" width="12" style="13" customWidth="1"/>
    <col min="23" max="23" width="13.375" style="13" bestFit="1" customWidth="1"/>
    <col min="24" max="24" width="10.375" style="13" customWidth="1"/>
    <col min="25" max="25" width="7.375" style="13" bestFit="1" customWidth="1"/>
    <col min="26" max="26" width="10.875" style="5" bestFit="1" customWidth="1"/>
    <col min="27" max="27" width="3.625" style="240" customWidth="1"/>
    <col min="28" max="28" width="9.875" style="240" bestFit="1" customWidth="1"/>
    <col min="29" max="29" width="6.25" style="240" bestFit="1" customWidth="1"/>
    <col min="30" max="30" width="10.75" style="240" bestFit="1" customWidth="1"/>
    <col min="31" max="31" width="6.25" style="240" bestFit="1" customWidth="1"/>
    <col min="32" max="32" width="13.125" style="240" customWidth="1"/>
    <col min="33" max="34" width="11.5" style="240" customWidth="1"/>
    <col min="35" max="35" width="3.625" style="240" customWidth="1"/>
    <col min="36" max="36" width="9.25" style="240" customWidth="1"/>
    <col min="37" max="37" width="5.25" style="240" bestFit="1" customWidth="1"/>
    <col min="38" max="38" width="9.875" style="240" bestFit="1" customWidth="1"/>
    <col min="39" max="39" width="6.125" style="240" bestFit="1" customWidth="1"/>
    <col min="40" max="40" width="9.875" style="240" bestFit="1" customWidth="1"/>
    <col min="41" max="41" width="3.75" style="240" customWidth="1"/>
    <col min="42" max="42" width="16" style="240" customWidth="1"/>
    <col min="43" max="43" width="3.75" style="240" customWidth="1"/>
    <col min="44" max="44" width="10.125" style="240" customWidth="1"/>
    <col min="45" max="45" width="12.125" style="240" bestFit="1" customWidth="1"/>
    <col min="46" max="46" width="9.75" style="240" bestFit="1" customWidth="1"/>
    <col min="47" max="47" width="9.75" style="5" customWidth="1"/>
    <col min="48" max="92" width="8.625" style="240"/>
    <col min="93" max="16384" width="8.625" style="13"/>
  </cols>
  <sheetData>
    <row r="1" spans="1:47" ht="26.25" x14ac:dyDescent="0.4">
      <c r="A1" s="280" t="str">
        <f>CONCATENATE("Données (",Paramètres!B5,")")</f>
        <v>Données (2020)</v>
      </c>
      <c r="B1" s="185"/>
      <c r="C1" s="415" t="s">
        <v>409</v>
      </c>
      <c r="D1" s="306" t="s">
        <v>401</v>
      </c>
      <c r="E1" s="414" t="s">
        <v>410</v>
      </c>
      <c r="F1" s="185"/>
      <c r="G1" s="185"/>
      <c r="H1" s="185"/>
      <c r="I1" s="185"/>
      <c r="J1" s="185"/>
      <c r="S1" s="4"/>
      <c r="X1" s="197"/>
    </row>
    <row r="2" spans="1:47" ht="15.75" x14ac:dyDescent="0.25">
      <c r="A2" s="364" t="str">
        <f>Paramètres!B4</f>
        <v>Acomptes 2022</v>
      </c>
      <c r="C2" s="187"/>
      <c r="D2" s="187"/>
      <c r="E2" s="187"/>
      <c r="F2" s="187"/>
      <c r="G2" s="187"/>
      <c r="H2" s="187"/>
      <c r="I2" s="187"/>
      <c r="J2" s="187"/>
      <c r="K2" s="187"/>
      <c r="L2" s="187"/>
      <c r="M2" s="187"/>
      <c r="N2" s="505"/>
      <c r="O2" s="505"/>
      <c r="P2" s="505"/>
      <c r="Q2" s="505"/>
      <c r="R2" s="505"/>
      <c r="S2" s="505"/>
      <c r="T2" s="187"/>
      <c r="U2" s="187"/>
      <c r="V2" s="187"/>
      <c r="W2" s="187"/>
      <c r="X2" s="187"/>
      <c r="Y2" s="187"/>
      <c r="Z2" s="187"/>
      <c r="AA2" s="187"/>
      <c r="AB2" s="187"/>
      <c r="AC2" s="187"/>
      <c r="AD2" s="187"/>
      <c r="AE2" s="187"/>
      <c r="AF2" s="187"/>
      <c r="AG2" s="187"/>
      <c r="AH2" s="187"/>
    </row>
    <row r="3" spans="1:47" x14ac:dyDescent="0.25">
      <c r="A3" s="192"/>
      <c r="B3" s="185"/>
      <c r="C3" s="186"/>
      <c r="D3" s="185"/>
      <c r="E3" s="185"/>
      <c r="F3" s="185"/>
      <c r="G3" s="185"/>
      <c r="H3" s="185"/>
      <c r="I3" s="185"/>
      <c r="J3" s="185"/>
      <c r="L3" s="188"/>
      <c r="S3" s="4"/>
      <c r="X3" s="197"/>
      <c r="AB3" s="589" t="s">
        <v>552</v>
      </c>
      <c r="AC3" s="590"/>
      <c r="AD3" s="590"/>
      <c r="AE3" s="590"/>
      <c r="AF3" s="591"/>
      <c r="AJ3" s="589" t="s">
        <v>467</v>
      </c>
      <c r="AK3" s="590"/>
      <c r="AL3" s="590"/>
      <c r="AM3" s="590"/>
      <c r="AN3" s="591"/>
    </row>
    <row r="4" spans="1:47" s="189" customFormat="1" ht="74.25" customHeight="1" x14ac:dyDescent="0.2">
      <c r="A4" s="595" t="s">
        <v>44</v>
      </c>
      <c r="B4" s="597" t="s">
        <v>398</v>
      </c>
      <c r="C4" s="470" t="s">
        <v>451</v>
      </c>
      <c r="D4" s="470" t="s">
        <v>452</v>
      </c>
      <c r="E4" s="467" t="s">
        <v>223</v>
      </c>
      <c r="F4" s="467" t="s">
        <v>224</v>
      </c>
      <c r="G4" s="467" t="s">
        <v>453</v>
      </c>
      <c r="H4" s="467" t="s">
        <v>454</v>
      </c>
      <c r="I4" s="467" t="s">
        <v>545</v>
      </c>
      <c r="J4" s="467" t="s">
        <v>421</v>
      </c>
      <c r="K4" s="467" t="s">
        <v>455</v>
      </c>
      <c r="L4" s="467" t="s">
        <v>314</v>
      </c>
      <c r="M4" s="467" t="s">
        <v>173</v>
      </c>
      <c r="N4" s="473" t="s">
        <v>174</v>
      </c>
      <c r="O4" s="473" t="s">
        <v>175</v>
      </c>
      <c r="P4" s="473" t="s">
        <v>176</v>
      </c>
      <c r="Q4" s="599" t="s">
        <v>338</v>
      </c>
      <c r="R4" s="473" t="s">
        <v>177</v>
      </c>
      <c r="S4" s="599" t="s">
        <v>422</v>
      </c>
      <c r="T4" s="467" t="s">
        <v>124</v>
      </c>
      <c r="U4" s="601" t="s">
        <v>219</v>
      </c>
      <c r="V4" s="601" t="s">
        <v>544</v>
      </c>
      <c r="W4" s="601" t="s">
        <v>220</v>
      </c>
      <c r="X4" s="470" t="s">
        <v>71</v>
      </c>
      <c r="Y4" s="601" t="s">
        <v>372</v>
      </c>
      <c r="Z4" s="471" t="s">
        <v>357</v>
      </c>
      <c r="AA4" s="271"/>
      <c r="AB4" s="592" t="s">
        <v>386</v>
      </c>
      <c r="AC4" s="593"/>
      <c r="AD4" s="592" t="s">
        <v>385</v>
      </c>
      <c r="AE4" s="593"/>
      <c r="AF4" s="587" t="s">
        <v>444</v>
      </c>
      <c r="AG4" s="587" t="s">
        <v>279</v>
      </c>
      <c r="AH4" s="587" t="s">
        <v>280</v>
      </c>
      <c r="AJ4" s="592" t="s">
        <v>387</v>
      </c>
      <c r="AK4" s="593"/>
      <c r="AL4" s="592" t="s">
        <v>385</v>
      </c>
      <c r="AM4" s="593"/>
      <c r="AN4" s="587" t="s">
        <v>434</v>
      </c>
      <c r="AP4" s="416" t="s">
        <v>504</v>
      </c>
      <c r="AR4" s="585" t="s">
        <v>445</v>
      </c>
      <c r="AU4" s="247"/>
    </row>
    <row r="5" spans="1:47" s="185" customFormat="1" x14ac:dyDescent="0.25">
      <c r="A5" s="596"/>
      <c r="B5" s="598"/>
      <c r="C5" s="319" t="s">
        <v>339</v>
      </c>
      <c r="D5" s="320" t="s">
        <v>340</v>
      </c>
      <c r="E5" s="321" t="s">
        <v>72</v>
      </c>
      <c r="F5" s="321" t="s">
        <v>73</v>
      </c>
      <c r="G5" s="321" t="s">
        <v>341</v>
      </c>
      <c r="H5" s="321" t="s">
        <v>342</v>
      </c>
      <c r="I5" s="321" t="s">
        <v>74</v>
      </c>
      <c r="J5" s="321" t="s">
        <v>75</v>
      </c>
      <c r="K5" s="321" t="s">
        <v>76</v>
      </c>
      <c r="L5" s="321" t="s">
        <v>77</v>
      </c>
      <c r="M5" s="321" t="s">
        <v>78</v>
      </c>
      <c r="N5" s="460" t="s">
        <v>79</v>
      </c>
      <c r="O5" s="460" t="s">
        <v>80</v>
      </c>
      <c r="P5" s="460" t="s">
        <v>81</v>
      </c>
      <c r="Q5" s="600"/>
      <c r="R5" s="460" t="s">
        <v>82</v>
      </c>
      <c r="S5" s="600"/>
      <c r="T5" s="321" t="s">
        <v>83</v>
      </c>
      <c r="U5" s="603"/>
      <c r="V5" s="603"/>
      <c r="W5" s="602"/>
      <c r="X5" s="468">
        <f>Paramètres!B5</f>
        <v>2020</v>
      </c>
      <c r="Y5" s="602"/>
      <c r="Z5" s="469">
        <f>+Paramètres!B6</f>
        <v>42734</v>
      </c>
      <c r="AA5" s="271"/>
      <c r="AB5" s="380" t="s">
        <v>360</v>
      </c>
      <c r="AC5" s="380" t="s">
        <v>361</v>
      </c>
      <c r="AD5" s="380" t="s">
        <v>360</v>
      </c>
      <c r="AE5" s="380" t="s">
        <v>361</v>
      </c>
      <c r="AF5" s="594"/>
      <c r="AG5" s="594"/>
      <c r="AH5" s="588"/>
      <c r="AJ5" s="380" t="s">
        <v>360</v>
      </c>
      <c r="AK5" s="380" t="s">
        <v>361</v>
      </c>
      <c r="AL5" s="380" t="s">
        <v>360</v>
      </c>
      <c r="AM5" s="380" t="s">
        <v>361</v>
      </c>
      <c r="AN5" s="588"/>
      <c r="AP5" s="472" t="s">
        <v>489</v>
      </c>
      <c r="AR5" s="586"/>
      <c r="AU5" s="4"/>
    </row>
    <row r="6" spans="1:47" x14ac:dyDescent="0.25">
      <c r="A6" s="193">
        <v>5401</v>
      </c>
      <c r="B6" s="454" t="s">
        <v>225</v>
      </c>
      <c r="C6" s="446">
        <v>12062183.039999999</v>
      </c>
      <c r="D6" s="446">
        <v>1793352.62</v>
      </c>
      <c r="E6" s="446"/>
      <c r="F6" s="446">
        <v>0</v>
      </c>
      <c r="G6" s="446">
        <v>2214823.5499999998</v>
      </c>
      <c r="H6" s="446">
        <v>100959.25</v>
      </c>
      <c r="I6" s="446">
        <v>11522.44</v>
      </c>
      <c r="J6" s="446">
        <v>604742.80000000005</v>
      </c>
      <c r="K6" s="446">
        <v>183083.15</v>
      </c>
      <c r="L6" s="446">
        <v>2146829.7000000002</v>
      </c>
      <c r="M6" s="506">
        <f t="shared" ref="M6:M65" si="0">SUM(C6:L6)</f>
        <v>19117496.549999997</v>
      </c>
      <c r="N6" s="446">
        <v>1288148.8</v>
      </c>
      <c r="O6" s="446">
        <v>239381</v>
      </c>
      <c r="P6" s="446">
        <v>765608.15</v>
      </c>
      <c r="Q6" s="446">
        <v>100742.68</v>
      </c>
      <c r="R6" s="446">
        <v>415357.65</v>
      </c>
      <c r="S6" s="446">
        <v>227199.64981685171</v>
      </c>
      <c r="T6" s="506">
        <f t="shared" ref="T6:T69" si="1">SUM(M6:S6)</f>
        <v>22153934.479816847</v>
      </c>
      <c r="U6" s="446">
        <v>-326033.98</v>
      </c>
      <c r="V6" s="446"/>
      <c r="W6" s="446">
        <v>-20400.3</v>
      </c>
      <c r="X6" s="448">
        <v>66</v>
      </c>
      <c r="Y6" s="448">
        <v>1.2</v>
      </c>
      <c r="Z6" s="446">
        <v>10518</v>
      </c>
      <c r="AA6" s="269"/>
      <c r="AB6" s="446">
        <v>891225</v>
      </c>
      <c r="AC6" s="450">
        <f>AB6/VPI!R6</f>
        <v>3.1385851012250878</v>
      </c>
      <c r="AD6" s="452">
        <f>AF6-AB6</f>
        <v>3361530</v>
      </c>
      <c r="AE6" s="450">
        <f>AD6/VPI!R6</f>
        <v>11.838141855671878</v>
      </c>
      <c r="AF6" s="446">
        <v>4252755</v>
      </c>
      <c r="AG6" s="446">
        <v>2138970</v>
      </c>
      <c r="AH6" s="446">
        <v>38924</v>
      </c>
      <c r="AI6" s="272"/>
      <c r="AJ6" s="446">
        <v>0</v>
      </c>
      <c r="AK6" s="450">
        <f>AJ6/VPI!R6</f>
        <v>0</v>
      </c>
      <c r="AL6" s="452">
        <f>AN6-AJ6</f>
        <v>340363</v>
      </c>
      <c r="AM6" s="450">
        <f>AL6/VPI!R6</f>
        <v>1.198640344254565</v>
      </c>
      <c r="AN6" s="446">
        <v>340363</v>
      </c>
      <c r="AO6" s="272"/>
      <c r="AP6" s="540">
        <v>2.7778836528192832</v>
      </c>
      <c r="AR6" s="177">
        <v>1</v>
      </c>
    </row>
    <row r="7" spans="1:47" x14ac:dyDescent="0.25">
      <c r="A7" s="193">
        <v>5402</v>
      </c>
      <c r="B7" s="454" t="s">
        <v>226</v>
      </c>
      <c r="C7" s="446">
        <v>8696027.5899999999</v>
      </c>
      <c r="D7" s="446">
        <v>1343621.1</v>
      </c>
      <c r="E7" s="446"/>
      <c r="F7" s="446">
        <v>0</v>
      </c>
      <c r="G7" s="446">
        <v>957640.85</v>
      </c>
      <c r="H7" s="446">
        <v>72223.8</v>
      </c>
      <c r="I7" s="446">
        <v>-55670.9</v>
      </c>
      <c r="J7" s="446">
        <v>311153.5</v>
      </c>
      <c r="K7" s="446">
        <v>124770.15</v>
      </c>
      <c r="L7" s="446">
        <v>1641770.75</v>
      </c>
      <c r="M7" s="506">
        <f t="shared" si="0"/>
        <v>13091536.84</v>
      </c>
      <c r="N7" s="446">
        <v>273206.65000000002</v>
      </c>
      <c r="O7" s="446">
        <v>119032.9</v>
      </c>
      <c r="P7" s="446">
        <v>624842.19999999995</v>
      </c>
      <c r="Q7" s="446">
        <v>51767</v>
      </c>
      <c r="R7" s="446">
        <v>329056.45</v>
      </c>
      <c r="S7" s="446">
        <v>101039.22001612352</v>
      </c>
      <c r="T7" s="506">
        <f t="shared" si="1"/>
        <v>14590481.260016123</v>
      </c>
      <c r="U7" s="446">
        <v>-208361.81</v>
      </c>
      <c r="V7" s="446"/>
      <c r="W7" s="446">
        <v>-2713.5</v>
      </c>
      <c r="X7" s="448">
        <v>71</v>
      </c>
      <c r="Y7" s="448">
        <v>1.25</v>
      </c>
      <c r="Z7" s="446">
        <v>7828</v>
      </c>
      <c r="AA7" s="269"/>
      <c r="AB7" s="446">
        <v>597240</v>
      </c>
      <c r="AC7" s="450">
        <f>AB7/VPI!R7</f>
        <v>3.3376094741758959</v>
      </c>
      <c r="AD7" s="452">
        <f t="shared" ref="AD7:AD70" si="2">AF7-AB7</f>
        <v>2402739</v>
      </c>
      <c r="AE7" s="450">
        <f>AD7/VPI!R7</f>
        <v>13.427440309376328</v>
      </c>
      <c r="AF7" s="446">
        <v>2999979</v>
      </c>
      <c r="AG7" s="446">
        <v>706434</v>
      </c>
      <c r="AH7" s="446">
        <v>199782</v>
      </c>
      <c r="AI7" s="272"/>
      <c r="AJ7" s="446">
        <v>0</v>
      </c>
      <c r="AK7" s="450">
        <f>AJ7/VPI!R7</f>
        <v>0</v>
      </c>
      <c r="AL7" s="452">
        <f t="shared" ref="AL7:AL70" si="3">AN7-AJ7</f>
        <v>445583</v>
      </c>
      <c r="AM7" s="450">
        <f>AL7/VPI!R7</f>
        <v>2.4900911565396124</v>
      </c>
      <c r="AN7" s="446">
        <v>445583</v>
      </c>
      <c r="AO7" s="272"/>
      <c r="AP7" s="541">
        <v>-3.2616918003402584</v>
      </c>
      <c r="AR7" s="178">
        <v>1</v>
      </c>
    </row>
    <row r="8" spans="1:47" x14ac:dyDescent="0.25">
      <c r="A8" s="193">
        <v>5403</v>
      </c>
      <c r="B8" s="454" t="s">
        <v>100</v>
      </c>
      <c r="C8" s="446">
        <v>662617.01</v>
      </c>
      <c r="D8" s="446">
        <v>59421.75</v>
      </c>
      <c r="E8" s="446"/>
      <c r="F8" s="446">
        <v>0</v>
      </c>
      <c r="G8" s="446">
        <v>4169.3999999999996</v>
      </c>
      <c r="H8" s="446">
        <v>891.7</v>
      </c>
      <c r="I8" s="446">
        <v>0</v>
      </c>
      <c r="J8" s="446">
        <v>21554.639999999999</v>
      </c>
      <c r="K8" s="446">
        <v>8424.7999999999993</v>
      </c>
      <c r="L8" s="446">
        <v>81372</v>
      </c>
      <c r="M8" s="506">
        <f t="shared" si="0"/>
        <v>838451.3</v>
      </c>
      <c r="N8" s="446">
        <v>8460.15</v>
      </c>
      <c r="O8" s="446">
        <v>0</v>
      </c>
      <c r="P8" s="446">
        <v>82687.350000000006</v>
      </c>
      <c r="Q8" s="446">
        <v>0</v>
      </c>
      <c r="R8" s="446">
        <v>29709.7</v>
      </c>
      <c r="S8" s="446">
        <v>496.54058562317164</v>
      </c>
      <c r="T8" s="506">
        <f t="shared" si="1"/>
        <v>959805.04058562312</v>
      </c>
      <c r="U8" s="446">
        <v>-40025.58</v>
      </c>
      <c r="V8" s="446"/>
      <c r="W8" s="446">
        <v>0</v>
      </c>
      <c r="X8" s="448">
        <v>74</v>
      </c>
      <c r="Y8" s="448">
        <v>1</v>
      </c>
      <c r="Z8" s="446">
        <v>444</v>
      </c>
      <c r="AA8" s="269"/>
      <c r="AB8" s="446">
        <v>19988</v>
      </c>
      <c r="AC8" s="450">
        <f>AB8/VPI!R8</f>
        <v>1.8513841370695894</v>
      </c>
      <c r="AD8" s="452">
        <f t="shared" si="2"/>
        <v>27544</v>
      </c>
      <c r="AE8" s="450">
        <f>AD8/VPI!R8</f>
        <v>2.5512569877648974</v>
      </c>
      <c r="AF8" s="446">
        <v>47532</v>
      </c>
      <c r="AG8" s="446">
        <v>28438</v>
      </c>
      <c r="AH8" s="446">
        <v>11745</v>
      </c>
      <c r="AI8" s="272"/>
      <c r="AJ8" s="446">
        <v>0</v>
      </c>
      <c r="AK8" s="450">
        <f>AJ8/VPI!R8</f>
        <v>0</v>
      </c>
      <c r="AL8" s="452">
        <f t="shared" si="3"/>
        <v>30949</v>
      </c>
      <c r="AM8" s="450">
        <f>AL8/VPI!R8</f>
        <v>2.8666443695300541</v>
      </c>
      <c r="AN8" s="446">
        <v>30949</v>
      </c>
      <c r="AO8" s="272"/>
      <c r="AP8" s="541">
        <v>11.646717585626469</v>
      </c>
      <c r="AR8" s="178">
        <v>0</v>
      </c>
    </row>
    <row r="9" spans="1:47" x14ac:dyDescent="0.25">
      <c r="A9" s="193">
        <v>5404</v>
      </c>
      <c r="B9" s="454" t="s">
        <v>101</v>
      </c>
      <c r="C9" s="446">
        <v>618428.80000000005</v>
      </c>
      <c r="D9" s="446">
        <v>119447.41</v>
      </c>
      <c r="E9" s="446"/>
      <c r="F9" s="446">
        <v>0</v>
      </c>
      <c r="G9" s="446">
        <v>-1133.05</v>
      </c>
      <c r="H9" s="446">
        <v>5955.8</v>
      </c>
      <c r="I9" s="446">
        <v>0</v>
      </c>
      <c r="J9" s="446">
        <v>1197.28</v>
      </c>
      <c r="K9" s="446">
        <v>5412.05</v>
      </c>
      <c r="L9" s="446">
        <v>129117</v>
      </c>
      <c r="M9" s="506">
        <f t="shared" si="0"/>
        <v>878425.29000000015</v>
      </c>
      <c r="N9" s="446">
        <v>16587</v>
      </c>
      <c r="O9" s="446">
        <v>34998.699999999997</v>
      </c>
      <c r="P9" s="446">
        <v>33854.400000000001</v>
      </c>
      <c r="Q9" s="446">
        <v>0</v>
      </c>
      <c r="R9" s="446">
        <v>42010.2</v>
      </c>
      <c r="S9" s="446">
        <v>473.15625245779597</v>
      </c>
      <c r="T9" s="506">
        <f t="shared" si="1"/>
        <v>1006348.7462524578</v>
      </c>
      <c r="U9" s="446">
        <v>-1959.06</v>
      </c>
      <c r="V9" s="446"/>
      <c r="W9" s="446">
        <v>-183.3</v>
      </c>
      <c r="X9" s="448">
        <v>74</v>
      </c>
      <c r="Y9" s="448">
        <v>1.5</v>
      </c>
      <c r="Z9" s="446">
        <v>445</v>
      </c>
      <c r="AA9" s="269"/>
      <c r="AB9" s="446">
        <v>11111</v>
      </c>
      <c r="AC9" s="450">
        <f>AB9/VPI!R9</f>
        <v>0.98620265022495357</v>
      </c>
      <c r="AD9" s="452">
        <f t="shared" si="2"/>
        <v>181321</v>
      </c>
      <c r="AE9" s="450">
        <f>AD9/VPI!R9</f>
        <v>16.09389350566455</v>
      </c>
      <c r="AF9" s="446">
        <v>192432</v>
      </c>
      <c r="AG9" s="446">
        <v>19311</v>
      </c>
      <c r="AH9" s="446">
        <v>30393</v>
      </c>
      <c r="AI9" s="272"/>
      <c r="AJ9" s="446">
        <v>0</v>
      </c>
      <c r="AK9" s="450">
        <f>AJ9/VPI!R9</f>
        <v>0</v>
      </c>
      <c r="AL9" s="452">
        <f t="shared" si="3"/>
        <v>35973</v>
      </c>
      <c r="AM9" s="450">
        <f>AL9/VPI!R9</f>
        <v>3.1929320436092388</v>
      </c>
      <c r="AN9" s="446">
        <v>35973</v>
      </c>
      <c r="AO9" s="272"/>
      <c r="AP9" s="541">
        <v>23.054184696711388</v>
      </c>
      <c r="AR9" s="178">
        <v>0</v>
      </c>
    </row>
    <row r="10" spans="1:47" x14ac:dyDescent="0.25">
      <c r="A10" s="193">
        <v>5405</v>
      </c>
      <c r="B10" s="454" t="s">
        <v>102</v>
      </c>
      <c r="C10" s="446">
        <v>2836111.66</v>
      </c>
      <c r="D10" s="446">
        <v>1169780.57</v>
      </c>
      <c r="E10" s="446"/>
      <c r="F10" s="446">
        <v>0</v>
      </c>
      <c r="G10" s="446">
        <v>29285.05</v>
      </c>
      <c r="H10" s="446">
        <v>3343.65</v>
      </c>
      <c r="I10" s="446">
        <v>319555.25</v>
      </c>
      <c r="J10" s="446">
        <v>138909.26999999999</v>
      </c>
      <c r="K10" s="446">
        <v>13374.65</v>
      </c>
      <c r="L10" s="446">
        <v>785757.75</v>
      </c>
      <c r="M10" s="506">
        <f t="shared" si="0"/>
        <v>5296117.8499999996</v>
      </c>
      <c r="N10" s="446">
        <v>463.15</v>
      </c>
      <c r="O10" s="446">
        <v>150845</v>
      </c>
      <c r="P10" s="446">
        <v>408678.5</v>
      </c>
      <c r="Q10" s="446">
        <v>3626.44</v>
      </c>
      <c r="R10" s="446">
        <v>285741.75</v>
      </c>
      <c r="S10" s="446">
        <v>3201.1763857902001</v>
      </c>
      <c r="T10" s="506">
        <f t="shared" si="1"/>
        <v>6148673.8663857905</v>
      </c>
      <c r="U10" s="446">
        <v>-28222.07</v>
      </c>
      <c r="V10" s="446"/>
      <c r="W10" s="446">
        <v>-1860.82</v>
      </c>
      <c r="X10" s="448">
        <v>73.5</v>
      </c>
      <c r="Y10" s="448">
        <v>1.5</v>
      </c>
      <c r="Z10" s="446">
        <v>1378</v>
      </c>
      <c r="AA10" s="269"/>
      <c r="AB10" s="446">
        <v>461188</v>
      </c>
      <c r="AC10" s="450">
        <f>AB10/VPI!R10</f>
        <v>6.7646580278625681</v>
      </c>
      <c r="AD10" s="452">
        <f t="shared" si="2"/>
        <v>995343</v>
      </c>
      <c r="AE10" s="450">
        <f>AD10/VPI!R10</f>
        <v>14.599588487616357</v>
      </c>
      <c r="AF10" s="446">
        <v>1456531</v>
      </c>
      <c r="AG10" s="446">
        <v>159992</v>
      </c>
      <c r="AH10" s="446">
        <v>73393</v>
      </c>
      <c r="AI10" s="272"/>
      <c r="AJ10" s="446">
        <v>0</v>
      </c>
      <c r="AK10" s="450">
        <f>AJ10/VPI!R10</f>
        <v>0</v>
      </c>
      <c r="AL10" s="452">
        <f t="shared" si="3"/>
        <v>-15976</v>
      </c>
      <c r="AM10" s="450">
        <f>AL10/VPI!R10</f>
        <v>-0.23433432060923615</v>
      </c>
      <c r="AN10" s="446">
        <v>-15976</v>
      </c>
      <c r="AO10" s="272"/>
      <c r="AP10" s="541">
        <v>32.045557413322754</v>
      </c>
      <c r="AR10" s="178">
        <v>0</v>
      </c>
    </row>
    <row r="11" spans="1:47" x14ac:dyDescent="0.25">
      <c r="A11" s="193">
        <v>5406</v>
      </c>
      <c r="B11" s="454" t="s">
        <v>103</v>
      </c>
      <c r="C11" s="446">
        <v>1151461.03</v>
      </c>
      <c r="D11" s="446">
        <v>151707.82</v>
      </c>
      <c r="E11" s="446"/>
      <c r="F11" s="446">
        <v>0</v>
      </c>
      <c r="G11" s="446">
        <v>55191.3</v>
      </c>
      <c r="H11" s="446">
        <v>2938.2</v>
      </c>
      <c r="I11" s="446">
        <v>0</v>
      </c>
      <c r="J11" s="446">
        <v>48632.09</v>
      </c>
      <c r="K11" s="446">
        <v>9389.5499999999993</v>
      </c>
      <c r="L11" s="446">
        <v>195970.05</v>
      </c>
      <c r="M11" s="506">
        <f t="shared" si="0"/>
        <v>1615290.0400000003</v>
      </c>
      <c r="N11" s="446">
        <v>1891.95</v>
      </c>
      <c r="O11" s="446">
        <v>73255.8</v>
      </c>
      <c r="P11" s="446">
        <v>75697.350000000006</v>
      </c>
      <c r="Q11" s="446">
        <v>796.54</v>
      </c>
      <c r="R11" s="446">
        <v>60384.6</v>
      </c>
      <c r="S11" s="446">
        <v>5703.0400450459692</v>
      </c>
      <c r="T11" s="506">
        <f t="shared" si="1"/>
        <v>1833019.3200450465</v>
      </c>
      <c r="U11" s="446">
        <v>-15500.27</v>
      </c>
      <c r="V11" s="446"/>
      <c r="W11" s="446">
        <v>-592.92999999999995</v>
      </c>
      <c r="X11" s="448">
        <v>71.5</v>
      </c>
      <c r="Y11" s="448">
        <v>1.3</v>
      </c>
      <c r="Z11" s="446">
        <v>944</v>
      </c>
      <c r="AA11" s="269"/>
      <c r="AB11" s="446">
        <v>72892</v>
      </c>
      <c r="AC11" s="450">
        <f>AB11/VPI!R11</f>
        <v>3.3398716041134069</v>
      </c>
      <c r="AD11" s="452">
        <f t="shared" si="2"/>
        <v>233439</v>
      </c>
      <c r="AE11" s="450">
        <f>AD11/VPI!R11</f>
        <v>10.696047404277968</v>
      </c>
      <c r="AF11" s="446">
        <v>306331</v>
      </c>
      <c r="AG11" s="446">
        <v>41143</v>
      </c>
      <c r="AH11" s="446">
        <v>28284</v>
      </c>
      <c r="AI11" s="272"/>
      <c r="AJ11" s="446">
        <v>0</v>
      </c>
      <c r="AK11" s="450">
        <f>AJ11/VPI!R11</f>
        <v>0</v>
      </c>
      <c r="AL11" s="452">
        <f t="shared" si="3"/>
        <v>55931</v>
      </c>
      <c r="AM11" s="450">
        <f>AL11/VPI!R11</f>
        <v>2.5627278533949811</v>
      </c>
      <c r="AN11" s="446">
        <v>55931</v>
      </c>
      <c r="AO11" s="272"/>
      <c r="AP11" s="541">
        <v>15.526785841333849</v>
      </c>
      <c r="AR11" s="178">
        <v>0</v>
      </c>
    </row>
    <row r="12" spans="1:47" x14ac:dyDescent="0.25">
      <c r="A12" s="193">
        <v>5407</v>
      </c>
      <c r="B12" s="454" t="s">
        <v>104</v>
      </c>
      <c r="C12" s="446">
        <v>4258908.03</v>
      </c>
      <c r="D12" s="446">
        <v>1070265.48</v>
      </c>
      <c r="E12" s="446"/>
      <c r="F12" s="446">
        <v>0</v>
      </c>
      <c r="G12" s="446">
        <v>164373.54999999999</v>
      </c>
      <c r="H12" s="446">
        <v>100255.7</v>
      </c>
      <c r="I12" s="446">
        <v>155949.29999999999</v>
      </c>
      <c r="J12" s="446">
        <v>445408.01</v>
      </c>
      <c r="K12" s="446">
        <v>63329.7</v>
      </c>
      <c r="L12" s="446">
        <v>1249653.8500000001</v>
      </c>
      <c r="M12" s="506">
        <f t="shared" si="0"/>
        <v>7508143.6199999992</v>
      </c>
      <c r="N12" s="446">
        <v>64008.35</v>
      </c>
      <c r="O12" s="446">
        <v>157815.9</v>
      </c>
      <c r="P12" s="446">
        <v>404776.3</v>
      </c>
      <c r="Q12" s="446">
        <v>39319.53</v>
      </c>
      <c r="R12" s="446">
        <v>187357.15</v>
      </c>
      <c r="S12" s="446">
        <v>25962.569948829445</v>
      </c>
      <c r="T12" s="506">
        <f t="shared" si="1"/>
        <v>8387383.4199488293</v>
      </c>
      <c r="U12" s="446">
        <v>-71820.56</v>
      </c>
      <c r="V12" s="446"/>
      <c r="W12" s="446">
        <v>-6701.08</v>
      </c>
      <c r="X12" s="448">
        <v>78</v>
      </c>
      <c r="Y12" s="448">
        <v>1.5</v>
      </c>
      <c r="Z12" s="446">
        <v>3645</v>
      </c>
      <c r="AA12" s="269"/>
      <c r="AB12" s="446">
        <v>353769</v>
      </c>
      <c r="AC12" s="450">
        <f>AB12/VPI!R12</f>
        <v>3.8983620614663375</v>
      </c>
      <c r="AD12" s="452">
        <f t="shared" si="2"/>
        <v>1593191</v>
      </c>
      <c r="AE12" s="450">
        <f>AD12/VPI!R12</f>
        <v>17.556188787230131</v>
      </c>
      <c r="AF12" s="446">
        <v>1946960</v>
      </c>
      <c r="AG12" s="446">
        <v>778436</v>
      </c>
      <c r="AH12" s="446">
        <v>213517</v>
      </c>
      <c r="AI12" s="272"/>
      <c r="AJ12" s="446">
        <v>0</v>
      </c>
      <c r="AK12" s="450">
        <f>AJ12/VPI!R12</f>
        <v>0</v>
      </c>
      <c r="AL12" s="452">
        <f t="shared" si="3"/>
        <v>167928</v>
      </c>
      <c r="AM12" s="450">
        <f>AL12/VPI!R12</f>
        <v>1.8504847633849182</v>
      </c>
      <c r="AN12" s="446">
        <v>167928</v>
      </c>
      <c r="AO12" s="272"/>
      <c r="AP12" s="541">
        <v>-1.583819881460619</v>
      </c>
      <c r="AR12" s="178">
        <v>0</v>
      </c>
    </row>
    <row r="13" spans="1:47" x14ac:dyDescent="0.25">
      <c r="A13" s="193">
        <v>5408</v>
      </c>
      <c r="B13" s="454" t="s">
        <v>105</v>
      </c>
      <c r="C13" s="446">
        <v>2087701.68</v>
      </c>
      <c r="D13" s="446">
        <v>226024.85</v>
      </c>
      <c r="E13" s="446"/>
      <c r="F13" s="446">
        <v>0</v>
      </c>
      <c r="G13" s="446">
        <v>605712</v>
      </c>
      <c r="H13" s="446">
        <v>17628.599999999999</v>
      </c>
      <c r="I13" s="446">
        <v>0</v>
      </c>
      <c r="J13" s="446">
        <v>60551.19</v>
      </c>
      <c r="K13" s="446">
        <v>39431.800000000003</v>
      </c>
      <c r="L13" s="446">
        <v>494795.6</v>
      </c>
      <c r="M13" s="506">
        <f t="shared" si="0"/>
        <v>3531845.7199999997</v>
      </c>
      <c r="N13" s="446">
        <v>204831.45</v>
      </c>
      <c r="O13" s="446">
        <v>0</v>
      </c>
      <c r="P13" s="446">
        <v>123908.95</v>
      </c>
      <c r="Q13" s="446">
        <v>11987.28</v>
      </c>
      <c r="R13" s="446">
        <v>61146.95</v>
      </c>
      <c r="S13" s="446">
        <v>61155.461572918779</v>
      </c>
      <c r="T13" s="506">
        <f t="shared" si="1"/>
        <v>3994875.8115729187</v>
      </c>
      <c r="U13" s="446">
        <v>-11840.69</v>
      </c>
      <c r="V13" s="446"/>
      <c r="W13" s="446">
        <v>-384.63</v>
      </c>
      <c r="X13" s="448">
        <v>78.5</v>
      </c>
      <c r="Y13" s="448">
        <v>1.5</v>
      </c>
      <c r="Z13" s="446">
        <v>1170</v>
      </c>
      <c r="AA13" s="269"/>
      <c r="AB13" s="446">
        <v>193323</v>
      </c>
      <c r="AC13" s="450">
        <f>AB13/VPI!R13</f>
        <v>4.4272469333879476</v>
      </c>
      <c r="AD13" s="452">
        <f t="shared" si="2"/>
        <v>166302</v>
      </c>
      <c r="AE13" s="450">
        <f>AD13/VPI!R13</f>
        <v>3.8084450350774737</v>
      </c>
      <c r="AF13" s="446">
        <v>359625</v>
      </c>
      <c r="AG13" s="446">
        <v>77358</v>
      </c>
      <c r="AH13" s="446">
        <v>37488</v>
      </c>
      <c r="AI13" s="272"/>
      <c r="AJ13" s="446">
        <v>0</v>
      </c>
      <c r="AK13" s="450">
        <f>AJ13/VPI!R13</f>
        <v>0</v>
      </c>
      <c r="AL13" s="452">
        <f t="shared" si="3"/>
        <v>61937</v>
      </c>
      <c r="AM13" s="450">
        <f>AL13/VPI!R13</f>
        <v>1.4184054319105812</v>
      </c>
      <c r="AN13" s="446">
        <v>61937</v>
      </c>
      <c r="AO13" s="272"/>
      <c r="AP13" s="541">
        <v>6.5894025040624706</v>
      </c>
      <c r="AR13" s="178">
        <v>0</v>
      </c>
    </row>
    <row r="14" spans="1:47" x14ac:dyDescent="0.25">
      <c r="A14" s="193">
        <v>5409</v>
      </c>
      <c r="B14" s="454" t="s">
        <v>106</v>
      </c>
      <c r="C14" s="446">
        <v>14300955.029999999</v>
      </c>
      <c r="D14" s="446">
        <v>5091587.37</v>
      </c>
      <c r="E14" s="446"/>
      <c r="F14" s="446">
        <v>0</v>
      </c>
      <c r="G14" s="446">
        <v>450525.2</v>
      </c>
      <c r="H14" s="446">
        <v>173088.2</v>
      </c>
      <c r="I14" s="446">
        <v>2558500.9900000002</v>
      </c>
      <c r="J14" s="446">
        <v>687004.7</v>
      </c>
      <c r="K14" s="446">
        <v>134495.5</v>
      </c>
      <c r="L14" s="446">
        <v>4093364.15</v>
      </c>
      <c r="M14" s="506">
        <f t="shared" si="0"/>
        <v>27489521.139999997</v>
      </c>
      <c r="N14" s="446">
        <v>75640.75</v>
      </c>
      <c r="O14" s="446">
        <v>688910.65</v>
      </c>
      <c r="P14" s="446">
        <v>1596824.45</v>
      </c>
      <c r="Q14" s="446">
        <v>15596.56</v>
      </c>
      <c r="R14" s="446">
        <v>1165765.7</v>
      </c>
      <c r="S14" s="446">
        <v>61182.225768796743</v>
      </c>
      <c r="T14" s="506">
        <f t="shared" si="1"/>
        <v>31093441.47576879</v>
      </c>
      <c r="U14" s="446">
        <v>-120552.78</v>
      </c>
      <c r="V14" s="446"/>
      <c r="W14" s="446">
        <v>-50041.19</v>
      </c>
      <c r="X14" s="448">
        <v>68</v>
      </c>
      <c r="Y14" s="448">
        <v>1.3</v>
      </c>
      <c r="Z14" s="446">
        <v>7634</v>
      </c>
      <c r="AA14" s="269"/>
      <c r="AB14" s="446">
        <v>706927</v>
      </c>
      <c r="AC14" s="450">
        <f>AB14/VPI!R14</f>
        <v>1.8173560290410797</v>
      </c>
      <c r="AD14" s="452">
        <f t="shared" si="2"/>
        <v>3597856</v>
      </c>
      <c r="AE14" s="450">
        <f>AD14/VPI!R14</f>
        <v>9.2493076275508255</v>
      </c>
      <c r="AF14" s="446">
        <v>4304783</v>
      </c>
      <c r="AG14" s="446">
        <v>1482004</v>
      </c>
      <c r="AH14" s="446">
        <v>559456</v>
      </c>
      <c r="AI14" s="272"/>
      <c r="AJ14" s="446">
        <v>97190</v>
      </c>
      <c r="AK14" s="450">
        <f>AJ14/VPI!R14</f>
        <v>0.24985441560798008</v>
      </c>
      <c r="AL14" s="452">
        <f t="shared" si="3"/>
        <v>760371</v>
      </c>
      <c r="AM14" s="450">
        <f>AL14/VPI!R14</f>
        <v>1.9547489644022575</v>
      </c>
      <c r="AN14" s="446">
        <v>857561</v>
      </c>
      <c r="AO14" s="272"/>
      <c r="AP14" s="541">
        <v>28.215100373195629</v>
      </c>
      <c r="AR14" s="178">
        <v>1</v>
      </c>
    </row>
    <row r="15" spans="1:47" x14ac:dyDescent="0.25">
      <c r="A15" s="193">
        <v>5410</v>
      </c>
      <c r="B15" s="454" t="s">
        <v>116</v>
      </c>
      <c r="C15" s="446">
        <v>1995922.34</v>
      </c>
      <c r="D15" s="446">
        <v>578932.27</v>
      </c>
      <c r="E15" s="446"/>
      <c r="F15" s="446">
        <v>0</v>
      </c>
      <c r="G15" s="446">
        <v>20435.400000000001</v>
      </c>
      <c r="H15" s="446">
        <v>2125.5</v>
      </c>
      <c r="I15" s="446">
        <v>0</v>
      </c>
      <c r="J15" s="446">
        <v>90778.81</v>
      </c>
      <c r="K15" s="446">
        <v>11095.15</v>
      </c>
      <c r="L15" s="446">
        <v>574185.19999999995</v>
      </c>
      <c r="M15" s="506">
        <f t="shared" si="0"/>
        <v>3273474.67</v>
      </c>
      <c r="N15" s="446">
        <v>6858.4</v>
      </c>
      <c r="O15" s="446">
        <v>223995</v>
      </c>
      <c r="P15" s="446">
        <v>117342.75</v>
      </c>
      <c r="Q15" s="446">
        <v>4965.3</v>
      </c>
      <c r="R15" s="446">
        <v>93741.4</v>
      </c>
      <c r="S15" s="446">
        <v>2213.4323562438626</v>
      </c>
      <c r="T15" s="506">
        <f t="shared" si="1"/>
        <v>3722590.9523562435</v>
      </c>
      <c r="U15" s="446">
        <v>-46117.599999999999</v>
      </c>
      <c r="V15" s="446"/>
      <c r="W15" s="446">
        <v>-397.44</v>
      </c>
      <c r="X15" s="448">
        <v>77</v>
      </c>
      <c r="Y15" s="448">
        <v>1.5</v>
      </c>
      <c r="Z15" s="446">
        <v>1180</v>
      </c>
      <c r="AA15" s="269"/>
      <c r="AB15" s="446">
        <v>235242</v>
      </c>
      <c r="AC15" s="450">
        <f>AB15/VPI!R15</f>
        <v>5.953060195929182</v>
      </c>
      <c r="AD15" s="452">
        <f t="shared" si="2"/>
        <v>957562</v>
      </c>
      <c r="AE15" s="450">
        <f>AD15/VPI!R15</f>
        <v>24.232170391912753</v>
      </c>
      <c r="AF15" s="446">
        <v>1192804</v>
      </c>
      <c r="AG15" s="446">
        <v>100846</v>
      </c>
      <c r="AH15" s="446">
        <v>75798</v>
      </c>
      <c r="AI15" s="272"/>
      <c r="AJ15" s="446">
        <v>0</v>
      </c>
      <c r="AK15" s="450">
        <f>AJ15/VPI!R15</f>
        <v>0</v>
      </c>
      <c r="AL15" s="452">
        <f t="shared" si="3"/>
        <v>54854</v>
      </c>
      <c r="AM15" s="450">
        <f>AL15/VPI!R15</f>
        <v>1.3881414202714624</v>
      </c>
      <c r="AN15" s="446">
        <v>54854</v>
      </c>
      <c r="AO15" s="272"/>
      <c r="AP15" s="541">
        <v>21.304199625974395</v>
      </c>
      <c r="AR15" s="178">
        <v>0</v>
      </c>
    </row>
    <row r="16" spans="1:47" x14ac:dyDescent="0.25">
      <c r="A16" s="193">
        <v>5411</v>
      </c>
      <c r="B16" s="454" t="s">
        <v>117</v>
      </c>
      <c r="C16" s="446">
        <v>2762612.3</v>
      </c>
      <c r="D16" s="446">
        <v>1194553.5</v>
      </c>
      <c r="E16" s="446"/>
      <c r="F16" s="446">
        <v>0</v>
      </c>
      <c r="G16" s="446">
        <v>91289.9</v>
      </c>
      <c r="H16" s="446">
        <v>9007.2000000000007</v>
      </c>
      <c r="I16" s="446">
        <v>115498.45</v>
      </c>
      <c r="J16" s="446">
        <v>172898.25</v>
      </c>
      <c r="K16" s="446">
        <v>22562.15</v>
      </c>
      <c r="L16" s="446">
        <v>1217182.95</v>
      </c>
      <c r="M16" s="506">
        <f t="shared" si="0"/>
        <v>5585604.7000000002</v>
      </c>
      <c r="N16" s="446">
        <v>22248.05</v>
      </c>
      <c r="O16" s="446">
        <v>191122.9</v>
      </c>
      <c r="P16" s="446">
        <v>436124.45</v>
      </c>
      <c r="Q16" s="446">
        <v>11983.24</v>
      </c>
      <c r="R16" s="446">
        <v>285985.05</v>
      </c>
      <c r="S16" s="446">
        <v>9840.0704926410872</v>
      </c>
      <c r="T16" s="506">
        <f t="shared" si="1"/>
        <v>6542908.4604926417</v>
      </c>
      <c r="U16" s="446">
        <v>-29780.3</v>
      </c>
      <c r="V16" s="446"/>
      <c r="W16" s="446">
        <v>-2357.0100000000002</v>
      </c>
      <c r="X16" s="448">
        <v>76</v>
      </c>
      <c r="Y16" s="448">
        <v>1.5</v>
      </c>
      <c r="Z16" s="446">
        <v>1466</v>
      </c>
      <c r="AA16" s="269"/>
      <c r="AB16" s="446">
        <v>280454</v>
      </c>
      <c r="AC16" s="450">
        <f>AB16/VPI!R16</f>
        <v>4.1230765137817205</v>
      </c>
      <c r="AD16" s="452">
        <f t="shared" si="2"/>
        <v>1074458</v>
      </c>
      <c r="AE16" s="450">
        <f>AD16/VPI!R16</f>
        <v>15.7960754521058</v>
      </c>
      <c r="AF16" s="446">
        <v>1354912</v>
      </c>
      <c r="AG16" s="446">
        <v>311644</v>
      </c>
      <c r="AH16" s="446">
        <v>77589</v>
      </c>
      <c r="AI16" s="272"/>
      <c r="AJ16" s="446">
        <v>0</v>
      </c>
      <c r="AK16" s="450">
        <f>AJ16/VPI!R16</f>
        <v>0</v>
      </c>
      <c r="AL16" s="452">
        <f t="shared" si="3"/>
        <v>106240</v>
      </c>
      <c r="AM16" s="450">
        <f>AL16/VPI!R16</f>
        <v>1.5618805537598679</v>
      </c>
      <c r="AN16" s="446">
        <v>106240</v>
      </c>
      <c r="AO16" s="272"/>
      <c r="AP16" s="541">
        <v>32.652126647757761</v>
      </c>
      <c r="AR16" s="178">
        <v>0</v>
      </c>
    </row>
    <row r="17" spans="1:47" x14ac:dyDescent="0.25">
      <c r="A17" s="193">
        <v>5412</v>
      </c>
      <c r="B17" s="454" t="s">
        <v>118</v>
      </c>
      <c r="C17" s="446">
        <v>1134887.54</v>
      </c>
      <c r="D17" s="446">
        <v>94894.45</v>
      </c>
      <c r="E17" s="446"/>
      <c r="F17" s="446">
        <v>0</v>
      </c>
      <c r="G17" s="446">
        <v>55997.8</v>
      </c>
      <c r="H17" s="446">
        <v>12133.55</v>
      </c>
      <c r="I17" s="446">
        <v>0</v>
      </c>
      <c r="J17" s="446">
        <v>124988.42</v>
      </c>
      <c r="K17" s="446">
        <v>37931.25</v>
      </c>
      <c r="L17" s="446">
        <v>220516.4</v>
      </c>
      <c r="M17" s="506">
        <f t="shared" si="0"/>
        <v>1681349.41</v>
      </c>
      <c r="N17" s="446">
        <v>257000.25</v>
      </c>
      <c r="O17" s="446">
        <v>0</v>
      </c>
      <c r="P17" s="446">
        <v>390203</v>
      </c>
      <c r="Q17" s="446">
        <v>10379.57</v>
      </c>
      <c r="R17" s="446">
        <v>61549.05</v>
      </c>
      <c r="S17" s="446">
        <v>6684.313771373274</v>
      </c>
      <c r="T17" s="506">
        <f t="shared" si="1"/>
        <v>2407165.5937713729</v>
      </c>
      <c r="U17" s="446">
        <v>-24854.75</v>
      </c>
      <c r="V17" s="446"/>
      <c r="W17" s="446">
        <v>-120.95</v>
      </c>
      <c r="X17" s="448">
        <v>69</v>
      </c>
      <c r="Y17" s="448">
        <v>1</v>
      </c>
      <c r="Z17" s="446">
        <v>889</v>
      </c>
      <c r="AA17" s="269"/>
      <c r="AB17" s="446">
        <v>46144</v>
      </c>
      <c r="AC17" s="450">
        <f>AB17/VPI!R17</f>
        <v>1.9026320502484138</v>
      </c>
      <c r="AD17" s="452">
        <f t="shared" si="2"/>
        <v>171526</v>
      </c>
      <c r="AE17" s="450">
        <f>AD17/VPI!R17</f>
        <v>7.0724441975318442</v>
      </c>
      <c r="AF17" s="446">
        <v>217670</v>
      </c>
      <c r="AG17" s="446">
        <v>57737</v>
      </c>
      <c r="AH17" s="446">
        <v>25265</v>
      </c>
      <c r="AI17" s="272"/>
      <c r="AJ17" s="446">
        <v>0</v>
      </c>
      <c r="AK17" s="450">
        <f>AJ17/VPI!R17</f>
        <v>0</v>
      </c>
      <c r="AL17" s="452">
        <f t="shared" si="3"/>
        <v>36503</v>
      </c>
      <c r="AM17" s="450">
        <f>AL17/VPI!R17</f>
        <v>1.5051096075376615</v>
      </c>
      <c r="AN17" s="446">
        <v>36503</v>
      </c>
      <c r="AO17" s="272"/>
      <c r="AP17" s="541">
        <v>18.109180357050008</v>
      </c>
      <c r="AR17" s="178">
        <v>0</v>
      </c>
    </row>
    <row r="18" spans="1:47" x14ac:dyDescent="0.25">
      <c r="A18" s="193">
        <v>5413</v>
      </c>
      <c r="B18" s="454" t="s">
        <v>119</v>
      </c>
      <c r="C18" s="446">
        <v>2566280.35</v>
      </c>
      <c r="D18" s="446">
        <v>185445.91</v>
      </c>
      <c r="E18" s="446"/>
      <c r="F18" s="446">
        <v>0</v>
      </c>
      <c r="G18" s="446">
        <v>164746.1</v>
      </c>
      <c r="H18" s="446">
        <v>9136.2999999999993</v>
      </c>
      <c r="I18" s="446">
        <v>0</v>
      </c>
      <c r="J18" s="446">
        <v>69128.09</v>
      </c>
      <c r="K18" s="446">
        <v>33987.300000000003</v>
      </c>
      <c r="L18" s="446">
        <v>359187.85</v>
      </c>
      <c r="M18" s="506">
        <f t="shared" si="0"/>
        <v>3387911.9</v>
      </c>
      <c r="N18" s="446">
        <v>275376.59999999998</v>
      </c>
      <c r="O18" s="446">
        <v>5414</v>
      </c>
      <c r="P18" s="446">
        <v>40660.800000000003</v>
      </c>
      <c r="Q18" s="446">
        <v>35230.839999999997</v>
      </c>
      <c r="R18" s="446">
        <v>234295.95</v>
      </c>
      <c r="S18" s="446">
        <v>17059.467057667818</v>
      </c>
      <c r="T18" s="506">
        <f t="shared" si="1"/>
        <v>3995949.5570576675</v>
      </c>
      <c r="U18" s="446">
        <v>-119303.93</v>
      </c>
      <c r="V18" s="446"/>
      <c r="W18" s="446">
        <v>-322.97000000000003</v>
      </c>
      <c r="X18" s="448">
        <v>68</v>
      </c>
      <c r="Y18" s="448">
        <v>1.2</v>
      </c>
      <c r="Z18" s="446">
        <v>1868</v>
      </c>
      <c r="AA18" s="269"/>
      <c r="AB18" s="446">
        <v>34116</v>
      </c>
      <c r="AC18" s="450">
        <f>AB18/VPI!R18</f>
        <v>0.71146698927419738</v>
      </c>
      <c r="AD18" s="452">
        <f t="shared" si="2"/>
        <v>121608</v>
      </c>
      <c r="AE18" s="450">
        <f>AD18/VPI!R18</f>
        <v>2.5360557401704948</v>
      </c>
      <c r="AF18" s="446">
        <v>155724</v>
      </c>
      <c r="AG18" s="446">
        <v>125507</v>
      </c>
      <c r="AH18" s="446">
        <v>59109</v>
      </c>
      <c r="AI18" s="272"/>
      <c r="AJ18" s="446">
        <v>9723</v>
      </c>
      <c r="AK18" s="450">
        <f>AJ18/VPI!R18</f>
        <v>0.20276684068217321</v>
      </c>
      <c r="AL18" s="452">
        <f t="shared" si="3"/>
        <v>18791</v>
      </c>
      <c r="AM18" s="450">
        <f>AL18/VPI!R18</f>
        <v>0.39187408240858962</v>
      </c>
      <c r="AN18" s="446">
        <v>28514</v>
      </c>
      <c r="AO18" s="272"/>
      <c r="AP18" s="541">
        <v>9.5615784258397625</v>
      </c>
      <c r="AR18" s="178">
        <v>0</v>
      </c>
    </row>
    <row r="19" spans="1:47" x14ac:dyDescent="0.25">
      <c r="A19" s="193">
        <v>5414</v>
      </c>
      <c r="B19" s="454" t="s">
        <v>120</v>
      </c>
      <c r="C19" s="446">
        <v>7518171.6699999999</v>
      </c>
      <c r="D19" s="446">
        <v>1268760</v>
      </c>
      <c r="E19" s="446"/>
      <c r="F19" s="446">
        <v>0</v>
      </c>
      <c r="G19" s="446">
        <v>339775.15</v>
      </c>
      <c r="H19" s="446">
        <v>152721.60000000001</v>
      </c>
      <c r="I19" s="446">
        <v>60504.7</v>
      </c>
      <c r="J19" s="446">
        <v>377905.1</v>
      </c>
      <c r="K19" s="446">
        <v>170265.60000000001</v>
      </c>
      <c r="L19" s="446">
        <v>1233070.3</v>
      </c>
      <c r="M19" s="506">
        <f t="shared" si="0"/>
        <v>11121174.119999999</v>
      </c>
      <c r="N19" s="446">
        <v>1579016.8</v>
      </c>
      <c r="O19" s="446">
        <v>125495</v>
      </c>
      <c r="P19" s="446">
        <v>395929.45</v>
      </c>
      <c r="Q19" s="446">
        <v>114730.6</v>
      </c>
      <c r="R19" s="446">
        <v>291274.25</v>
      </c>
      <c r="S19" s="446">
        <v>48318.473190118508</v>
      </c>
      <c r="T19" s="506">
        <f t="shared" si="1"/>
        <v>13675938.693190116</v>
      </c>
      <c r="U19" s="446">
        <v>-525365.79</v>
      </c>
      <c r="V19" s="446"/>
      <c r="W19" s="446">
        <v>-5477.89</v>
      </c>
      <c r="X19" s="448">
        <v>67.5</v>
      </c>
      <c r="Y19" s="448">
        <v>1</v>
      </c>
      <c r="Z19" s="446">
        <v>5837</v>
      </c>
      <c r="AA19" s="269"/>
      <c r="AB19" s="446">
        <v>553758</v>
      </c>
      <c r="AC19" s="450">
        <f>AB19/VPI!R19</f>
        <v>3.4759923570214606</v>
      </c>
      <c r="AD19" s="452">
        <f t="shared" si="2"/>
        <v>1859346</v>
      </c>
      <c r="AE19" s="450">
        <f>AD19/VPI!R19</f>
        <v>11.671294112335035</v>
      </c>
      <c r="AF19" s="446">
        <v>2413104</v>
      </c>
      <c r="AG19" s="446">
        <v>1400478</v>
      </c>
      <c r="AH19" s="446">
        <v>165974</v>
      </c>
      <c r="AI19" s="272"/>
      <c r="AJ19" s="446">
        <v>0</v>
      </c>
      <c r="AK19" s="450">
        <f>AJ19/VPI!R19</f>
        <v>0</v>
      </c>
      <c r="AL19" s="452">
        <f t="shared" si="3"/>
        <v>710470</v>
      </c>
      <c r="AM19" s="450">
        <f>AL19/VPI!R19</f>
        <v>4.4596886905345601</v>
      </c>
      <c r="AN19" s="446">
        <v>710470</v>
      </c>
      <c r="AO19" s="272"/>
      <c r="AP19" s="541">
        <v>9.8676768420934344</v>
      </c>
      <c r="AR19" s="178">
        <v>0</v>
      </c>
    </row>
    <row r="20" spans="1:47" x14ac:dyDescent="0.25">
      <c r="A20" s="193">
        <v>5415</v>
      </c>
      <c r="B20" s="454" t="s">
        <v>66</v>
      </c>
      <c r="C20" s="446">
        <v>2092581.95</v>
      </c>
      <c r="D20" s="446">
        <v>313907.99</v>
      </c>
      <c r="E20" s="446"/>
      <c r="F20" s="446">
        <v>0</v>
      </c>
      <c r="G20" s="446">
        <v>39694.5</v>
      </c>
      <c r="H20" s="446">
        <v>5909.75</v>
      </c>
      <c r="I20" s="446">
        <v>-1112.8</v>
      </c>
      <c r="J20" s="446">
        <v>50941.15</v>
      </c>
      <c r="K20" s="446">
        <v>8446.2000000000007</v>
      </c>
      <c r="L20" s="446">
        <v>363802.15</v>
      </c>
      <c r="M20" s="506">
        <f t="shared" si="0"/>
        <v>2874170.89</v>
      </c>
      <c r="N20" s="446">
        <v>40570.300000000003</v>
      </c>
      <c r="O20" s="446">
        <v>301698.3</v>
      </c>
      <c r="P20" s="446">
        <v>36502.699999999997</v>
      </c>
      <c r="Q20" s="446">
        <v>3993.56</v>
      </c>
      <c r="R20" s="446">
        <v>4057.75</v>
      </c>
      <c r="S20" s="446">
        <v>4474.1975068474303</v>
      </c>
      <c r="T20" s="506">
        <f t="shared" si="1"/>
        <v>3265467.6975068473</v>
      </c>
      <c r="U20" s="446">
        <v>-33484.75</v>
      </c>
      <c r="V20" s="446"/>
      <c r="W20" s="446">
        <v>-798.47</v>
      </c>
      <c r="X20" s="448">
        <v>71.5</v>
      </c>
      <c r="Y20" s="448">
        <v>1.5</v>
      </c>
      <c r="Z20" s="446">
        <v>1070</v>
      </c>
      <c r="AA20" s="269"/>
      <c r="AB20" s="446">
        <v>42346</v>
      </c>
      <c r="AC20" s="450">
        <f>AB20/VPI!R20</f>
        <v>1.1102461493565761</v>
      </c>
      <c r="AD20" s="452">
        <f t="shared" si="2"/>
        <v>254633</v>
      </c>
      <c r="AE20" s="450">
        <f>AD20/VPI!R20</f>
        <v>6.6760805683916544</v>
      </c>
      <c r="AF20" s="446">
        <v>296979</v>
      </c>
      <c r="AG20" s="446">
        <v>70995</v>
      </c>
      <c r="AH20" s="446">
        <v>160884</v>
      </c>
      <c r="AI20" s="272"/>
      <c r="AJ20" s="446">
        <v>0</v>
      </c>
      <c r="AK20" s="450">
        <f>AJ20/VPI!R20</f>
        <v>0</v>
      </c>
      <c r="AL20" s="452">
        <f t="shared" si="3"/>
        <v>51761</v>
      </c>
      <c r="AM20" s="450">
        <f>AL20/VPI!R20</f>
        <v>1.3570927817703142</v>
      </c>
      <c r="AN20" s="446">
        <v>51761</v>
      </c>
      <c r="AO20" s="272"/>
      <c r="AP20" s="541">
        <v>25.898877736666854</v>
      </c>
      <c r="AR20" s="178">
        <v>0</v>
      </c>
    </row>
    <row r="21" spans="1:47" s="240" customFormat="1" x14ac:dyDescent="0.25">
      <c r="A21" s="193">
        <v>5422</v>
      </c>
      <c r="B21" s="454" t="s">
        <v>67</v>
      </c>
      <c r="C21" s="446">
        <v>9630764.129999999</v>
      </c>
      <c r="D21" s="446">
        <v>284538.33999999997</v>
      </c>
      <c r="E21" s="446"/>
      <c r="F21" s="446">
        <v>0</v>
      </c>
      <c r="G21" s="446">
        <v>5161582.55</v>
      </c>
      <c r="H21" s="446">
        <v>46951.45</v>
      </c>
      <c r="I21" s="446">
        <v>319908</v>
      </c>
      <c r="J21" s="446">
        <v>581607.01</v>
      </c>
      <c r="K21" s="446">
        <v>187980.79999999999</v>
      </c>
      <c r="L21" s="446">
        <v>1090122.1800000002</v>
      </c>
      <c r="M21" s="506">
        <f t="shared" si="0"/>
        <v>17303454.460000001</v>
      </c>
      <c r="N21" s="446">
        <v>1062518.95</v>
      </c>
      <c r="O21" s="446">
        <v>145571</v>
      </c>
      <c r="P21" s="446">
        <v>491382</v>
      </c>
      <c r="Q21" s="446">
        <v>37116.94</v>
      </c>
      <c r="R21" s="446">
        <v>493949.55000000005</v>
      </c>
      <c r="S21" s="446">
        <v>511005.22072241222</v>
      </c>
      <c r="T21" s="506">
        <f t="shared" si="1"/>
        <v>20044998.120722413</v>
      </c>
      <c r="U21" s="446">
        <v>-123048.15</v>
      </c>
      <c r="V21" s="446">
        <v>0</v>
      </c>
      <c r="W21" s="446">
        <v>-6465.77</v>
      </c>
      <c r="X21" s="448">
        <v>68.92</v>
      </c>
      <c r="Y21" s="448">
        <v>1</v>
      </c>
      <c r="Z21" s="446">
        <v>3764</v>
      </c>
      <c r="AA21" s="269"/>
      <c r="AB21" s="446">
        <v>239836</v>
      </c>
      <c r="AC21" s="450">
        <f>AB21/VPI!R21</f>
        <v>0.93270729255044349</v>
      </c>
      <c r="AD21" s="452">
        <f t="shared" si="2"/>
        <v>1154734</v>
      </c>
      <c r="AE21" s="450">
        <f>AD21/VPI!R21</f>
        <v>4.4906887321167117</v>
      </c>
      <c r="AF21" s="446">
        <v>1394570</v>
      </c>
      <c r="AG21" s="446">
        <v>162129</v>
      </c>
      <c r="AH21" s="446">
        <v>378438</v>
      </c>
      <c r="AI21" s="272"/>
      <c r="AJ21" s="446">
        <v>0</v>
      </c>
      <c r="AK21" s="450">
        <f>AJ21/VPI!R21</f>
        <v>0</v>
      </c>
      <c r="AL21" s="452">
        <f t="shared" si="3"/>
        <v>34203</v>
      </c>
      <c r="AM21" s="450">
        <f>AL21/VPI!R21</f>
        <v>0.13301334047892233</v>
      </c>
      <c r="AN21" s="446">
        <v>34203</v>
      </c>
      <c r="AO21" s="272"/>
      <c r="AP21" s="541">
        <v>34.942777772534328</v>
      </c>
      <c r="AR21" s="178">
        <v>0</v>
      </c>
      <c r="AU21" s="5"/>
    </row>
    <row r="22" spans="1:47" x14ac:dyDescent="0.25">
      <c r="A22" s="193">
        <v>5423</v>
      </c>
      <c r="B22" s="454" t="s">
        <v>68</v>
      </c>
      <c r="C22" s="446">
        <v>1064057.79</v>
      </c>
      <c r="D22" s="446">
        <v>95526.720000000001</v>
      </c>
      <c r="E22" s="446"/>
      <c r="F22" s="446">
        <v>2900</v>
      </c>
      <c r="G22" s="446">
        <v>2477.1999999999998</v>
      </c>
      <c r="H22" s="446">
        <v>1456.15</v>
      </c>
      <c r="I22" s="446">
        <v>0</v>
      </c>
      <c r="J22" s="446">
        <v>22628</v>
      </c>
      <c r="K22" s="446">
        <v>2520.85</v>
      </c>
      <c r="L22" s="446">
        <v>39954.75</v>
      </c>
      <c r="M22" s="506">
        <f t="shared" si="0"/>
        <v>1231521.46</v>
      </c>
      <c r="N22" s="446">
        <v>23095.75</v>
      </c>
      <c r="O22" s="446">
        <v>0</v>
      </c>
      <c r="P22" s="446">
        <v>42278.65</v>
      </c>
      <c r="Q22" s="446">
        <v>0</v>
      </c>
      <c r="R22" s="446">
        <v>21474</v>
      </c>
      <c r="S22" s="446">
        <v>385.89791003159439</v>
      </c>
      <c r="T22" s="506">
        <f t="shared" si="1"/>
        <v>1318755.7579100314</v>
      </c>
      <c r="U22" s="446">
        <v>-22543.01</v>
      </c>
      <c r="V22" s="446"/>
      <c r="W22" s="446">
        <v>-28.57</v>
      </c>
      <c r="X22" s="448">
        <v>73</v>
      </c>
      <c r="Y22" s="448">
        <v>0.5</v>
      </c>
      <c r="Z22" s="446">
        <v>562</v>
      </c>
      <c r="AA22" s="269"/>
      <c r="AB22" s="446">
        <v>39712</v>
      </c>
      <c r="AC22" s="450">
        <f>AB22/VPI!R22</f>
        <v>2.3204978627747757</v>
      </c>
      <c r="AD22" s="452">
        <f t="shared" si="2"/>
        <v>131428</v>
      </c>
      <c r="AE22" s="450">
        <f>AD22/VPI!R22</f>
        <v>7.6797540569289691</v>
      </c>
      <c r="AF22" s="446">
        <v>171140</v>
      </c>
      <c r="AG22" s="446">
        <v>54249</v>
      </c>
      <c r="AH22" s="446">
        <v>76103</v>
      </c>
      <c r="AI22" s="272"/>
      <c r="AJ22" s="446">
        <v>0</v>
      </c>
      <c r="AK22" s="450">
        <f>AJ22/VPI!R22</f>
        <v>0</v>
      </c>
      <c r="AL22" s="452">
        <f t="shared" si="3"/>
        <v>38729</v>
      </c>
      <c r="AM22" s="450">
        <f>AL22/VPI!R22</f>
        <v>2.2630580612259341</v>
      </c>
      <c r="AN22" s="446">
        <v>38729</v>
      </c>
      <c r="AO22" s="272"/>
      <c r="AP22" s="541">
        <v>19.504450661855692</v>
      </c>
      <c r="AR22" s="178">
        <v>0</v>
      </c>
    </row>
    <row r="23" spans="1:47" x14ac:dyDescent="0.25">
      <c r="A23" s="193">
        <v>5424</v>
      </c>
      <c r="B23" s="454" t="s">
        <v>69</v>
      </c>
      <c r="C23" s="446">
        <v>563266.75</v>
      </c>
      <c r="D23" s="446">
        <v>46223.47</v>
      </c>
      <c r="E23" s="446"/>
      <c r="F23" s="446">
        <v>0</v>
      </c>
      <c r="G23" s="446">
        <v>535</v>
      </c>
      <c r="H23" s="446">
        <v>585.9</v>
      </c>
      <c r="I23" s="446">
        <v>38612.949999999997</v>
      </c>
      <c r="J23" s="446">
        <v>4367.42</v>
      </c>
      <c r="K23" s="446">
        <v>766</v>
      </c>
      <c r="L23" s="446">
        <v>50423.4</v>
      </c>
      <c r="M23" s="506">
        <f t="shared" si="0"/>
        <v>704780.89</v>
      </c>
      <c r="N23" s="446">
        <v>0</v>
      </c>
      <c r="O23" s="446">
        <v>0</v>
      </c>
      <c r="P23" s="446">
        <v>14315.85</v>
      </c>
      <c r="Q23" s="446">
        <v>401.9</v>
      </c>
      <c r="R23" s="446">
        <v>29602.85</v>
      </c>
      <c r="S23" s="446">
        <v>109.97062741795521</v>
      </c>
      <c r="T23" s="506">
        <f t="shared" si="1"/>
        <v>749211.4606274179</v>
      </c>
      <c r="U23" s="446">
        <v>-17136.48</v>
      </c>
      <c r="V23" s="446"/>
      <c r="W23" s="446">
        <v>0</v>
      </c>
      <c r="X23" s="448">
        <v>75.5</v>
      </c>
      <c r="Y23" s="448">
        <v>1</v>
      </c>
      <c r="Z23" s="446">
        <v>313</v>
      </c>
      <c r="AA23" s="269"/>
      <c r="AB23" s="446">
        <v>14624</v>
      </c>
      <c r="AC23" s="450">
        <f>AB23/VPI!R23</f>
        <v>1.6044494994557625</v>
      </c>
      <c r="AD23" s="452">
        <f t="shared" si="2"/>
        <v>62375</v>
      </c>
      <c r="AE23" s="450">
        <f>AD23/VPI!R23</f>
        <v>6.843376472138484</v>
      </c>
      <c r="AF23" s="446">
        <v>76999</v>
      </c>
      <c r="AG23" s="446">
        <v>12490</v>
      </c>
      <c r="AH23" s="446">
        <v>45529</v>
      </c>
      <c r="AI23" s="272"/>
      <c r="AJ23" s="446">
        <v>0</v>
      </c>
      <c r="AK23" s="450">
        <f>AJ23/VPI!R23</f>
        <v>0</v>
      </c>
      <c r="AL23" s="452">
        <f t="shared" si="3"/>
        <v>2094</v>
      </c>
      <c r="AM23" s="450">
        <f>AL23/VPI!R23</f>
        <v>0.22973996525303383</v>
      </c>
      <c r="AN23" s="446">
        <v>2094</v>
      </c>
      <c r="AO23" s="272"/>
      <c r="AP23" s="541">
        <v>19.511868454474957</v>
      </c>
      <c r="AR23" s="178">
        <v>0</v>
      </c>
    </row>
    <row r="24" spans="1:47" x14ac:dyDescent="0.25">
      <c r="A24" s="193">
        <v>5425</v>
      </c>
      <c r="B24" s="454" t="s">
        <v>70</v>
      </c>
      <c r="C24" s="446">
        <v>2028303.79</v>
      </c>
      <c r="D24" s="446">
        <v>238915.91</v>
      </c>
      <c r="E24" s="446"/>
      <c r="F24" s="446">
        <v>0</v>
      </c>
      <c r="G24" s="446">
        <v>192982.2</v>
      </c>
      <c r="H24" s="446">
        <v>2396.65</v>
      </c>
      <c r="I24" s="446">
        <v>0</v>
      </c>
      <c r="J24" s="446">
        <v>142233.89000000001</v>
      </c>
      <c r="K24" s="446">
        <v>-12948.1</v>
      </c>
      <c r="L24" s="446">
        <v>121003.55</v>
      </c>
      <c r="M24" s="506">
        <f t="shared" si="0"/>
        <v>2712887.89</v>
      </c>
      <c r="N24" s="446">
        <v>61405.1</v>
      </c>
      <c r="O24" s="446">
        <v>53054.7</v>
      </c>
      <c r="P24" s="446">
        <v>102111.85</v>
      </c>
      <c r="Q24" s="446">
        <v>44838.27</v>
      </c>
      <c r="R24" s="446">
        <v>95170.1</v>
      </c>
      <c r="S24" s="446">
        <v>19168.467052099702</v>
      </c>
      <c r="T24" s="506">
        <f t="shared" si="1"/>
        <v>3088636.3770521004</v>
      </c>
      <c r="U24" s="446">
        <v>-94131.28</v>
      </c>
      <c r="V24" s="446"/>
      <c r="W24" s="446">
        <v>-27.35</v>
      </c>
      <c r="X24" s="448">
        <v>69</v>
      </c>
      <c r="Y24" s="448">
        <v>0.57999999999999996</v>
      </c>
      <c r="Z24" s="446">
        <v>1627</v>
      </c>
      <c r="AA24" s="269"/>
      <c r="AB24" s="446">
        <v>169744</v>
      </c>
      <c r="AC24" s="450">
        <f>AB24/VPI!R24</f>
        <v>4.2277318252958604</v>
      </c>
      <c r="AD24" s="452">
        <f t="shared" si="2"/>
        <v>392773</v>
      </c>
      <c r="AE24" s="450">
        <f>AD24/VPI!R24</f>
        <v>9.7826074100818357</v>
      </c>
      <c r="AF24" s="446">
        <v>562517</v>
      </c>
      <c r="AG24" s="446">
        <v>136509</v>
      </c>
      <c r="AH24" s="446">
        <v>238878</v>
      </c>
      <c r="AI24" s="272"/>
      <c r="AJ24" s="446">
        <v>0</v>
      </c>
      <c r="AK24" s="450">
        <f>AJ24/VPI!R24</f>
        <v>0</v>
      </c>
      <c r="AL24" s="452">
        <f t="shared" si="3"/>
        <v>218388</v>
      </c>
      <c r="AM24" s="450">
        <f>AL24/VPI!R24</f>
        <v>5.4392844392892377</v>
      </c>
      <c r="AN24" s="446">
        <v>218388</v>
      </c>
      <c r="AO24" s="272"/>
      <c r="AP24" s="541">
        <v>9.7233097767264702</v>
      </c>
      <c r="AR24" s="178">
        <v>0</v>
      </c>
    </row>
    <row r="25" spans="1:47" x14ac:dyDescent="0.25">
      <c r="A25" s="193">
        <v>5426</v>
      </c>
      <c r="B25" s="454" t="s">
        <v>65</v>
      </c>
      <c r="C25" s="446">
        <v>2048478.28</v>
      </c>
      <c r="D25" s="446">
        <v>661296.6</v>
      </c>
      <c r="E25" s="446"/>
      <c r="F25" s="446">
        <v>0</v>
      </c>
      <c r="G25" s="446">
        <v>-698.25</v>
      </c>
      <c r="H25" s="446">
        <v>2405.9</v>
      </c>
      <c r="I25" s="446">
        <v>619980.80000000005</v>
      </c>
      <c r="J25" s="446">
        <v>31633.53</v>
      </c>
      <c r="K25" s="446">
        <v>-1742.2</v>
      </c>
      <c r="L25" s="446">
        <v>293111.05</v>
      </c>
      <c r="M25" s="506">
        <f t="shared" si="0"/>
        <v>3654465.7099999995</v>
      </c>
      <c r="N25" s="446">
        <v>12909.65</v>
      </c>
      <c r="O25" s="446">
        <v>10073.6</v>
      </c>
      <c r="P25" s="446">
        <v>180712.4</v>
      </c>
      <c r="Q25" s="446">
        <v>0</v>
      </c>
      <c r="R25" s="446">
        <v>90087.7</v>
      </c>
      <c r="S25" s="446">
        <v>167.53621367675191</v>
      </c>
      <c r="T25" s="506">
        <f t="shared" si="1"/>
        <v>3948416.5962136765</v>
      </c>
      <c r="U25" s="446">
        <v>-14852.89</v>
      </c>
      <c r="V25" s="446"/>
      <c r="W25" s="446">
        <v>-4586.82</v>
      </c>
      <c r="X25" s="448">
        <v>64.5</v>
      </c>
      <c r="Y25" s="448">
        <v>1.2</v>
      </c>
      <c r="Z25" s="446">
        <v>477</v>
      </c>
      <c r="AA25" s="269"/>
      <c r="AB25" s="446">
        <v>0</v>
      </c>
      <c r="AC25" s="450">
        <f>AB25/VPI!R25</f>
        <v>0</v>
      </c>
      <c r="AD25" s="452">
        <f t="shared" si="2"/>
        <v>0</v>
      </c>
      <c r="AE25" s="450">
        <f>AD25/VPI!R25</f>
        <v>0</v>
      </c>
      <c r="AF25" s="446">
        <v>0</v>
      </c>
      <c r="AG25" s="446">
        <v>0</v>
      </c>
      <c r="AH25" s="446">
        <v>0</v>
      </c>
      <c r="AI25" s="272"/>
      <c r="AJ25" s="446">
        <v>0</v>
      </c>
      <c r="AK25" s="450">
        <f>AJ25/VPI!R25</f>
        <v>0</v>
      </c>
      <c r="AL25" s="452">
        <f t="shared" si="3"/>
        <v>0</v>
      </c>
      <c r="AM25" s="450">
        <f>AL25/VPI!R25</f>
        <v>0</v>
      </c>
      <c r="AN25" s="446">
        <v>0</v>
      </c>
      <c r="AO25" s="272"/>
      <c r="AP25" s="541">
        <v>48</v>
      </c>
      <c r="AR25" s="178">
        <v>0</v>
      </c>
    </row>
    <row r="26" spans="1:47" x14ac:dyDescent="0.25">
      <c r="A26" s="193">
        <v>5427</v>
      </c>
      <c r="B26" s="454" t="s">
        <v>290</v>
      </c>
      <c r="C26" s="446">
        <v>3096414.06</v>
      </c>
      <c r="D26" s="446">
        <v>959149.35</v>
      </c>
      <c r="E26" s="446"/>
      <c r="F26" s="446">
        <v>0</v>
      </c>
      <c r="G26" s="446">
        <v>37522.449999999997</v>
      </c>
      <c r="H26" s="446">
        <v>5049.25</v>
      </c>
      <c r="I26" s="446">
        <v>504282.15</v>
      </c>
      <c r="J26" s="446">
        <v>51538.01</v>
      </c>
      <c r="K26" s="446">
        <v>-319.75</v>
      </c>
      <c r="L26" s="446">
        <v>470098.5</v>
      </c>
      <c r="M26" s="506">
        <f t="shared" si="0"/>
        <v>5123734.0200000005</v>
      </c>
      <c r="N26" s="446">
        <v>11820.25</v>
      </c>
      <c r="O26" s="446">
        <v>0</v>
      </c>
      <c r="P26" s="446">
        <v>119520.9</v>
      </c>
      <c r="Q26" s="446">
        <v>6191.36</v>
      </c>
      <c r="R26" s="446">
        <v>78166.850000000006</v>
      </c>
      <c r="S26" s="446">
        <v>4176.6763843776998</v>
      </c>
      <c r="T26" s="506">
        <f t="shared" si="1"/>
        <v>5343610.0563843781</v>
      </c>
      <c r="U26" s="446">
        <v>-97265.64</v>
      </c>
      <c r="V26" s="446"/>
      <c r="W26" s="446">
        <v>0</v>
      </c>
      <c r="X26" s="448">
        <v>64</v>
      </c>
      <c r="Y26" s="448">
        <v>1.3</v>
      </c>
      <c r="Z26" s="446">
        <v>869</v>
      </c>
      <c r="AA26" s="269"/>
      <c r="AB26" s="446">
        <v>5337</v>
      </c>
      <c r="AC26" s="450">
        <f>AB26/VPI!R26</f>
        <v>6.930673576101376E-2</v>
      </c>
      <c r="AD26" s="452">
        <f t="shared" si="2"/>
        <v>123903</v>
      </c>
      <c r="AE26" s="450">
        <f>AD26/VPI!R26</f>
        <v>1.6090148924483583</v>
      </c>
      <c r="AF26" s="446">
        <v>129240</v>
      </c>
      <c r="AG26" s="446">
        <v>36571</v>
      </c>
      <c r="AH26" s="446">
        <v>84083</v>
      </c>
      <c r="AI26" s="272"/>
      <c r="AJ26" s="446">
        <v>0</v>
      </c>
      <c r="AK26" s="450">
        <f>AJ26/VPI!R26</f>
        <v>0</v>
      </c>
      <c r="AL26" s="452">
        <f t="shared" si="3"/>
        <v>37941</v>
      </c>
      <c r="AM26" s="450">
        <f>AL26/VPI!R26</f>
        <v>0.49270505180974761</v>
      </c>
      <c r="AN26" s="446">
        <v>37941</v>
      </c>
      <c r="AO26" s="272"/>
      <c r="AP26" s="541">
        <v>46.144113023833398</v>
      </c>
      <c r="AR26" s="178">
        <v>0</v>
      </c>
    </row>
    <row r="27" spans="1:47" x14ac:dyDescent="0.25">
      <c r="A27" s="193">
        <v>5428</v>
      </c>
      <c r="B27" s="454" t="s">
        <v>291</v>
      </c>
      <c r="C27" s="446">
        <v>4065143.36</v>
      </c>
      <c r="D27" s="446">
        <v>490874.68</v>
      </c>
      <c r="E27" s="446"/>
      <c r="F27" s="446">
        <v>0</v>
      </c>
      <c r="G27" s="446">
        <v>106214.75</v>
      </c>
      <c r="H27" s="446">
        <v>7067.1</v>
      </c>
      <c r="I27" s="446">
        <v>0</v>
      </c>
      <c r="J27" s="446">
        <v>204065.92000000001</v>
      </c>
      <c r="K27" s="446">
        <v>16220.5</v>
      </c>
      <c r="L27" s="446">
        <v>456917.15</v>
      </c>
      <c r="M27" s="506">
        <f t="shared" si="0"/>
        <v>5346503.46</v>
      </c>
      <c r="N27" s="446">
        <v>249456.7</v>
      </c>
      <c r="O27" s="446">
        <v>539194.1</v>
      </c>
      <c r="P27" s="446">
        <v>228165.85</v>
      </c>
      <c r="Q27" s="446">
        <v>3726.29</v>
      </c>
      <c r="R27" s="446">
        <v>68445.399999999994</v>
      </c>
      <c r="S27" s="446">
        <v>11113.994218544643</v>
      </c>
      <c r="T27" s="506">
        <f t="shared" si="1"/>
        <v>6446605.7942185448</v>
      </c>
      <c r="U27" s="446">
        <v>-58057.22</v>
      </c>
      <c r="V27" s="446"/>
      <c r="W27" s="446">
        <v>-212.36</v>
      </c>
      <c r="X27" s="448">
        <v>74.5</v>
      </c>
      <c r="Y27" s="448">
        <v>1.2</v>
      </c>
      <c r="Z27" s="446">
        <v>2307</v>
      </c>
      <c r="AA27" s="269"/>
      <c r="AB27" s="446">
        <v>177033</v>
      </c>
      <c r="AC27" s="450">
        <f>AB27/VPI!R27</f>
        <v>2.5232747401706614</v>
      </c>
      <c r="AD27" s="452">
        <f t="shared" si="2"/>
        <v>336884</v>
      </c>
      <c r="AE27" s="450">
        <f>AD27/VPI!R27</f>
        <v>4.8016521641030376</v>
      </c>
      <c r="AF27" s="446">
        <v>513917</v>
      </c>
      <c r="AG27" s="446">
        <v>103327</v>
      </c>
      <c r="AH27" s="446">
        <v>241100</v>
      </c>
      <c r="AI27" s="272"/>
      <c r="AJ27" s="446">
        <v>0</v>
      </c>
      <c r="AK27" s="450">
        <f>AJ27/VPI!R27</f>
        <v>0</v>
      </c>
      <c r="AL27" s="452">
        <f t="shared" si="3"/>
        <v>108157</v>
      </c>
      <c r="AM27" s="450">
        <f>AL27/VPI!R27</f>
        <v>1.5415760116624484</v>
      </c>
      <c r="AN27" s="446">
        <v>108157</v>
      </c>
      <c r="AO27" s="272"/>
      <c r="AP27" s="541">
        <v>14.371691594362892</v>
      </c>
      <c r="AR27" s="178">
        <v>0</v>
      </c>
    </row>
    <row r="28" spans="1:47" x14ac:dyDescent="0.25">
      <c r="A28" s="193">
        <v>5429</v>
      </c>
      <c r="B28" s="454" t="s">
        <v>303</v>
      </c>
      <c r="C28" s="446">
        <v>998736.44</v>
      </c>
      <c r="D28" s="446">
        <v>138044.16</v>
      </c>
      <c r="E28" s="446"/>
      <c r="F28" s="446">
        <v>0</v>
      </c>
      <c r="G28" s="446">
        <v>13341</v>
      </c>
      <c r="H28" s="446">
        <v>3253.85</v>
      </c>
      <c r="I28" s="446">
        <v>0</v>
      </c>
      <c r="J28" s="446">
        <v>9020.59</v>
      </c>
      <c r="K28" s="446">
        <v>3793.9</v>
      </c>
      <c r="L28" s="446">
        <v>101881.3</v>
      </c>
      <c r="M28" s="506">
        <f t="shared" si="0"/>
        <v>1268071.24</v>
      </c>
      <c r="N28" s="446">
        <v>0</v>
      </c>
      <c r="O28" s="446">
        <v>0</v>
      </c>
      <c r="P28" s="446">
        <v>85378.4</v>
      </c>
      <c r="Q28" s="446">
        <v>104.2</v>
      </c>
      <c r="R28" s="446">
        <v>7985.1</v>
      </c>
      <c r="S28" s="446">
        <v>1628.1078297857562</v>
      </c>
      <c r="T28" s="506">
        <f t="shared" si="1"/>
        <v>1363167.0478297856</v>
      </c>
      <c r="U28" s="446">
        <v>-19217.95</v>
      </c>
      <c r="V28" s="446"/>
      <c r="W28" s="446">
        <v>-38.01</v>
      </c>
      <c r="X28" s="448">
        <v>77.5</v>
      </c>
      <c r="Y28" s="448">
        <v>1</v>
      </c>
      <c r="Z28" s="446">
        <v>494</v>
      </c>
      <c r="AA28" s="269"/>
      <c r="AB28" s="446">
        <v>3510</v>
      </c>
      <c r="AC28" s="450">
        <f>AB28/VPI!R28</f>
        <v>0.21752470889338585</v>
      </c>
      <c r="AD28" s="452">
        <f t="shared" si="2"/>
        <v>160022</v>
      </c>
      <c r="AE28" s="450">
        <f>AD28/VPI!R28</f>
        <v>9.9170196485861517</v>
      </c>
      <c r="AF28" s="446">
        <v>163532</v>
      </c>
      <c r="AG28" s="446">
        <v>20473</v>
      </c>
      <c r="AH28" s="446">
        <v>44116</v>
      </c>
      <c r="AI28" s="272"/>
      <c r="AJ28" s="446">
        <v>0</v>
      </c>
      <c r="AK28" s="450">
        <f>AJ28/VPI!R28</f>
        <v>0</v>
      </c>
      <c r="AL28" s="452">
        <f t="shared" si="3"/>
        <v>80788</v>
      </c>
      <c r="AM28" s="450">
        <f>AL28/VPI!R28</f>
        <v>5.0066627299369957</v>
      </c>
      <c r="AN28" s="446">
        <v>80788</v>
      </c>
      <c r="AO28" s="272"/>
      <c r="AP28" s="541">
        <v>19.387681600710568</v>
      </c>
      <c r="AR28" s="178">
        <v>0</v>
      </c>
    </row>
    <row r="29" spans="1:47" x14ac:dyDescent="0.25">
      <c r="A29" s="193">
        <v>5430</v>
      </c>
      <c r="B29" s="454" t="s">
        <v>304</v>
      </c>
      <c r="C29" s="446">
        <v>961123.91</v>
      </c>
      <c r="D29" s="446">
        <v>97223.13</v>
      </c>
      <c r="E29" s="446"/>
      <c r="F29" s="446">
        <v>0</v>
      </c>
      <c r="G29" s="446">
        <v>-2883.75</v>
      </c>
      <c r="H29" s="446">
        <v>2776.45</v>
      </c>
      <c r="I29" s="446">
        <v>0</v>
      </c>
      <c r="J29" s="446">
        <v>23189.25</v>
      </c>
      <c r="K29" s="446">
        <v>756.8</v>
      </c>
      <c r="L29" s="446">
        <v>94155.8</v>
      </c>
      <c r="M29" s="506">
        <f t="shared" si="0"/>
        <v>1176341.5900000001</v>
      </c>
      <c r="N29" s="446">
        <v>6870.3</v>
      </c>
      <c r="O29" s="446">
        <v>0</v>
      </c>
      <c r="P29" s="446">
        <v>61825.5</v>
      </c>
      <c r="Q29" s="446">
        <v>0</v>
      </c>
      <c r="R29" s="446">
        <v>21966.95</v>
      </c>
      <c r="S29" s="446">
        <v>0</v>
      </c>
      <c r="T29" s="506">
        <f t="shared" si="1"/>
        <v>1267004.3400000001</v>
      </c>
      <c r="U29" s="446">
        <v>-25464.82</v>
      </c>
      <c r="V29" s="446"/>
      <c r="W29" s="446">
        <v>-108.97</v>
      </c>
      <c r="X29" s="448">
        <v>77.5</v>
      </c>
      <c r="Y29" s="448">
        <v>1</v>
      </c>
      <c r="Z29" s="446">
        <v>481</v>
      </c>
      <c r="AA29" s="269"/>
      <c r="AB29" s="446">
        <v>49432</v>
      </c>
      <c r="AC29" s="450">
        <f>AB29/VPI!R29</f>
        <v>3.3290642995050779</v>
      </c>
      <c r="AD29" s="452">
        <f t="shared" si="2"/>
        <v>427524</v>
      </c>
      <c r="AE29" s="450">
        <f>AD29/VPI!R29</f>
        <v>28.792176840540723</v>
      </c>
      <c r="AF29" s="446">
        <v>476956</v>
      </c>
      <c r="AG29" s="446">
        <v>22480</v>
      </c>
      <c r="AH29" s="446">
        <v>40861</v>
      </c>
      <c r="AI29" s="272"/>
      <c r="AJ29" s="446">
        <v>0</v>
      </c>
      <c r="AK29" s="450">
        <f>AJ29/VPI!R29</f>
        <v>0</v>
      </c>
      <c r="AL29" s="452">
        <f t="shared" si="3"/>
        <v>84007</v>
      </c>
      <c r="AM29" s="450">
        <f>AL29/VPI!R29</f>
        <v>5.6575640194312005</v>
      </c>
      <c r="AN29" s="446">
        <v>84007</v>
      </c>
      <c r="AO29" s="272"/>
      <c r="AP29" s="541">
        <v>19.714806027974355</v>
      </c>
      <c r="AR29" s="178">
        <v>0</v>
      </c>
    </row>
    <row r="30" spans="1:47" x14ac:dyDescent="0.25">
      <c r="A30" s="193">
        <v>5431</v>
      </c>
      <c r="B30" s="454" t="s">
        <v>305</v>
      </c>
      <c r="C30" s="446">
        <v>562913.55000000005</v>
      </c>
      <c r="D30" s="446">
        <v>51730.8</v>
      </c>
      <c r="E30" s="446"/>
      <c r="F30" s="446">
        <v>0</v>
      </c>
      <c r="G30" s="446">
        <v>877.6</v>
      </c>
      <c r="H30" s="446">
        <v>226.85</v>
      </c>
      <c r="I30" s="446">
        <v>0</v>
      </c>
      <c r="J30" s="446">
        <v>25776.17</v>
      </c>
      <c r="K30" s="446">
        <v>283.85000000000002</v>
      </c>
      <c r="L30" s="446">
        <v>51837.3</v>
      </c>
      <c r="M30" s="506">
        <f t="shared" si="0"/>
        <v>693646.12000000011</v>
      </c>
      <c r="N30" s="446">
        <v>178.1</v>
      </c>
      <c r="O30" s="446">
        <v>66740.100000000006</v>
      </c>
      <c r="P30" s="446">
        <v>38146.949999999997</v>
      </c>
      <c r="Q30" s="446">
        <v>77.349999999999994</v>
      </c>
      <c r="R30" s="446">
        <v>68319.649999999994</v>
      </c>
      <c r="S30" s="446">
        <v>108.35673070903795</v>
      </c>
      <c r="T30" s="506">
        <f t="shared" si="1"/>
        <v>867216.6267307091</v>
      </c>
      <c r="U30" s="446">
        <v>-790.65</v>
      </c>
      <c r="V30" s="446"/>
      <c r="W30" s="446">
        <v>-2388.17</v>
      </c>
      <c r="X30" s="448">
        <v>74</v>
      </c>
      <c r="Y30" s="448">
        <v>1</v>
      </c>
      <c r="Z30" s="446">
        <v>330</v>
      </c>
      <c r="AA30" s="269"/>
      <c r="AB30" s="446">
        <v>0</v>
      </c>
      <c r="AC30" s="450">
        <f>AB30/VPI!R30</f>
        <v>0</v>
      </c>
      <c r="AD30" s="452">
        <f t="shared" si="2"/>
        <v>72866</v>
      </c>
      <c r="AE30" s="450">
        <f>AD30/VPI!R30</f>
        <v>7.807225839099857</v>
      </c>
      <c r="AF30" s="446">
        <v>72866</v>
      </c>
      <c r="AG30" s="446">
        <v>12263</v>
      </c>
      <c r="AH30" s="446">
        <v>39410</v>
      </c>
      <c r="AI30" s="272"/>
      <c r="AJ30" s="446">
        <v>0</v>
      </c>
      <c r="AK30" s="450">
        <f>AJ30/VPI!R30</f>
        <v>0</v>
      </c>
      <c r="AL30" s="452">
        <f t="shared" si="3"/>
        <v>58344</v>
      </c>
      <c r="AM30" s="450">
        <f>AL30/VPI!R30</f>
        <v>6.2512664940636524</v>
      </c>
      <c r="AN30" s="446">
        <v>58344</v>
      </c>
      <c r="AO30" s="272"/>
      <c r="AP30" s="541">
        <v>24.134605109058086</v>
      </c>
      <c r="AR30" s="178">
        <v>0</v>
      </c>
    </row>
    <row r="31" spans="1:47" x14ac:dyDescent="0.25">
      <c r="A31" s="193">
        <v>5434</v>
      </c>
      <c r="B31" s="454" t="s">
        <v>306</v>
      </c>
      <c r="C31" s="446">
        <v>2601347.3199999998</v>
      </c>
      <c r="D31" s="446">
        <v>0</v>
      </c>
      <c r="E31" s="446"/>
      <c r="F31" s="446">
        <v>0</v>
      </c>
      <c r="G31" s="446">
        <v>13483.25</v>
      </c>
      <c r="H31" s="446">
        <v>3251.85</v>
      </c>
      <c r="I31" s="446">
        <v>0</v>
      </c>
      <c r="J31" s="446">
        <v>30028.28</v>
      </c>
      <c r="K31" s="446">
        <v>2850.7</v>
      </c>
      <c r="L31" s="446">
        <v>281498.65000000002</v>
      </c>
      <c r="M31" s="506">
        <f t="shared" si="0"/>
        <v>2932460.05</v>
      </c>
      <c r="N31" s="446">
        <v>27638.1</v>
      </c>
      <c r="O31" s="446">
        <v>16832.8</v>
      </c>
      <c r="P31" s="446">
        <v>94465.05</v>
      </c>
      <c r="Q31" s="446">
        <v>601.76</v>
      </c>
      <c r="R31" s="446">
        <v>102197.45</v>
      </c>
      <c r="S31" s="446">
        <v>1641.8676482310841</v>
      </c>
      <c r="T31" s="506">
        <f t="shared" si="1"/>
        <v>3175837.0776482304</v>
      </c>
      <c r="U31" s="446">
        <v>-52776.88</v>
      </c>
      <c r="V31" s="446"/>
      <c r="W31" s="446">
        <v>0</v>
      </c>
      <c r="X31" s="448">
        <v>69.5</v>
      </c>
      <c r="Y31" s="448">
        <v>1.2</v>
      </c>
      <c r="Z31" s="446">
        <v>1074</v>
      </c>
      <c r="AA31" s="269"/>
      <c r="AB31" s="446">
        <v>15495</v>
      </c>
      <c r="AC31" s="450">
        <f>AB31/VPI!R31</f>
        <v>0.37985840077368765</v>
      </c>
      <c r="AD31" s="452">
        <f t="shared" si="2"/>
        <v>149566</v>
      </c>
      <c r="AE31" s="450">
        <f>AD31/VPI!R31</f>
        <v>3.6665957773551061</v>
      </c>
      <c r="AF31" s="446">
        <v>165061</v>
      </c>
      <c r="AG31" s="446">
        <v>45151</v>
      </c>
      <c r="AH31" s="446">
        <v>114751</v>
      </c>
      <c r="AI31" s="272"/>
      <c r="AJ31" s="446">
        <v>0</v>
      </c>
      <c r="AK31" s="450">
        <f>AJ31/VPI!R31</f>
        <v>0</v>
      </c>
      <c r="AL31" s="452">
        <f t="shared" si="3"/>
        <v>114073</v>
      </c>
      <c r="AM31" s="450">
        <f>AL31/VPI!R31</f>
        <v>2.7964883737629473</v>
      </c>
      <c r="AN31" s="446">
        <v>114073</v>
      </c>
      <c r="AO31" s="272"/>
      <c r="AP31" s="541">
        <v>26.752923797217164</v>
      </c>
      <c r="AR31" s="178">
        <v>0</v>
      </c>
    </row>
    <row r="32" spans="1:47" x14ac:dyDescent="0.25">
      <c r="A32" s="193">
        <v>5435</v>
      </c>
      <c r="B32" s="454" t="s">
        <v>292</v>
      </c>
      <c r="C32" s="446">
        <v>1505496.82</v>
      </c>
      <c r="D32" s="446">
        <v>195673.15</v>
      </c>
      <c r="E32" s="446"/>
      <c r="F32" s="446">
        <v>0</v>
      </c>
      <c r="G32" s="446">
        <v>26748.95</v>
      </c>
      <c r="H32" s="446">
        <v>186.2</v>
      </c>
      <c r="I32" s="446">
        <v>0</v>
      </c>
      <c r="J32" s="446">
        <v>-8020.53</v>
      </c>
      <c r="K32" s="446">
        <v>0</v>
      </c>
      <c r="L32" s="446">
        <v>125868.9</v>
      </c>
      <c r="M32" s="506">
        <f t="shared" si="0"/>
        <v>1845953.4899999998</v>
      </c>
      <c r="N32" s="446">
        <v>18525.05</v>
      </c>
      <c r="O32" s="446">
        <v>0</v>
      </c>
      <c r="P32" s="446">
        <v>87831.55</v>
      </c>
      <c r="Q32" s="446">
        <v>2137.23</v>
      </c>
      <c r="R32" s="446">
        <v>40476.35</v>
      </c>
      <c r="S32" s="446">
        <v>2642.5866224433371</v>
      </c>
      <c r="T32" s="506">
        <f t="shared" si="1"/>
        <v>1997566.2566224432</v>
      </c>
      <c r="U32" s="446">
        <v>-33132.080000000002</v>
      </c>
      <c r="V32" s="446"/>
      <c r="W32" s="446">
        <v>-280.23</v>
      </c>
      <c r="X32" s="448">
        <v>69</v>
      </c>
      <c r="Y32" s="448">
        <v>1</v>
      </c>
      <c r="Z32" s="446">
        <v>683</v>
      </c>
      <c r="AA32" s="269"/>
      <c r="AB32" s="446">
        <v>1160</v>
      </c>
      <c r="AC32" s="450">
        <f>AB32/VPI!R32</f>
        <v>4.404285217017645E-2</v>
      </c>
      <c r="AD32" s="452">
        <f t="shared" si="2"/>
        <v>147225</v>
      </c>
      <c r="AE32" s="450">
        <f>AD32/VPI!R32</f>
        <v>5.5898352678915755</v>
      </c>
      <c r="AF32" s="446">
        <v>148385</v>
      </c>
      <c r="AG32" s="446">
        <v>44375</v>
      </c>
      <c r="AH32" s="446">
        <v>72001</v>
      </c>
      <c r="AI32" s="272"/>
      <c r="AJ32" s="446">
        <v>0</v>
      </c>
      <c r="AK32" s="450">
        <f>AJ32/VPI!R32</f>
        <v>0</v>
      </c>
      <c r="AL32" s="452">
        <f t="shared" si="3"/>
        <v>6872</v>
      </c>
      <c r="AM32" s="450">
        <f>AL32/VPI!R32</f>
        <v>0.26091593113228667</v>
      </c>
      <c r="AN32" s="446">
        <v>6872</v>
      </c>
      <c r="AO32" s="272"/>
      <c r="AP32" s="541">
        <v>25.608593741305594</v>
      </c>
      <c r="AR32" s="178">
        <v>0</v>
      </c>
    </row>
    <row r="33" spans="1:44" x14ac:dyDescent="0.25">
      <c r="A33" s="193">
        <v>5436</v>
      </c>
      <c r="B33" s="454" t="s">
        <v>293</v>
      </c>
      <c r="C33" s="446">
        <v>1187247.43</v>
      </c>
      <c r="D33" s="446">
        <v>72432.31</v>
      </c>
      <c r="E33" s="446"/>
      <c r="F33" s="446">
        <v>0</v>
      </c>
      <c r="G33" s="446">
        <v>7340.35</v>
      </c>
      <c r="H33" s="446">
        <v>-99.85</v>
      </c>
      <c r="I33" s="446">
        <v>0</v>
      </c>
      <c r="J33" s="446">
        <v>-2382.0300000000002</v>
      </c>
      <c r="K33" s="446">
        <v>0</v>
      </c>
      <c r="L33" s="446">
        <v>69876.95</v>
      </c>
      <c r="M33" s="506">
        <f t="shared" si="0"/>
        <v>1334415.1599999999</v>
      </c>
      <c r="N33" s="446">
        <v>171.1</v>
      </c>
      <c r="O33" s="446">
        <v>8820.4</v>
      </c>
      <c r="P33" s="446">
        <v>51717.1</v>
      </c>
      <c r="Q33" s="446">
        <v>5914.13</v>
      </c>
      <c r="R33" s="446">
        <v>1182.3</v>
      </c>
      <c r="S33" s="446">
        <v>710.35982497966347</v>
      </c>
      <c r="T33" s="506">
        <f t="shared" si="1"/>
        <v>1402930.5498249796</v>
      </c>
      <c r="U33" s="446">
        <v>-702</v>
      </c>
      <c r="V33" s="446"/>
      <c r="W33" s="446">
        <v>-758.29</v>
      </c>
      <c r="X33" s="448">
        <v>81</v>
      </c>
      <c r="Y33" s="448">
        <v>0.8</v>
      </c>
      <c r="Z33" s="446">
        <v>461</v>
      </c>
      <c r="AA33" s="269"/>
      <c r="AB33" s="446">
        <v>0</v>
      </c>
      <c r="AC33" s="450">
        <f>AB33/VPI!R33</f>
        <v>0</v>
      </c>
      <c r="AD33" s="452">
        <f t="shared" si="2"/>
        <v>39480</v>
      </c>
      <c r="AE33" s="450">
        <f>AD33/VPI!R33</f>
        <v>2.3564963010931779</v>
      </c>
      <c r="AF33" s="446">
        <v>39480</v>
      </c>
      <c r="AG33" s="446">
        <v>15361</v>
      </c>
      <c r="AH33" s="446">
        <v>32153</v>
      </c>
      <c r="AI33" s="272"/>
      <c r="AJ33" s="446">
        <v>0</v>
      </c>
      <c r="AK33" s="450">
        <f>AJ33/VPI!R33</f>
        <v>0</v>
      </c>
      <c r="AL33" s="452">
        <f t="shared" si="3"/>
        <v>9309</v>
      </c>
      <c r="AM33" s="450">
        <f>AL33/VPI!R33</f>
        <v>0.5556389074690069</v>
      </c>
      <c r="AN33" s="446">
        <v>9309</v>
      </c>
      <c r="AO33" s="272"/>
      <c r="AP33" s="541">
        <v>25.533858467861194</v>
      </c>
      <c r="AR33" s="178">
        <v>0</v>
      </c>
    </row>
    <row r="34" spans="1:44" x14ac:dyDescent="0.25">
      <c r="A34" s="193">
        <v>5437</v>
      </c>
      <c r="B34" s="454" t="s">
        <v>294</v>
      </c>
      <c r="C34" s="446">
        <v>937254.5</v>
      </c>
      <c r="D34" s="446">
        <v>85412.5</v>
      </c>
      <c r="E34" s="446"/>
      <c r="F34" s="446">
        <v>0</v>
      </c>
      <c r="G34" s="446">
        <v>48932.800000000003</v>
      </c>
      <c r="H34" s="446">
        <v>446.1</v>
      </c>
      <c r="I34" s="446">
        <v>0</v>
      </c>
      <c r="J34" s="446">
        <v>-63166.080000000002</v>
      </c>
      <c r="K34" s="446">
        <v>746.35</v>
      </c>
      <c r="L34" s="446">
        <v>69011.05</v>
      </c>
      <c r="M34" s="506">
        <f t="shared" si="0"/>
        <v>1078637.2200000002</v>
      </c>
      <c r="N34" s="446">
        <v>0</v>
      </c>
      <c r="O34" s="446">
        <v>0</v>
      </c>
      <c r="P34" s="446">
        <v>65452.7</v>
      </c>
      <c r="Q34" s="446">
        <v>0</v>
      </c>
      <c r="R34" s="446">
        <v>42105.9</v>
      </c>
      <c r="S34" s="446">
        <v>4844.5254832799255</v>
      </c>
      <c r="T34" s="506">
        <f t="shared" si="1"/>
        <v>1191040.34548328</v>
      </c>
      <c r="U34" s="446">
        <v>-12796.07</v>
      </c>
      <c r="V34" s="446"/>
      <c r="W34" s="446">
        <v>-411.53</v>
      </c>
      <c r="X34" s="448">
        <v>80</v>
      </c>
      <c r="Y34" s="448">
        <v>1</v>
      </c>
      <c r="Z34" s="446">
        <v>423</v>
      </c>
      <c r="AA34" s="269"/>
      <c r="AB34" s="446">
        <v>0</v>
      </c>
      <c r="AC34" s="450">
        <f>AB34/VPI!R34</f>
        <v>0</v>
      </c>
      <c r="AD34" s="452">
        <f t="shared" si="2"/>
        <v>59231</v>
      </c>
      <c r="AE34" s="450">
        <f>AD34/VPI!R34</f>
        <v>4.4273516463021254</v>
      </c>
      <c r="AF34" s="446">
        <v>59231</v>
      </c>
      <c r="AG34" s="446">
        <v>11978</v>
      </c>
      <c r="AH34" s="446">
        <v>55801</v>
      </c>
      <c r="AI34" s="272"/>
      <c r="AJ34" s="446">
        <v>0</v>
      </c>
      <c r="AK34" s="450">
        <f>AJ34/VPI!R34</f>
        <v>0</v>
      </c>
      <c r="AL34" s="452">
        <f t="shared" si="3"/>
        <v>9712</v>
      </c>
      <c r="AM34" s="450">
        <f>AL34/VPI!R34</f>
        <v>0.72594484626101607</v>
      </c>
      <c r="AN34" s="446">
        <v>9712</v>
      </c>
      <c r="AO34" s="272"/>
      <c r="AP34" s="541">
        <v>18.835674293020329</v>
      </c>
      <c r="AR34" s="178">
        <v>0</v>
      </c>
    </row>
    <row r="35" spans="1:44" x14ac:dyDescent="0.25">
      <c r="A35" s="193">
        <v>5451</v>
      </c>
      <c r="B35" s="454" t="s">
        <v>295</v>
      </c>
      <c r="C35" s="446">
        <v>5023992.76</v>
      </c>
      <c r="D35" s="446">
        <v>539463.47</v>
      </c>
      <c r="E35" s="446"/>
      <c r="F35" s="446">
        <v>0</v>
      </c>
      <c r="G35" s="446">
        <v>1500278.3</v>
      </c>
      <c r="H35" s="446">
        <v>48890.400000000001</v>
      </c>
      <c r="I35" s="446">
        <v>0</v>
      </c>
      <c r="J35" s="446">
        <v>376921.76</v>
      </c>
      <c r="K35" s="446">
        <v>171098.05</v>
      </c>
      <c r="L35" s="446">
        <v>1466170.35</v>
      </c>
      <c r="M35" s="506">
        <f t="shared" si="0"/>
        <v>9126815.0899999999</v>
      </c>
      <c r="N35" s="446">
        <v>537089.1</v>
      </c>
      <c r="O35" s="446">
        <v>107992.3</v>
      </c>
      <c r="P35" s="446">
        <v>379904.45</v>
      </c>
      <c r="Q35" s="446">
        <v>101555.19</v>
      </c>
      <c r="R35" s="446">
        <v>134929.70000000001</v>
      </c>
      <c r="S35" s="446">
        <v>151987.7365645981</v>
      </c>
      <c r="T35" s="506">
        <f t="shared" si="1"/>
        <v>10540273.566564597</v>
      </c>
      <c r="U35" s="446">
        <v>-312503.08</v>
      </c>
      <c r="V35" s="446"/>
      <c r="W35" s="446">
        <v>-1157.72</v>
      </c>
      <c r="X35" s="448">
        <v>66.5</v>
      </c>
      <c r="Y35" s="448">
        <v>1.5</v>
      </c>
      <c r="Z35" s="446">
        <v>4482</v>
      </c>
      <c r="AA35" s="269"/>
      <c r="AB35" s="446">
        <v>580568</v>
      </c>
      <c r="AC35" s="450">
        <f>AB35/VPI!R35</f>
        <v>4.5008032258720778</v>
      </c>
      <c r="AD35" s="452">
        <f t="shared" si="2"/>
        <v>1141373</v>
      </c>
      <c r="AE35" s="450">
        <f>AD35/VPI!R35</f>
        <v>8.8483955028924957</v>
      </c>
      <c r="AF35" s="446">
        <v>1721941</v>
      </c>
      <c r="AG35" s="446">
        <v>679837</v>
      </c>
      <c r="AH35" s="446">
        <v>462210</v>
      </c>
      <c r="AI35" s="272"/>
      <c r="AJ35" s="446">
        <v>0</v>
      </c>
      <c r="AK35" s="450">
        <f>AJ35/VPI!R35</f>
        <v>0</v>
      </c>
      <c r="AL35" s="452">
        <f t="shared" si="3"/>
        <v>75417</v>
      </c>
      <c r="AM35" s="450">
        <f>AL35/VPI!R35</f>
        <v>0.58466377217758214</v>
      </c>
      <c r="AN35" s="446">
        <v>75417</v>
      </c>
      <c r="AO35" s="272"/>
      <c r="AP35" s="541">
        <v>14.321693371198114</v>
      </c>
      <c r="AR35" s="178">
        <v>0</v>
      </c>
    </row>
    <row r="36" spans="1:44" x14ac:dyDescent="0.25">
      <c r="A36" s="193">
        <v>5456</v>
      </c>
      <c r="B36" s="454" t="s">
        <v>296</v>
      </c>
      <c r="C36" s="446">
        <v>3072603.9</v>
      </c>
      <c r="D36" s="446">
        <v>327297.08</v>
      </c>
      <c r="E36" s="446"/>
      <c r="F36" s="446">
        <v>0</v>
      </c>
      <c r="G36" s="446">
        <v>37844.6</v>
      </c>
      <c r="H36" s="446">
        <v>1657.9</v>
      </c>
      <c r="I36" s="446">
        <v>0</v>
      </c>
      <c r="J36" s="446">
        <v>34218.730000000003</v>
      </c>
      <c r="K36" s="446">
        <v>-7000.35</v>
      </c>
      <c r="L36" s="446">
        <v>511943.6</v>
      </c>
      <c r="M36" s="506">
        <f t="shared" si="0"/>
        <v>3978565.46</v>
      </c>
      <c r="N36" s="446">
        <v>5787.35</v>
      </c>
      <c r="O36" s="446">
        <v>34794.400000000001</v>
      </c>
      <c r="P36" s="446">
        <v>234467.75</v>
      </c>
      <c r="Q36" s="446">
        <v>42.93</v>
      </c>
      <c r="R36" s="446">
        <v>92485.75</v>
      </c>
      <c r="S36" s="446">
        <v>3875.5595589060363</v>
      </c>
      <c r="T36" s="506">
        <f t="shared" si="1"/>
        <v>4350019.1995589053</v>
      </c>
      <c r="U36" s="446">
        <v>-22900.59</v>
      </c>
      <c r="V36" s="446"/>
      <c r="W36" s="446">
        <v>-409.07</v>
      </c>
      <c r="X36" s="448">
        <v>59</v>
      </c>
      <c r="Y36" s="448">
        <v>1.5</v>
      </c>
      <c r="Z36" s="446">
        <v>1780</v>
      </c>
      <c r="AA36" s="269"/>
      <c r="AB36" s="446">
        <v>73333</v>
      </c>
      <c r="AC36" s="450">
        <f>AB36/VPI!R36</f>
        <v>1.1420395470534814</v>
      </c>
      <c r="AD36" s="452">
        <f t="shared" si="2"/>
        <v>463434</v>
      </c>
      <c r="AE36" s="450">
        <f>AD36/VPI!R36</f>
        <v>7.217214016188934</v>
      </c>
      <c r="AF36" s="446">
        <v>536767</v>
      </c>
      <c r="AG36" s="446">
        <v>98219</v>
      </c>
      <c r="AH36" s="446">
        <v>190440</v>
      </c>
      <c r="AI36" s="272"/>
      <c r="AJ36" s="446">
        <v>0</v>
      </c>
      <c r="AK36" s="450">
        <f>AJ36/VPI!R36</f>
        <v>0</v>
      </c>
      <c r="AL36" s="452">
        <f t="shared" si="3"/>
        <v>1049</v>
      </c>
      <c r="AM36" s="450">
        <f>AL36/VPI!R36</f>
        <v>1.6336430868218975E-2</v>
      </c>
      <c r="AN36" s="446">
        <v>1049</v>
      </c>
      <c r="AO36" s="272"/>
      <c r="AP36" s="541">
        <v>22.960238145009722</v>
      </c>
      <c r="AR36" s="178">
        <v>0</v>
      </c>
    </row>
    <row r="37" spans="1:44" x14ac:dyDescent="0.25">
      <c r="A37" s="193">
        <v>5458</v>
      </c>
      <c r="B37" s="454" t="s">
        <v>297</v>
      </c>
      <c r="C37" s="446">
        <v>1623427.51</v>
      </c>
      <c r="D37" s="446">
        <v>237541.87</v>
      </c>
      <c r="E37" s="446"/>
      <c r="F37" s="446">
        <v>0</v>
      </c>
      <c r="G37" s="446">
        <v>12767.8</v>
      </c>
      <c r="H37" s="446">
        <v>1829.35</v>
      </c>
      <c r="I37" s="446">
        <v>0</v>
      </c>
      <c r="J37" s="446">
        <v>49454.2</v>
      </c>
      <c r="K37" s="446">
        <v>22318.75</v>
      </c>
      <c r="L37" s="446">
        <v>306000.45</v>
      </c>
      <c r="M37" s="506">
        <f t="shared" si="0"/>
        <v>2253339.9300000002</v>
      </c>
      <c r="N37" s="446">
        <v>3878.8</v>
      </c>
      <c r="O37" s="446">
        <v>12968.6</v>
      </c>
      <c r="P37" s="446">
        <v>89368.4</v>
      </c>
      <c r="Q37" s="446">
        <v>30227.78</v>
      </c>
      <c r="R37" s="446">
        <v>60517.3</v>
      </c>
      <c r="S37" s="446">
        <v>1432.1150361441742</v>
      </c>
      <c r="T37" s="506">
        <f t="shared" si="1"/>
        <v>2451732.925036144</v>
      </c>
      <c r="U37" s="446">
        <v>-57688.77</v>
      </c>
      <c r="V37" s="446"/>
      <c r="W37" s="446">
        <v>-535</v>
      </c>
      <c r="X37" s="448">
        <v>66</v>
      </c>
      <c r="Y37" s="448">
        <v>1.5</v>
      </c>
      <c r="Z37" s="446">
        <v>881</v>
      </c>
      <c r="AA37" s="269"/>
      <c r="AB37" s="446">
        <v>20180</v>
      </c>
      <c r="AC37" s="450">
        <f>AB37/VPI!R37</f>
        <v>0.62683316242582476</v>
      </c>
      <c r="AD37" s="452">
        <f t="shared" si="2"/>
        <v>209133</v>
      </c>
      <c r="AE37" s="450">
        <f>AD37/VPI!R37</f>
        <v>6.4961099978989099</v>
      </c>
      <c r="AF37" s="446">
        <v>229313</v>
      </c>
      <c r="AG37" s="446">
        <v>83406</v>
      </c>
      <c r="AH37" s="446">
        <v>85726</v>
      </c>
      <c r="AI37" s="272"/>
      <c r="AJ37" s="446">
        <v>0</v>
      </c>
      <c r="AK37" s="450">
        <f>AJ37/VPI!R37</f>
        <v>0</v>
      </c>
      <c r="AL37" s="452">
        <f t="shared" si="3"/>
        <v>14865</v>
      </c>
      <c r="AM37" s="450">
        <f>AL37/VPI!R37</f>
        <v>0.46173810502774454</v>
      </c>
      <c r="AN37" s="446">
        <v>14865</v>
      </c>
      <c r="AO37" s="272"/>
      <c r="AP37" s="541">
        <v>27.698303388572093</v>
      </c>
      <c r="AR37" s="178">
        <v>0</v>
      </c>
    </row>
    <row r="38" spans="1:44" x14ac:dyDescent="0.25">
      <c r="A38" s="193">
        <v>5464</v>
      </c>
      <c r="B38" s="454" t="s">
        <v>345</v>
      </c>
      <c r="C38" s="446">
        <v>5639565.2400000002</v>
      </c>
      <c r="D38" s="446">
        <v>1086046.95</v>
      </c>
      <c r="E38" s="446"/>
      <c r="F38" s="446">
        <v>0</v>
      </c>
      <c r="G38" s="446">
        <v>37325.15</v>
      </c>
      <c r="H38" s="446">
        <v>8099.25</v>
      </c>
      <c r="I38" s="446">
        <v>0</v>
      </c>
      <c r="J38" s="446">
        <v>71492.95</v>
      </c>
      <c r="K38" s="446">
        <v>14232.3</v>
      </c>
      <c r="L38" s="446">
        <v>1024904.1</v>
      </c>
      <c r="M38" s="506">
        <f t="shared" si="0"/>
        <v>7881665.9400000004</v>
      </c>
      <c r="N38" s="446">
        <v>1564.15</v>
      </c>
      <c r="O38" s="446">
        <v>31224.799999999999</v>
      </c>
      <c r="P38" s="446">
        <v>305626.15000000002</v>
      </c>
      <c r="Q38" s="446">
        <v>9482.2800000000007</v>
      </c>
      <c r="R38" s="446">
        <v>127042.1</v>
      </c>
      <c r="S38" s="446">
        <v>4456.5525631940091</v>
      </c>
      <c r="T38" s="506">
        <f t="shared" si="1"/>
        <v>8361061.972563195</v>
      </c>
      <c r="U38" s="446">
        <v>-75302.34</v>
      </c>
      <c r="V38" s="446"/>
      <c r="W38" s="446">
        <v>-2639.33</v>
      </c>
      <c r="X38" s="448">
        <v>67</v>
      </c>
      <c r="Y38" s="448">
        <v>1.5</v>
      </c>
      <c r="Z38" s="446">
        <v>3360</v>
      </c>
      <c r="AA38" s="269"/>
      <c r="AB38" s="446">
        <v>182318</v>
      </c>
      <c r="AC38" s="450">
        <f>AB38/VPI!R38</f>
        <v>1.6339298544949239</v>
      </c>
      <c r="AD38" s="452">
        <f t="shared" si="2"/>
        <v>660388</v>
      </c>
      <c r="AE38" s="450">
        <f>AD38/VPI!R38</f>
        <v>5.9183825445112053</v>
      </c>
      <c r="AF38" s="446">
        <v>842706</v>
      </c>
      <c r="AG38" s="446">
        <v>185570</v>
      </c>
      <c r="AH38" s="446">
        <v>333139</v>
      </c>
      <c r="AI38" s="272"/>
      <c r="AJ38" s="446">
        <v>5987</v>
      </c>
      <c r="AK38" s="450">
        <f>AJ38/VPI!R38</f>
        <v>5.365536062737146E-2</v>
      </c>
      <c r="AL38" s="452">
        <f t="shared" si="3"/>
        <v>0</v>
      </c>
      <c r="AM38" s="450">
        <f>AL38/VPI!R38</f>
        <v>0</v>
      </c>
      <c r="AN38" s="446">
        <v>5987</v>
      </c>
      <c r="AO38" s="272"/>
      <c r="AP38" s="541">
        <v>20.396524305067096</v>
      </c>
      <c r="AR38" s="178">
        <v>0</v>
      </c>
    </row>
    <row r="39" spans="1:44" x14ac:dyDescent="0.25">
      <c r="A39" s="193">
        <v>5471</v>
      </c>
      <c r="B39" s="454" t="s">
        <v>298</v>
      </c>
      <c r="C39" s="446">
        <v>1130154.1499999999</v>
      </c>
      <c r="D39" s="446">
        <v>108398.85</v>
      </c>
      <c r="E39" s="446"/>
      <c r="F39" s="446">
        <v>0</v>
      </c>
      <c r="G39" s="446">
        <v>14746.65</v>
      </c>
      <c r="H39" s="446">
        <v>1631.9</v>
      </c>
      <c r="I39" s="446">
        <v>0</v>
      </c>
      <c r="J39" s="446">
        <v>49518.400000000001</v>
      </c>
      <c r="K39" s="446">
        <v>4158.25</v>
      </c>
      <c r="L39" s="446">
        <v>118449.1</v>
      </c>
      <c r="M39" s="506">
        <f t="shared" si="0"/>
        <v>1427057.2999999998</v>
      </c>
      <c r="N39" s="446">
        <v>24383.75</v>
      </c>
      <c r="O39" s="446">
        <v>5068.6000000000004</v>
      </c>
      <c r="P39" s="446">
        <v>46619.8</v>
      </c>
      <c r="Q39" s="446">
        <v>0</v>
      </c>
      <c r="R39" s="446">
        <v>4257.8500000000004</v>
      </c>
      <c r="S39" s="446">
        <v>1606.8868049748864</v>
      </c>
      <c r="T39" s="506">
        <f t="shared" si="1"/>
        <v>1508994.1868049749</v>
      </c>
      <c r="U39" s="446">
        <v>-14777.53</v>
      </c>
      <c r="V39" s="446"/>
      <c r="W39" s="446">
        <v>-435.55</v>
      </c>
      <c r="X39" s="448">
        <v>70</v>
      </c>
      <c r="Y39" s="448">
        <v>0.9</v>
      </c>
      <c r="Z39" s="446">
        <v>636</v>
      </c>
      <c r="AA39" s="269"/>
      <c r="AB39" s="446">
        <v>35003</v>
      </c>
      <c r="AC39" s="450">
        <f>AB39/VPI!R39</f>
        <v>1.7175025847804573</v>
      </c>
      <c r="AD39" s="452">
        <f t="shared" si="2"/>
        <v>86625</v>
      </c>
      <c r="AE39" s="450">
        <f>AD39/VPI!R39</f>
        <v>4.2504545726539753</v>
      </c>
      <c r="AF39" s="446">
        <v>121628</v>
      </c>
      <c r="AG39" s="446">
        <v>18599</v>
      </c>
      <c r="AH39" s="446">
        <v>52286</v>
      </c>
      <c r="AI39" s="272"/>
      <c r="AJ39" s="446">
        <v>0</v>
      </c>
      <c r="AK39" s="450">
        <f>AJ39/VPI!R39</f>
        <v>0</v>
      </c>
      <c r="AL39" s="452">
        <f t="shared" si="3"/>
        <v>2345</v>
      </c>
      <c r="AM39" s="450">
        <f>AL39/VPI!R39</f>
        <v>0.11506281065366318</v>
      </c>
      <c r="AN39" s="446">
        <v>2345</v>
      </c>
      <c r="AO39" s="272"/>
      <c r="AP39" s="541">
        <v>23.86521485290881</v>
      </c>
      <c r="AR39" s="178">
        <v>0</v>
      </c>
    </row>
    <row r="40" spans="1:44" x14ac:dyDescent="0.25">
      <c r="A40" s="193">
        <v>5472</v>
      </c>
      <c r="B40" s="454" t="s">
        <v>299</v>
      </c>
      <c r="C40" s="446">
        <v>1234639.1200000001</v>
      </c>
      <c r="D40" s="446">
        <v>111357.63</v>
      </c>
      <c r="E40" s="446"/>
      <c r="F40" s="446">
        <v>0</v>
      </c>
      <c r="G40" s="446">
        <v>14403.9</v>
      </c>
      <c r="H40" s="446">
        <v>26.9</v>
      </c>
      <c r="I40" s="446">
        <v>0</v>
      </c>
      <c r="J40" s="446">
        <v>25542.11</v>
      </c>
      <c r="K40" s="446">
        <v>640.25</v>
      </c>
      <c r="L40" s="446">
        <v>92037.65</v>
      </c>
      <c r="M40" s="506">
        <f t="shared" si="0"/>
        <v>1478647.5599999998</v>
      </c>
      <c r="N40" s="446">
        <v>0</v>
      </c>
      <c r="O40" s="446">
        <v>0</v>
      </c>
      <c r="P40" s="446">
        <v>112701.35</v>
      </c>
      <c r="Q40" s="446">
        <v>10497.55</v>
      </c>
      <c r="R40" s="446">
        <v>61656.800000000003</v>
      </c>
      <c r="S40" s="446">
        <v>1415.7945669935123</v>
      </c>
      <c r="T40" s="506">
        <f t="shared" si="1"/>
        <v>1664919.0545669936</v>
      </c>
      <c r="U40" s="446">
        <v>-38254.06</v>
      </c>
      <c r="V40" s="446"/>
      <c r="W40" s="446">
        <v>-2314.36</v>
      </c>
      <c r="X40" s="448">
        <v>72</v>
      </c>
      <c r="Y40" s="448">
        <v>1</v>
      </c>
      <c r="Z40" s="446">
        <v>490</v>
      </c>
      <c r="AA40" s="269"/>
      <c r="AB40" s="446">
        <v>2333</v>
      </c>
      <c r="AC40" s="450">
        <f>AB40/VPI!R40</f>
        <v>0.11584611767843896</v>
      </c>
      <c r="AD40" s="452">
        <f t="shared" si="2"/>
        <v>42351</v>
      </c>
      <c r="AE40" s="450">
        <f>AD40/VPI!R40</f>
        <v>2.102957106643621</v>
      </c>
      <c r="AF40" s="446">
        <v>44684</v>
      </c>
      <c r="AG40" s="446">
        <v>12075</v>
      </c>
      <c r="AH40" s="446">
        <v>22688</v>
      </c>
      <c r="AI40" s="272"/>
      <c r="AJ40" s="446">
        <v>0</v>
      </c>
      <c r="AK40" s="450">
        <f>AJ40/VPI!R40</f>
        <v>0</v>
      </c>
      <c r="AL40" s="452">
        <f t="shared" si="3"/>
        <v>41011</v>
      </c>
      <c r="AM40" s="450">
        <f>AL40/VPI!R40</f>
        <v>2.0364188307374453</v>
      </c>
      <c r="AN40" s="446">
        <v>41011</v>
      </c>
      <c r="AO40" s="272"/>
      <c r="AP40" s="541">
        <v>24.782948831015382</v>
      </c>
      <c r="AR40" s="178">
        <v>0</v>
      </c>
    </row>
    <row r="41" spans="1:44" x14ac:dyDescent="0.25">
      <c r="A41" s="193">
        <v>5473</v>
      </c>
      <c r="B41" s="454" t="s">
        <v>188</v>
      </c>
      <c r="C41" s="446">
        <v>2091780.69</v>
      </c>
      <c r="D41" s="446">
        <v>247907.76</v>
      </c>
      <c r="E41" s="446"/>
      <c r="F41" s="446">
        <v>0</v>
      </c>
      <c r="G41" s="446">
        <v>25721.55</v>
      </c>
      <c r="H41" s="446">
        <v>683.65</v>
      </c>
      <c r="I41" s="446">
        <v>0</v>
      </c>
      <c r="J41" s="446">
        <v>15808.71</v>
      </c>
      <c r="K41" s="446">
        <v>6176.2</v>
      </c>
      <c r="L41" s="446">
        <v>186339.9</v>
      </c>
      <c r="M41" s="506">
        <f t="shared" si="0"/>
        <v>2574418.46</v>
      </c>
      <c r="N41" s="446">
        <v>5808.45</v>
      </c>
      <c r="O41" s="446">
        <v>0</v>
      </c>
      <c r="P41" s="446">
        <v>36017.35</v>
      </c>
      <c r="Q41" s="446">
        <v>7627.71</v>
      </c>
      <c r="R41" s="446">
        <v>57547.95</v>
      </c>
      <c r="S41" s="446">
        <v>2590.59364001837</v>
      </c>
      <c r="T41" s="506">
        <f t="shared" si="1"/>
        <v>2684010.5136400186</v>
      </c>
      <c r="U41" s="446">
        <v>-35099.97</v>
      </c>
      <c r="V41" s="446"/>
      <c r="W41" s="446">
        <v>-291.43</v>
      </c>
      <c r="X41" s="448">
        <v>67.5</v>
      </c>
      <c r="Y41" s="448">
        <v>1</v>
      </c>
      <c r="Z41" s="446">
        <v>999</v>
      </c>
      <c r="AA41" s="269"/>
      <c r="AB41" s="446">
        <v>0</v>
      </c>
      <c r="AC41" s="450">
        <f>AB41/VPI!R41</f>
        <v>0</v>
      </c>
      <c r="AD41" s="452">
        <f t="shared" si="2"/>
        <v>0</v>
      </c>
      <c r="AE41" s="450">
        <f>AD41/VPI!R41</f>
        <v>0</v>
      </c>
      <c r="AF41" s="446">
        <v>0</v>
      </c>
      <c r="AG41" s="446">
        <v>0</v>
      </c>
      <c r="AH41" s="446">
        <v>0</v>
      </c>
      <c r="AI41" s="272"/>
      <c r="AJ41" s="446">
        <v>0</v>
      </c>
      <c r="AK41" s="450">
        <f>AJ41/VPI!R41</f>
        <v>0</v>
      </c>
      <c r="AL41" s="452">
        <f t="shared" si="3"/>
        <v>0</v>
      </c>
      <c r="AM41" s="450">
        <f>AL41/VPI!R41</f>
        <v>0</v>
      </c>
      <c r="AN41" s="446">
        <v>0</v>
      </c>
      <c r="AO41" s="272"/>
      <c r="AP41" s="541">
        <v>25.093803010760865</v>
      </c>
      <c r="AR41" s="178">
        <v>0</v>
      </c>
    </row>
    <row r="42" spans="1:44" x14ac:dyDescent="0.25">
      <c r="A42" s="193">
        <v>5474</v>
      </c>
      <c r="B42" s="454" t="s">
        <v>189</v>
      </c>
      <c r="C42" s="446">
        <v>818241.83</v>
      </c>
      <c r="D42" s="446">
        <v>83387.72</v>
      </c>
      <c r="E42" s="446"/>
      <c r="F42" s="446">
        <v>0</v>
      </c>
      <c r="G42" s="446">
        <v>2916.5</v>
      </c>
      <c r="H42" s="446">
        <v>143.65</v>
      </c>
      <c r="I42" s="446">
        <v>37654</v>
      </c>
      <c r="J42" s="446">
        <v>3514.83</v>
      </c>
      <c r="K42" s="446">
        <v>665</v>
      </c>
      <c r="L42" s="446">
        <v>85667.15</v>
      </c>
      <c r="M42" s="506">
        <f t="shared" si="0"/>
        <v>1032190.6799999999</v>
      </c>
      <c r="N42" s="446">
        <v>2422.9499999999998</v>
      </c>
      <c r="O42" s="446">
        <v>1548.3</v>
      </c>
      <c r="P42" s="446">
        <v>30913.15</v>
      </c>
      <c r="Q42" s="446">
        <v>0</v>
      </c>
      <c r="R42" s="446">
        <v>74635.199999999997</v>
      </c>
      <c r="S42" s="446">
        <v>300.22893700870338</v>
      </c>
      <c r="T42" s="506">
        <f t="shared" si="1"/>
        <v>1142010.5089370084</v>
      </c>
      <c r="U42" s="446">
        <v>-3161.84</v>
      </c>
      <c r="V42" s="446"/>
      <c r="W42" s="446">
        <v>-63.88</v>
      </c>
      <c r="X42" s="448">
        <v>77</v>
      </c>
      <c r="Y42" s="448">
        <v>1.2</v>
      </c>
      <c r="Z42" s="446">
        <v>391</v>
      </c>
      <c r="AA42" s="269"/>
      <c r="AB42" s="446">
        <v>109294</v>
      </c>
      <c r="AC42" s="450">
        <f>AB42/VPI!R42</f>
        <v>8.2913724597869649</v>
      </c>
      <c r="AD42" s="452">
        <f t="shared" si="2"/>
        <v>202877</v>
      </c>
      <c r="AE42" s="450">
        <f>AD42/VPI!R42</f>
        <v>15.390861076767253</v>
      </c>
      <c r="AF42" s="446">
        <v>312171</v>
      </c>
      <c r="AG42" s="446">
        <v>15727</v>
      </c>
      <c r="AH42" s="446">
        <v>74268</v>
      </c>
      <c r="AI42" s="272"/>
      <c r="AJ42" s="446">
        <v>0</v>
      </c>
      <c r="AK42" s="450">
        <f>AJ42/VPI!R42</f>
        <v>0</v>
      </c>
      <c r="AL42" s="452">
        <f t="shared" si="3"/>
        <v>10223</v>
      </c>
      <c r="AM42" s="450">
        <f>AL42/VPI!R42</f>
        <v>0.77554761154685659</v>
      </c>
      <c r="AN42" s="446">
        <v>10223</v>
      </c>
      <c r="AO42" s="272"/>
      <c r="AP42" s="541">
        <v>27.372790620849411</v>
      </c>
      <c r="AR42" s="178">
        <v>0</v>
      </c>
    </row>
    <row r="43" spans="1:44" x14ac:dyDescent="0.25">
      <c r="A43" s="193">
        <v>5475</v>
      </c>
      <c r="B43" s="454" t="s">
        <v>307</v>
      </c>
      <c r="C43" s="446">
        <v>223447.6</v>
      </c>
      <c r="D43" s="446">
        <v>58009.88</v>
      </c>
      <c r="E43" s="446"/>
      <c r="F43" s="446">
        <v>0</v>
      </c>
      <c r="G43" s="446">
        <v>248.65</v>
      </c>
      <c r="H43" s="446">
        <v>180.4</v>
      </c>
      <c r="I43" s="446">
        <v>0</v>
      </c>
      <c r="J43" s="446">
        <v>3838.68</v>
      </c>
      <c r="K43" s="446">
        <v>0</v>
      </c>
      <c r="L43" s="446">
        <v>22788.3</v>
      </c>
      <c r="M43" s="506">
        <f t="shared" si="0"/>
        <v>308513.51</v>
      </c>
      <c r="N43" s="446">
        <v>0</v>
      </c>
      <c r="O43" s="446">
        <v>0</v>
      </c>
      <c r="P43" s="446">
        <v>22431.05</v>
      </c>
      <c r="Q43" s="446">
        <v>0</v>
      </c>
      <c r="R43" s="446">
        <v>1096.75</v>
      </c>
      <c r="S43" s="446">
        <v>42.093761882124795</v>
      </c>
      <c r="T43" s="506">
        <f t="shared" si="1"/>
        <v>332083.4037618821</v>
      </c>
      <c r="U43" s="446">
        <v>-10215.799999999999</v>
      </c>
      <c r="V43" s="446"/>
      <c r="W43" s="446">
        <v>0</v>
      </c>
      <c r="X43" s="448">
        <v>77</v>
      </c>
      <c r="Y43" s="448">
        <v>1</v>
      </c>
      <c r="Z43" s="446">
        <v>152</v>
      </c>
      <c r="AA43" s="269"/>
      <c r="AB43" s="446">
        <v>1808</v>
      </c>
      <c r="AC43" s="450">
        <f>AB43/VPI!R43</f>
        <v>0.46663568938697264</v>
      </c>
      <c r="AD43" s="452">
        <f t="shared" si="2"/>
        <v>22782</v>
      </c>
      <c r="AE43" s="450">
        <f>AD43/VPI!R43</f>
        <v>5.8799194002289887</v>
      </c>
      <c r="AF43" s="446">
        <v>24590</v>
      </c>
      <c r="AG43" s="446">
        <v>6052</v>
      </c>
      <c r="AH43" s="446">
        <v>23586</v>
      </c>
      <c r="AI43" s="272"/>
      <c r="AJ43" s="446">
        <v>0</v>
      </c>
      <c r="AK43" s="450">
        <f>AJ43/VPI!R43</f>
        <v>0</v>
      </c>
      <c r="AL43" s="452">
        <f t="shared" si="3"/>
        <v>22323</v>
      </c>
      <c r="AM43" s="450">
        <f>AL43/VPI!R43</f>
        <v>5.7614538131556365</v>
      </c>
      <c r="AN43" s="446">
        <v>22323</v>
      </c>
      <c r="AO43" s="272"/>
      <c r="AP43" s="541">
        <v>-1.6693660236977736</v>
      </c>
      <c r="AR43" s="178">
        <v>0</v>
      </c>
    </row>
    <row r="44" spans="1:44" x14ac:dyDescent="0.25">
      <c r="A44" s="193">
        <v>5476</v>
      </c>
      <c r="B44" s="454" t="s">
        <v>308</v>
      </c>
      <c r="C44" s="446">
        <v>737166.77</v>
      </c>
      <c r="D44" s="446">
        <v>84319.91</v>
      </c>
      <c r="E44" s="446"/>
      <c r="F44" s="446">
        <v>0</v>
      </c>
      <c r="G44" s="446">
        <v>618.5</v>
      </c>
      <c r="H44" s="446">
        <v>-2132.9</v>
      </c>
      <c r="I44" s="446">
        <v>0</v>
      </c>
      <c r="J44" s="446">
        <v>-1416.62</v>
      </c>
      <c r="K44" s="446">
        <v>0</v>
      </c>
      <c r="L44" s="446">
        <v>61081.15</v>
      </c>
      <c r="M44" s="506">
        <f t="shared" si="0"/>
        <v>879636.81</v>
      </c>
      <c r="N44" s="446">
        <v>0</v>
      </c>
      <c r="O44" s="446">
        <v>5367.6</v>
      </c>
      <c r="P44" s="446">
        <v>7150</v>
      </c>
      <c r="Q44" s="446">
        <v>15596.19</v>
      </c>
      <c r="R44" s="446">
        <v>713.5</v>
      </c>
      <c r="S44" s="446">
        <v>0</v>
      </c>
      <c r="T44" s="506">
        <f t="shared" si="1"/>
        <v>908464.1</v>
      </c>
      <c r="U44" s="446">
        <v>-17755.439999999999</v>
      </c>
      <c r="V44" s="446"/>
      <c r="W44" s="446">
        <v>-1180.55</v>
      </c>
      <c r="X44" s="448">
        <v>74</v>
      </c>
      <c r="Y44" s="448">
        <v>1</v>
      </c>
      <c r="Z44" s="446">
        <v>317</v>
      </c>
      <c r="AA44" s="269"/>
      <c r="AB44" s="446">
        <v>0</v>
      </c>
      <c r="AC44" s="450">
        <f>AB44/VPI!R44</f>
        <v>0</v>
      </c>
      <c r="AD44" s="452">
        <f t="shared" si="2"/>
        <v>35064</v>
      </c>
      <c r="AE44" s="450">
        <f>AD44/VPI!R44</f>
        <v>2.9610234548215564</v>
      </c>
      <c r="AF44" s="446">
        <v>35064</v>
      </c>
      <c r="AG44" s="446">
        <v>17559</v>
      </c>
      <c r="AH44" s="446">
        <v>31202</v>
      </c>
      <c r="AI44" s="272"/>
      <c r="AJ44" s="446">
        <v>0</v>
      </c>
      <c r="AK44" s="450">
        <f>AJ44/VPI!R44</f>
        <v>0</v>
      </c>
      <c r="AL44" s="452">
        <f t="shared" si="3"/>
        <v>17658</v>
      </c>
      <c r="AM44" s="450">
        <f>AL44/VPI!R44</f>
        <v>1.4911519554311843</v>
      </c>
      <c r="AN44" s="446">
        <v>17658</v>
      </c>
      <c r="AO44" s="272"/>
      <c r="AP44" s="541">
        <v>28.501468424122233</v>
      </c>
      <c r="AR44" s="178">
        <v>0</v>
      </c>
    </row>
    <row r="45" spans="1:44" x14ac:dyDescent="0.25">
      <c r="A45" s="193">
        <v>5477</v>
      </c>
      <c r="B45" s="454" t="s">
        <v>309</v>
      </c>
      <c r="C45" s="446">
        <v>7766039.6500000004</v>
      </c>
      <c r="D45" s="446">
        <v>866499.74</v>
      </c>
      <c r="E45" s="446"/>
      <c r="F45" s="446">
        <v>0</v>
      </c>
      <c r="G45" s="446">
        <v>350504.5</v>
      </c>
      <c r="H45" s="446">
        <v>-1521.3</v>
      </c>
      <c r="I45" s="446">
        <v>0</v>
      </c>
      <c r="J45" s="446">
        <v>225196.08</v>
      </c>
      <c r="K45" s="446">
        <v>42523.75</v>
      </c>
      <c r="L45" s="446">
        <v>724533.6</v>
      </c>
      <c r="M45" s="506">
        <f t="shared" si="0"/>
        <v>9973776.0199999996</v>
      </c>
      <c r="N45" s="446">
        <v>78423.75</v>
      </c>
      <c r="O45" s="446">
        <v>48641.4</v>
      </c>
      <c r="P45" s="446">
        <v>1133035.8999999999</v>
      </c>
      <c r="Q45" s="446">
        <v>84909.06</v>
      </c>
      <c r="R45" s="446">
        <v>234708.25</v>
      </c>
      <c r="S45" s="446">
        <v>34238.470391940187</v>
      </c>
      <c r="T45" s="506">
        <f t="shared" si="1"/>
        <v>11587732.850391941</v>
      </c>
      <c r="U45" s="446">
        <v>-1816304.42</v>
      </c>
      <c r="V45" s="446"/>
      <c r="W45" s="446">
        <v>-3034.85</v>
      </c>
      <c r="X45" s="448">
        <v>69.5</v>
      </c>
      <c r="Y45" s="448">
        <v>1</v>
      </c>
      <c r="Z45" s="446">
        <v>4222</v>
      </c>
      <c r="AA45" s="269"/>
      <c r="AB45" s="446">
        <v>156873</v>
      </c>
      <c r="AC45" s="450">
        <f>AB45/VPI!R45</f>
        <v>1.3177690745036459</v>
      </c>
      <c r="AD45" s="452">
        <f t="shared" si="2"/>
        <v>859128</v>
      </c>
      <c r="AE45" s="450">
        <f>AD45/VPI!R45</f>
        <v>7.2168716696956672</v>
      </c>
      <c r="AF45" s="446">
        <v>1016001</v>
      </c>
      <c r="AG45" s="446">
        <v>404441</v>
      </c>
      <c r="AH45" s="446">
        <v>671831</v>
      </c>
      <c r="AI45" s="272"/>
      <c r="AJ45" s="446">
        <v>0</v>
      </c>
      <c r="AK45" s="450">
        <f>AJ45/VPI!R45</f>
        <v>0</v>
      </c>
      <c r="AL45" s="452">
        <f t="shared" si="3"/>
        <v>36280</v>
      </c>
      <c r="AM45" s="450">
        <f>AL45/VPI!R45</f>
        <v>0.30476029669217952</v>
      </c>
      <c r="AN45" s="446">
        <v>36280</v>
      </c>
      <c r="AO45" s="272"/>
      <c r="AP45" s="541">
        <v>19.833906613601396</v>
      </c>
      <c r="AR45" s="178">
        <v>0</v>
      </c>
    </row>
    <row r="46" spans="1:44" x14ac:dyDescent="0.25">
      <c r="A46" s="193">
        <v>5479</v>
      </c>
      <c r="B46" s="454" t="s">
        <v>215</v>
      </c>
      <c r="C46" s="446">
        <v>1050972.1499999999</v>
      </c>
      <c r="D46" s="446">
        <v>90873.41</v>
      </c>
      <c r="E46" s="446"/>
      <c r="F46" s="446">
        <v>0</v>
      </c>
      <c r="G46" s="446">
        <v>14717.4</v>
      </c>
      <c r="H46" s="446">
        <v>788</v>
      </c>
      <c r="I46" s="446">
        <v>136813.5</v>
      </c>
      <c r="J46" s="446">
        <v>11675.49</v>
      </c>
      <c r="K46" s="446">
        <v>1973.25</v>
      </c>
      <c r="L46" s="446">
        <v>85764.75</v>
      </c>
      <c r="M46" s="506">
        <f t="shared" si="0"/>
        <v>1393577.9499999997</v>
      </c>
      <c r="N46" s="446">
        <v>8570.9500000000007</v>
      </c>
      <c r="O46" s="446">
        <v>0</v>
      </c>
      <c r="P46" s="446">
        <v>88973.3</v>
      </c>
      <c r="Q46" s="446">
        <v>0</v>
      </c>
      <c r="R46" s="446">
        <v>73291</v>
      </c>
      <c r="S46" s="446">
        <v>1521.2227374131169</v>
      </c>
      <c r="T46" s="506">
        <f t="shared" si="1"/>
        <v>1565934.4227374129</v>
      </c>
      <c r="U46" s="446">
        <v>-4126.4399999999996</v>
      </c>
      <c r="V46" s="446"/>
      <c r="W46" s="446">
        <v>0</v>
      </c>
      <c r="X46" s="448">
        <v>77</v>
      </c>
      <c r="Y46" s="448">
        <v>1</v>
      </c>
      <c r="Z46" s="446">
        <v>527</v>
      </c>
      <c r="AA46" s="269"/>
      <c r="AB46" s="446">
        <v>27198</v>
      </c>
      <c r="AC46" s="450">
        <f>AB46/VPI!R46</f>
        <v>1.5055981693318718</v>
      </c>
      <c r="AD46" s="452">
        <f t="shared" si="2"/>
        <v>81673</v>
      </c>
      <c r="AE46" s="450">
        <f>AD46/VPI!R46</f>
        <v>4.5211677065902629</v>
      </c>
      <c r="AF46" s="446">
        <v>108871</v>
      </c>
      <c r="AG46" s="446">
        <v>19351</v>
      </c>
      <c r="AH46" s="446">
        <v>82296</v>
      </c>
      <c r="AI46" s="272"/>
      <c r="AJ46" s="446">
        <v>0</v>
      </c>
      <c r="AK46" s="450">
        <f>AJ46/VPI!R46</f>
        <v>0</v>
      </c>
      <c r="AL46" s="452">
        <f t="shared" si="3"/>
        <v>72366</v>
      </c>
      <c r="AM46" s="450">
        <f>AL46/VPI!R46</f>
        <v>4.00596062658542</v>
      </c>
      <c r="AN46" s="446">
        <v>72366</v>
      </c>
      <c r="AO46" s="272"/>
      <c r="AP46" s="541">
        <v>24.558638603168927</v>
      </c>
      <c r="AR46" s="178">
        <v>0</v>
      </c>
    </row>
    <row r="47" spans="1:44" x14ac:dyDescent="0.25">
      <c r="A47" s="193">
        <v>5480</v>
      </c>
      <c r="B47" s="454" t="s">
        <v>216</v>
      </c>
      <c r="C47" s="446">
        <v>2101504.6</v>
      </c>
      <c r="D47" s="446">
        <v>252833.16</v>
      </c>
      <c r="E47" s="446"/>
      <c r="F47" s="446">
        <v>0</v>
      </c>
      <c r="G47" s="446">
        <v>15177.3</v>
      </c>
      <c r="H47" s="446">
        <v>14154.4</v>
      </c>
      <c r="I47" s="446">
        <v>0</v>
      </c>
      <c r="J47" s="446">
        <v>21681</v>
      </c>
      <c r="K47" s="446">
        <v>11300.15</v>
      </c>
      <c r="L47" s="446">
        <v>368315.1</v>
      </c>
      <c r="M47" s="506">
        <f t="shared" si="0"/>
        <v>2784965.71</v>
      </c>
      <c r="N47" s="446">
        <v>204900.85</v>
      </c>
      <c r="O47" s="446">
        <v>0</v>
      </c>
      <c r="P47" s="446">
        <v>155782</v>
      </c>
      <c r="Q47" s="446">
        <v>11525.4</v>
      </c>
      <c r="R47" s="446">
        <v>54282.8</v>
      </c>
      <c r="S47" s="446">
        <v>2877.7102794497609</v>
      </c>
      <c r="T47" s="506">
        <f t="shared" si="1"/>
        <v>3214334.4702794496</v>
      </c>
      <c r="U47" s="446">
        <v>-33354.28</v>
      </c>
      <c r="V47" s="446"/>
      <c r="W47" s="446">
        <v>-758.12</v>
      </c>
      <c r="X47" s="448">
        <v>66</v>
      </c>
      <c r="Y47" s="448">
        <v>1.2</v>
      </c>
      <c r="Z47" s="446">
        <v>1048</v>
      </c>
      <c r="AA47" s="269"/>
      <c r="AB47" s="446">
        <v>211887</v>
      </c>
      <c r="AC47" s="450">
        <f>AB47/VPI!R47</f>
        <v>5.1720456421679515</v>
      </c>
      <c r="AD47" s="452">
        <f t="shared" si="2"/>
        <v>500621</v>
      </c>
      <c r="AE47" s="450">
        <f>AD47/VPI!R47</f>
        <v>12.219884473458787</v>
      </c>
      <c r="AF47" s="446">
        <v>712508</v>
      </c>
      <c r="AG47" s="446">
        <v>75770</v>
      </c>
      <c r="AH47" s="446">
        <v>118514</v>
      </c>
      <c r="AI47" s="272"/>
      <c r="AJ47" s="446">
        <v>0</v>
      </c>
      <c r="AK47" s="450">
        <f>AJ47/VPI!R47</f>
        <v>0</v>
      </c>
      <c r="AL47" s="452">
        <f t="shared" si="3"/>
        <v>11641</v>
      </c>
      <c r="AM47" s="450">
        <f>AL47/VPI!R47</f>
        <v>0.28415043547021346</v>
      </c>
      <c r="AN47" s="446">
        <v>11641</v>
      </c>
      <c r="AO47" s="272"/>
      <c r="AP47" s="541">
        <v>28.420641541312239</v>
      </c>
      <c r="AR47" s="178">
        <v>0</v>
      </c>
    </row>
    <row r="48" spans="1:44" x14ac:dyDescent="0.25">
      <c r="A48" s="193">
        <v>5481</v>
      </c>
      <c r="B48" s="454" t="s">
        <v>217</v>
      </c>
      <c r="C48" s="446">
        <v>380456.01</v>
      </c>
      <c r="D48" s="446">
        <v>115243.38</v>
      </c>
      <c r="E48" s="446"/>
      <c r="F48" s="446">
        <v>0</v>
      </c>
      <c r="G48" s="446">
        <v>60479.9</v>
      </c>
      <c r="H48" s="446">
        <v>89.5</v>
      </c>
      <c r="I48" s="446">
        <v>0</v>
      </c>
      <c r="J48" s="446">
        <v>4904.03</v>
      </c>
      <c r="K48" s="446">
        <v>0</v>
      </c>
      <c r="L48" s="446">
        <v>39166.050000000003</v>
      </c>
      <c r="M48" s="506">
        <f t="shared" si="0"/>
        <v>600338.87000000011</v>
      </c>
      <c r="N48" s="446">
        <v>0</v>
      </c>
      <c r="O48" s="446">
        <v>0</v>
      </c>
      <c r="P48" s="446">
        <v>6491.55</v>
      </c>
      <c r="Q48" s="446">
        <v>3326.95</v>
      </c>
      <c r="R48" s="446">
        <v>1182</v>
      </c>
      <c r="S48" s="446">
        <v>5942.416736844586</v>
      </c>
      <c r="T48" s="506">
        <f t="shared" si="1"/>
        <v>617281.78673684469</v>
      </c>
      <c r="U48" s="446">
        <v>-1618.39</v>
      </c>
      <c r="V48" s="446"/>
      <c r="W48" s="446">
        <v>0</v>
      </c>
      <c r="X48" s="448">
        <v>75</v>
      </c>
      <c r="Y48" s="448">
        <v>1</v>
      </c>
      <c r="Z48" s="446">
        <v>224</v>
      </c>
      <c r="AA48" s="269"/>
      <c r="AB48" s="446">
        <v>0</v>
      </c>
      <c r="AC48" s="450">
        <f>AB48/VPI!R48</f>
        <v>0</v>
      </c>
      <c r="AD48" s="452">
        <f t="shared" si="2"/>
        <v>52092</v>
      </c>
      <c r="AE48" s="450">
        <f>AD48/VPI!R48</f>
        <v>6.4259296778865753</v>
      </c>
      <c r="AF48" s="446">
        <v>52092</v>
      </c>
      <c r="AG48" s="446">
        <v>9316</v>
      </c>
      <c r="AH48" s="446">
        <v>42051</v>
      </c>
      <c r="AI48" s="272"/>
      <c r="AJ48" s="446">
        <v>0</v>
      </c>
      <c r="AK48" s="450">
        <f>AJ48/VPI!R48</f>
        <v>0</v>
      </c>
      <c r="AL48" s="452">
        <f t="shared" si="3"/>
        <v>5105</v>
      </c>
      <c r="AM48" s="450">
        <f>AL48/VPI!R48</f>
        <v>0.62973913471571386</v>
      </c>
      <c r="AN48" s="446">
        <v>5105</v>
      </c>
      <c r="AO48" s="272"/>
      <c r="AP48" s="541">
        <v>29.254154607673641</v>
      </c>
      <c r="AR48" s="178">
        <v>0</v>
      </c>
    </row>
    <row r="49" spans="1:44" x14ac:dyDescent="0.25">
      <c r="A49" s="193">
        <v>5482</v>
      </c>
      <c r="B49" s="454" t="s">
        <v>218</v>
      </c>
      <c r="C49" s="446">
        <v>1442397.62</v>
      </c>
      <c r="D49" s="446">
        <v>181554.29</v>
      </c>
      <c r="E49" s="446"/>
      <c r="F49" s="446">
        <v>0</v>
      </c>
      <c r="G49" s="446">
        <v>985295.05</v>
      </c>
      <c r="H49" s="446">
        <v>18409.25</v>
      </c>
      <c r="I49" s="446">
        <v>0</v>
      </c>
      <c r="J49" s="446">
        <v>74027.98</v>
      </c>
      <c r="K49" s="446">
        <v>41453.800000000003</v>
      </c>
      <c r="L49" s="446">
        <v>426745.35</v>
      </c>
      <c r="M49" s="506">
        <f t="shared" si="0"/>
        <v>3169883.34</v>
      </c>
      <c r="N49" s="446">
        <v>338711.25</v>
      </c>
      <c r="O49" s="446">
        <v>11323.9</v>
      </c>
      <c r="P49" s="446">
        <v>57954.25</v>
      </c>
      <c r="Q49" s="446">
        <v>6323.09</v>
      </c>
      <c r="R49" s="446">
        <v>35836.949999999997</v>
      </c>
      <c r="S49" s="446">
        <v>98472.648419216304</v>
      </c>
      <c r="T49" s="506">
        <f t="shared" si="1"/>
        <v>3718505.4284192161</v>
      </c>
      <c r="U49" s="446">
        <v>-33996.83</v>
      </c>
      <c r="V49" s="446"/>
      <c r="W49" s="446">
        <v>-652.01</v>
      </c>
      <c r="X49" s="448">
        <v>46</v>
      </c>
      <c r="Y49" s="448">
        <v>1</v>
      </c>
      <c r="Z49" s="446">
        <v>1220</v>
      </c>
      <c r="AA49" s="269"/>
      <c r="AB49" s="446">
        <v>146186</v>
      </c>
      <c r="AC49" s="450">
        <f>AB49/VPI!R49</f>
        <v>2.075460876958005</v>
      </c>
      <c r="AD49" s="452">
        <f t="shared" si="2"/>
        <v>92102</v>
      </c>
      <c r="AE49" s="450">
        <f>AD49/VPI!R49</f>
        <v>1.3076087839436483</v>
      </c>
      <c r="AF49" s="446">
        <v>238288</v>
      </c>
      <c r="AG49" s="446">
        <v>121638</v>
      </c>
      <c r="AH49" s="446">
        <v>120083</v>
      </c>
      <c r="AI49" s="272"/>
      <c r="AJ49" s="446">
        <v>7008</v>
      </c>
      <c r="AK49" s="450">
        <f>AJ49/VPI!R49</f>
        <v>9.9495367721407657E-2</v>
      </c>
      <c r="AL49" s="452">
        <f t="shared" si="3"/>
        <v>48614</v>
      </c>
      <c r="AM49" s="450">
        <f>AL49/VPI!R49</f>
        <v>0.69019232397381725</v>
      </c>
      <c r="AN49" s="446">
        <v>55622</v>
      </c>
      <c r="AO49" s="272"/>
      <c r="AP49" s="541">
        <v>32.244140572408256</v>
      </c>
      <c r="AR49" s="178">
        <v>0</v>
      </c>
    </row>
    <row r="50" spans="1:44" x14ac:dyDescent="0.25">
      <c r="A50" s="193">
        <v>5483</v>
      </c>
      <c r="B50" s="454" t="s">
        <v>125</v>
      </c>
      <c r="C50" s="446">
        <v>671967.59</v>
      </c>
      <c r="D50" s="446">
        <v>82723.63</v>
      </c>
      <c r="E50" s="446"/>
      <c r="F50" s="446">
        <v>0</v>
      </c>
      <c r="G50" s="446">
        <v>8051.95</v>
      </c>
      <c r="H50" s="446">
        <v>1124.8499999999999</v>
      </c>
      <c r="I50" s="446">
        <v>0</v>
      </c>
      <c r="J50" s="446">
        <v>1743.05</v>
      </c>
      <c r="K50" s="446">
        <v>702</v>
      </c>
      <c r="L50" s="446">
        <v>56873.65</v>
      </c>
      <c r="M50" s="506">
        <f t="shared" si="0"/>
        <v>823186.72</v>
      </c>
      <c r="N50" s="446">
        <v>0</v>
      </c>
      <c r="O50" s="446">
        <v>0</v>
      </c>
      <c r="P50" s="446">
        <v>16280</v>
      </c>
      <c r="Q50" s="446">
        <v>0</v>
      </c>
      <c r="R50" s="446">
        <v>2916.7</v>
      </c>
      <c r="S50" s="446">
        <v>900.32871236425308</v>
      </c>
      <c r="T50" s="506">
        <f t="shared" si="1"/>
        <v>843283.74871236423</v>
      </c>
      <c r="U50" s="446">
        <v>-247.76</v>
      </c>
      <c r="V50" s="446"/>
      <c r="W50" s="446">
        <v>-1695.75</v>
      </c>
      <c r="X50" s="448">
        <v>76</v>
      </c>
      <c r="Y50" s="448">
        <v>1</v>
      </c>
      <c r="Z50" s="446">
        <v>319</v>
      </c>
      <c r="AA50" s="269"/>
      <c r="AB50" s="446">
        <v>856</v>
      </c>
      <c r="AC50" s="450">
        <f>AB50/VPI!R50</f>
        <v>7.9129734573953198E-2</v>
      </c>
      <c r="AD50" s="452">
        <f t="shared" si="2"/>
        <v>36941</v>
      </c>
      <c r="AE50" s="450">
        <f>AD50/VPI!R50</f>
        <v>3.4148732767481369</v>
      </c>
      <c r="AF50" s="446">
        <v>37797</v>
      </c>
      <c r="AG50" s="446">
        <v>12741</v>
      </c>
      <c r="AH50" s="446">
        <v>31399</v>
      </c>
      <c r="AI50" s="272"/>
      <c r="AJ50" s="446">
        <v>0</v>
      </c>
      <c r="AK50" s="450">
        <f>AJ50/VPI!R50</f>
        <v>0</v>
      </c>
      <c r="AL50" s="452">
        <f t="shared" si="3"/>
        <v>9917</v>
      </c>
      <c r="AM50" s="450">
        <f>AL50/VPI!R50</f>
        <v>0.91674016094613775</v>
      </c>
      <c r="AN50" s="446">
        <v>9917</v>
      </c>
      <c r="AO50" s="272"/>
      <c r="AP50" s="541">
        <v>24.091178565677943</v>
      </c>
      <c r="AR50" s="178">
        <v>0</v>
      </c>
    </row>
    <row r="51" spans="1:44" x14ac:dyDescent="0.25">
      <c r="A51" s="193">
        <v>5484</v>
      </c>
      <c r="B51" s="454" t="s">
        <v>126</v>
      </c>
      <c r="C51" s="446">
        <v>2004003.49</v>
      </c>
      <c r="D51" s="446">
        <v>240591.06</v>
      </c>
      <c r="E51" s="446"/>
      <c r="F51" s="446">
        <v>0</v>
      </c>
      <c r="G51" s="446">
        <v>93288.85</v>
      </c>
      <c r="H51" s="446">
        <v>2937.5</v>
      </c>
      <c r="I51" s="446">
        <v>0</v>
      </c>
      <c r="J51" s="446">
        <v>55357.64</v>
      </c>
      <c r="K51" s="446">
        <v>7066.75</v>
      </c>
      <c r="L51" s="446">
        <v>184181.25</v>
      </c>
      <c r="M51" s="506">
        <f t="shared" si="0"/>
        <v>2587426.54</v>
      </c>
      <c r="N51" s="446">
        <v>25418.75</v>
      </c>
      <c r="O51" s="446">
        <v>60233</v>
      </c>
      <c r="P51" s="446">
        <v>119899.25</v>
      </c>
      <c r="Q51" s="446">
        <v>2417.2399999999998</v>
      </c>
      <c r="R51" s="446">
        <v>29382.85</v>
      </c>
      <c r="S51" s="446">
        <v>9440.6923754480813</v>
      </c>
      <c r="T51" s="506">
        <f t="shared" si="1"/>
        <v>2834218.3223754484</v>
      </c>
      <c r="U51" s="446">
        <v>-11351.64</v>
      </c>
      <c r="V51" s="446"/>
      <c r="W51" s="446">
        <v>-257.26</v>
      </c>
      <c r="X51" s="448">
        <v>74</v>
      </c>
      <c r="Y51" s="448">
        <v>1</v>
      </c>
      <c r="Z51" s="446">
        <v>996</v>
      </c>
      <c r="AA51" s="269"/>
      <c r="AB51" s="446">
        <v>79631</v>
      </c>
      <c r="AC51" s="450">
        <f>AB51/VPI!R51</f>
        <v>2.2772151435469912</v>
      </c>
      <c r="AD51" s="452">
        <f t="shared" si="2"/>
        <v>272274</v>
      </c>
      <c r="AE51" s="450">
        <f>AD51/VPI!R51</f>
        <v>7.7862450050120371</v>
      </c>
      <c r="AF51" s="446">
        <v>351905</v>
      </c>
      <c r="AG51" s="446">
        <v>37387</v>
      </c>
      <c r="AH51" s="446">
        <v>135222</v>
      </c>
      <c r="AI51" s="272"/>
      <c r="AJ51" s="446">
        <v>0</v>
      </c>
      <c r="AK51" s="450">
        <f>AJ51/VPI!R51</f>
        <v>0</v>
      </c>
      <c r="AL51" s="452">
        <f t="shared" si="3"/>
        <v>80649</v>
      </c>
      <c r="AM51" s="450">
        <f>AL51/VPI!R51</f>
        <v>2.3063269846155556</v>
      </c>
      <c r="AN51" s="446">
        <v>80649</v>
      </c>
      <c r="AO51" s="272"/>
      <c r="AP51" s="541">
        <v>25.447875391705779</v>
      </c>
      <c r="AR51" s="178">
        <v>0</v>
      </c>
    </row>
    <row r="52" spans="1:44" x14ac:dyDescent="0.25">
      <c r="A52" s="193">
        <v>5485</v>
      </c>
      <c r="B52" s="454" t="s">
        <v>127</v>
      </c>
      <c r="C52" s="446">
        <v>756576.18</v>
      </c>
      <c r="D52" s="446">
        <v>162807.43</v>
      </c>
      <c r="E52" s="446"/>
      <c r="F52" s="446">
        <v>0</v>
      </c>
      <c r="G52" s="446">
        <v>12652.85</v>
      </c>
      <c r="H52" s="446">
        <v>187.7</v>
      </c>
      <c r="I52" s="446">
        <v>0</v>
      </c>
      <c r="J52" s="446">
        <v>24736.73</v>
      </c>
      <c r="K52" s="446">
        <v>319</v>
      </c>
      <c r="L52" s="446">
        <v>76196.850000000006</v>
      </c>
      <c r="M52" s="506">
        <f t="shared" si="0"/>
        <v>1033476.74</v>
      </c>
      <c r="N52" s="446">
        <v>13845.05</v>
      </c>
      <c r="O52" s="446">
        <v>2707.8</v>
      </c>
      <c r="P52" s="446">
        <v>99344.4</v>
      </c>
      <c r="Q52" s="446">
        <v>20445.93</v>
      </c>
      <c r="R52" s="446">
        <v>52274.400000000001</v>
      </c>
      <c r="S52" s="446">
        <v>1259.7763760296411</v>
      </c>
      <c r="T52" s="506">
        <f t="shared" si="1"/>
        <v>1223354.0963760295</v>
      </c>
      <c r="U52" s="446">
        <v>-37256.61</v>
      </c>
      <c r="V52" s="446"/>
      <c r="W52" s="446">
        <v>-241.55</v>
      </c>
      <c r="X52" s="448">
        <v>70</v>
      </c>
      <c r="Y52" s="448">
        <v>1</v>
      </c>
      <c r="Z52" s="446">
        <v>406</v>
      </c>
      <c r="AA52" s="269"/>
      <c r="AB52" s="446">
        <v>0</v>
      </c>
      <c r="AC52" s="450">
        <f>AB52/VPI!R52</f>
        <v>0</v>
      </c>
      <c r="AD52" s="452">
        <f t="shared" si="2"/>
        <v>27862</v>
      </c>
      <c r="AE52" s="450">
        <f>AD52/VPI!R52</f>
        <v>1.9164489676313605</v>
      </c>
      <c r="AF52" s="446">
        <v>27862</v>
      </c>
      <c r="AG52" s="446">
        <v>15807</v>
      </c>
      <c r="AH52" s="446">
        <v>72694</v>
      </c>
      <c r="AI52" s="272"/>
      <c r="AJ52" s="446">
        <v>0</v>
      </c>
      <c r="AK52" s="450">
        <f>AJ52/VPI!R52</f>
        <v>0</v>
      </c>
      <c r="AL52" s="452">
        <f t="shared" si="3"/>
        <v>70166</v>
      </c>
      <c r="AM52" s="450">
        <f>AL52/VPI!R52</f>
        <v>4.8262708442617912</v>
      </c>
      <c r="AN52" s="446">
        <v>70166</v>
      </c>
      <c r="AO52" s="272"/>
      <c r="AP52" s="541">
        <v>30.490933423974806</v>
      </c>
      <c r="AR52" s="178">
        <v>0</v>
      </c>
    </row>
    <row r="53" spans="1:44" x14ac:dyDescent="0.25">
      <c r="A53" s="193">
        <v>5486</v>
      </c>
      <c r="B53" s="454" t="s">
        <v>0</v>
      </c>
      <c r="C53" s="446">
        <v>2186883.33</v>
      </c>
      <c r="D53" s="446">
        <v>337681.32</v>
      </c>
      <c r="E53" s="446"/>
      <c r="F53" s="446">
        <v>0</v>
      </c>
      <c r="G53" s="446">
        <v>16509.400000000001</v>
      </c>
      <c r="H53" s="446">
        <v>3294.8</v>
      </c>
      <c r="I53" s="446">
        <v>35256</v>
      </c>
      <c r="J53" s="446">
        <v>46072.47</v>
      </c>
      <c r="K53" s="446">
        <v>9098.7999999999993</v>
      </c>
      <c r="L53" s="446">
        <v>193552.3</v>
      </c>
      <c r="M53" s="506">
        <f t="shared" si="0"/>
        <v>2828348.4199999995</v>
      </c>
      <c r="N53" s="446">
        <v>54932.45</v>
      </c>
      <c r="O53" s="446">
        <v>18816.5</v>
      </c>
      <c r="P53" s="446">
        <v>42994.75</v>
      </c>
      <c r="Q53" s="446">
        <v>5606.47</v>
      </c>
      <c r="R53" s="446">
        <v>49697.45</v>
      </c>
      <c r="S53" s="446">
        <v>1942.9746627805055</v>
      </c>
      <c r="T53" s="506">
        <f t="shared" si="1"/>
        <v>3002339.0146627803</v>
      </c>
      <c r="U53" s="446">
        <v>-26862.79</v>
      </c>
      <c r="V53" s="446"/>
      <c r="W53" s="446">
        <v>-0.52</v>
      </c>
      <c r="X53" s="448">
        <v>75</v>
      </c>
      <c r="Y53" s="448">
        <v>1</v>
      </c>
      <c r="Z53" s="446">
        <v>1065</v>
      </c>
      <c r="AA53" s="269"/>
      <c r="AB53" s="446">
        <v>152441</v>
      </c>
      <c r="AC53" s="450">
        <f>AB53/VPI!R53</f>
        <v>4.0701083512917204</v>
      </c>
      <c r="AD53" s="452">
        <f t="shared" si="2"/>
        <v>168579</v>
      </c>
      <c r="AE53" s="450">
        <f>AD53/VPI!R53</f>
        <v>4.5009859273581707</v>
      </c>
      <c r="AF53" s="446">
        <v>321020</v>
      </c>
      <c r="AG53" s="446">
        <v>80508</v>
      </c>
      <c r="AH53" s="446">
        <v>169640</v>
      </c>
      <c r="AI53" s="272"/>
      <c r="AJ53" s="446">
        <v>0</v>
      </c>
      <c r="AK53" s="450">
        <f>AJ53/VPI!R53</f>
        <v>0</v>
      </c>
      <c r="AL53" s="452">
        <f t="shared" si="3"/>
        <v>127153</v>
      </c>
      <c r="AM53" s="450">
        <f>AL53/VPI!R53</f>
        <v>3.3949297576885229</v>
      </c>
      <c r="AN53" s="446">
        <v>127153</v>
      </c>
      <c r="AO53" s="272"/>
      <c r="AP53" s="541">
        <v>24.506410264945657</v>
      </c>
      <c r="AR53" s="178">
        <v>0</v>
      </c>
    </row>
    <row r="54" spans="1:44" x14ac:dyDescent="0.25">
      <c r="A54" s="193">
        <v>5487</v>
      </c>
      <c r="B54" s="454" t="s">
        <v>1</v>
      </c>
      <c r="C54" s="446">
        <v>828023.56</v>
      </c>
      <c r="D54" s="446">
        <v>61416.21</v>
      </c>
      <c r="E54" s="446"/>
      <c r="F54" s="446">
        <v>0</v>
      </c>
      <c r="G54" s="446">
        <v>-612.4</v>
      </c>
      <c r="H54" s="446">
        <v>197.5</v>
      </c>
      <c r="I54" s="446">
        <v>0</v>
      </c>
      <c r="J54" s="446">
        <v>4392.13</v>
      </c>
      <c r="K54" s="446">
        <v>994</v>
      </c>
      <c r="L54" s="446">
        <v>79012.800000000003</v>
      </c>
      <c r="M54" s="506">
        <f t="shared" si="0"/>
        <v>973423.8</v>
      </c>
      <c r="N54" s="446">
        <v>0</v>
      </c>
      <c r="O54" s="446">
        <v>282.5</v>
      </c>
      <c r="P54" s="446">
        <v>29510.55</v>
      </c>
      <c r="Q54" s="446">
        <v>384.3</v>
      </c>
      <c r="R54" s="446">
        <v>1238.05</v>
      </c>
      <c r="S54" s="446">
        <v>0</v>
      </c>
      <c r="T54" s="506">
        <f t="shared" si="1"/>
        <v>1004839.2000000002</v>
      </c>
      <c r="U54" s="446">
        <v>-6686.12</v>
      </c>
      <c r="V54" s="446"/>
      <c r="W54" s="446">
        <v>-332.3</v>
      </c>
      <c r="X54" s="448">
        <v>75</v>
      </c>
      <c r="Y54" s="448">
        <v>1</v>
      </c>
      <c r="Z54" s="446">
        <v>459</v>
      </c>
      <c r="AA54" s="269"/>
      <c r="AB54" s="446">
        <v>10437</v>
      </c>
      <c r="AC54" s="450">
        <f>AB54/VPI!R54</f>
        <v>0.80966420742099765</v>
      </c>
      <c r="AD54" s="452">
        <f t="shared" si="2"/>
        <v>63277</v>
      </c>
      <c r="AE54" s="450">
        <f>AD54/VPI!R54</f>
        <v>4.9087977438898598</v>
      </c>
      <c r="AF54" s="446">
        <v>73714</v>
      </c>
      <c r="AG54" s="446">
        <v>33635</v>
      </c>
      <c r="AH54" s="446">
        <v>40641</v>
      </c>
      <c r="AI54" s="272"/>
      <c r="AJ54" s="446">
        <v>0</v>
      </c>
      <c r="AK54" s="450">
        <f>AJ54/VPI!R54</f>
        <v>0</v>
      </c>
      <c r="AL54" s="452">
        <f t="shared" si="3"/>
        <v>1844</v>
      </c>
      <c r="AM54" s="450">
        <f>AL54/VPI!R54</f>
        <v>0.1430507615679141</v>
      </c>
      <c r="AN54" s="446">
        <v>1844</v>
      </c>
      <c r="AO54" s="272"/>
      <c r="AP54" s="541">
        <v>23.205682238934312</v>
      </c>
      <c r="AR54" s="178">
        <v>0</v>
      </c>
    </row>
    <row r="55" spans="1:44" x14ac:dyDescent="0.25">
      <c r="A55" s="193">
        <v>5488</v>
      </c>
      <c r="B55" s="454" t="s">
        <v>2</v>
      </c>
      <c r="C55" s="446">
        <v>103815.1</v>
      </c>
      <c r="D55" s="446">
        <v>10331.379999999999</v>
      </c>
      <c r="E55" s="446"/>
      <c r="F55" s="446">
        <v>0</v>
      </c>
      <c r="G55" s="446">
        <v>705.25</v>
      </c>
      <c r="H55" s="446">
        <v>211.6</v>
      </c>
      <c r="I55" s="446">
        <v>0</v>
      </c>
      <c r="J55" s="446">
        <v>2109.0500000000002</v>
      </c>
      <c r="K55" s="446">
        <v>0</v>
      </c>
      <c r="L55" s="446">
        <v>8426</v>
      </c>
      <c r="M55" s="506">
        <f t="shared" si="0"/>
        <v>125598.38000000002</v>
      </c>
      <c r="N55" s="446">
        <v>0</v>
      </c>
      <c r="O55" s="446">
        <v>0</v>
      </c>
      <c r="P55" s="446">
        <v>0</v>
      </c>
      <c r="Q55" s="446">
        <v>0</v>
      </c>
      <c r="R55" s="446">
        <v>0</v>
      </c>
      <c r="S55" s="446">
        <v>89.951440581811241</v>
      </c>
      <c r="T55" s="506">
        <f t="shared" si="1"/>
        <v>125688.33144058182</v>
      </c>
      <c r="U55" s="446">
        <v>-15.48</v>
      </c>
      <c r="V55" s="446"/>
      <c r="W55" s="446">
        <v>-16.309999999999999</v>
      </c>
      <c r="X55" s="448">
        <v>77</v>
      </c>
      <c r="Y55" s="448">
        <v>1</v>
      </c>
      <c r="Z55" s="446">
        <v>58</v>
      </c>
      <c r="AA55" s="269"/>
      <c r="AB55" s="446">
        <v>0</v>
      </c>
      <c r="AC55" s="450">
        <f>AB55/VPI!R55</f>
        <v>0</v>
      </c>
      <c r="AD55" s="452">
        <f t="shared" si="2"/>
        <v>0</v>
      </c>
      <c r="AE55" s="450">
        <f>AD55/VPI!R55</f>
        <v>0</v>
      </c>
      <c r="AF55" s="446">
        <v>0</v>
      </c>
      <c r="AG55" s="446">
        <v>0</v>
      </c>
      <c r="AH55" s="446">
        <v>0</v>
      </c>
      <c r="AI55" s="272"/>
      <c r="AJ55" s="446">
        <v>0</v>
      </c>
      <c r="AK55" s="450">
        <f>AJ55/VPI!R55</f>
        <v>0</v>
      </c>
      <c r="AL55" s="452">
        <f t="shared" si="3"/>
        <v>0</v>
      </c>
      <c r="AM55" s="450">
        <f>AL55/VPI!R55</f>
        <v>0</v>
      </c>
      <c r="AN55" s="446">
        <v>0</v>
      </c>
      <c r="AO55" s="272"/>
      <c r="AP55" s="541">
        <v>18.933679636806755</v>
      </c>
      <c r="AR55" s="178">
        <v>0</v>
      </c>
    </row>
    <row r="56" spans="1:44" x14ac:dyDescent="0.25">
      <c r="A56" s="193">
        <v>5489</v>
      </c>
      <c r="B56" s="454" t="s">
        <v>3</v>
      </c>
      <c r="C56" s="446">
        <v>1861554.17</v>
      </c>
      <c r="D56" s="446">
        <v>684808.6</v>
      </c>
      <c r="E56" s="446"/>
      <c r="F56" s="446">
        <v>0</v>
      </c>
      <c r="G56" s="446">
        <v>555479.75</v>
      </c>
      <c r="H56" s="446">
        <v>22209.45</v>
      </c>
      <c r="I56" s="446">
        <v>0</v>
      </c>
      <c r="J56" s="446">
        <v>37440.42</v>
      </c>
      <c r="K56" s="446">
        <v>6591.5</v>
      </c>
      <c r="L56" s="446">
        <v>293345.55</v>
      </c>
      <c r="M56" s="506">
        <f t="shared" si="0"/>
        <v>3461429.44</v>
      </c>
      <c r="N56" s="446">
        <v>150502.45000000001</v>
      </c>
      <c r="O56" s="446">
        <v>458.7</v>
      </c>
      <c r="P56" s="446">
        <v>245386</v>
      </c>
      <c r="Q56" s="446">
        <v>1202.4000000000001</v>
      </c>
      <c r="R56" s="446">
        <v>276699.8</v>
      </c>
      <c r="S56" s="446">
        <v>6790.4826664221982</v>
      </c>
      <c r="T56" s="506">
        <f t="shared" si="1"/>
        <v>4142469.2726664222</v>
      </c>
      <c r="U56" s="446">
        <v>-49065.04</v>
      </c>
      <c r="V56" s="446"/>
      <c r="W56" s="446">
        <v>-846.97</v>
      </c>
      <c r="X56" s="448">
        <v>59.5</v>
      </c>
      <c r="Y56" s="448">
        <v>1</v>
      </c>
      <c r="Z56" s="446">
        <v>791</v>
      </c>
      <c r="AA56" s="269"/>
      <c r="AB56" s="446">
        <v>58969</v>
      </c>
      <c r="AC56" s="450">
        <f>AB56/VPI!R56</f>
        <v>1.0260695769810577</v>
      </c>
      <c r="AD56" s="452">
        <f t="shared" si="2"/>
        <v>90456</v>
      </c>
      <c r="AE56" s="450">
        <f>AD56/VPI!R56</f>
        <v>1.5739481703165827</v>
      </c>
      <c r="AF56" s="446">
        <v>149425</v>
      </c>
      <c r="AG56" s="446">
        <v>20545</v>
      </c>
      <c r="AH56" s="446">
        <v>66716</v>
      </c>
      <c r="AI56" s="272"/>
      <c r="AJ56" s="446">
        <v>0</v>
      </c>
      <c r="AK56" s="450">
        <f>AJ56/VPI!R56</f>
        <v>0</v>
      </c>
      <c r="AL56" s="452">
        <f t="shared" si="3"/>
        <v>61574</v>
      </c>
      <c r="AM56" s="450">
        <f>AL56/VPI!R56</f>
        <v>1.071396973545959</v>
      </c>
      <c r="AN56" s="446">
        <v>61574</v>
      </c>
      <c r="AO56" s="272"/>
      <c r="AP56" s="541">
        <v>43.042262140641036</v>
      </c>
      <c r="AR56" s="178">
        <v>0</v>
      </c>
    </row>
    <row r="57" spans="1:44" x14ac:dyDescent="0.25">
      <c r="A57" s="193">
        <v>5490</v>
      </c>
      <c r="B57" s="454" t="s">
        <v>4</v>
      </c>
      <c r="C57" s="446">
        <v>559754.14</v>
      </c>
      <c r="D57" s="446">
        <v>82620.210000000006</v>
      </c>
      <c r="E57" s="446"/>
      <c r="F57" s="446">
        <v>0</v>
      </c>
      <c r="G57" s="446">
        <v>609.79999999999995</v>
      </c>
      <c r="H57" s="446">
        <v>145.69999999999999</v>
      </c>
      <c r="I57" s="446">
        <v>0</v>
      </c>
      <c r="J57" s="446">
        <v>-683.29</v>
      </c>
      <c r="K57" s="446">
        <v>0</v>
      </c>
      <c r="L57" s="446">
        <v>46100.25</v>
      </c>
      <c r="M57" s="506">
        <f t="shared" si="0"/>
        <v>688546.80999999994</v>
      </c>
      <c r="N57" s="446">
        <v>0</v>
      </c>
      <c r="O57" s="446">
        <v>15576.4</v>
      </c>
      <c r="P57" s="446">
        <v>23760.95</v>
      </c>
      <c r="Q57" s="446">
        <v>0</v>
      </c>
      <c r="R57" s="446">
        <v>315</v>
      </c>
      <c r="S57" s="446">
        <v>74.121517543282337</v>
      </c>
      <c r="T57" s="506">
        <f t="shared" si="1"/>
        <v>728273.28151754325</v>
      </c>
      <c r="U57" s="446">
        <v>-17085.490000000002</v>
      </c>
      <c r="V57" s="446"/>
      <c r="W57" s="446">
        <v>-718.97</v>
      </c>
      <c r="X57" s="448">
        <v>77.5</v>
      </c>
      <c r="Y57" s="448">
        <v>1</v>
      </c>
      <c r="Z57" s="446">
        <v>311</v>
      </c>
      <c r="AA57" s="269"/>
      <c r="AB57" s="446">
        <v>12763</v>
      </c>
      <c r="AC57" s="450">
        <f>AB57/VPI!R57</f>
        <v>1.4745202928043069</v>
      </c>
      <c r="AD57" s="452">
        <f t="shared" si="2"/>
        <v>44350</v>
      </c>
      <c r="AE57" s="450">
        <f>AD57/VPI!R57</f>
        <v>5.1237933860276588</v>
      </c>
      <c r="AF57" s="446">
        <v>57113</v>
      </c>
      <c r="AG57" s="446">
        <v>12343</v>
      </c>
      <c r="AH57" s="446">
        <v>30611</v>
      </c>
      <c r="AI57" s="272"/>
      <c r="AJ57" s="446">
        <v>0</v>
      </c>
      <c r="AK57" s="450">
        <f>AJ57/VPI!R57</f>
        <v>0</v>
      </c>
      <c r="AL57" s="452">
        <f t="shared" si="3"/>
        <v>-4782</v>
      </c>
      <c r="AM57" s="450">
        <f>AL57/VPI!R57</f>
        <v>-0.55246854502783016</v>
      </c>
      <c r="AN57" s="446">
        <v>-4782</v>
      </c>
      <c r="AO57" s="272"/>
      <c r="AP57" s="541">
        <v>13.03152021247859</v>
      </c>
      <c r="AR57" s="178">
        <v>0</v>
      </c>
    </row>
    <row r="58" spans="1:44" x14ac:dyDescent="0.25">
      <c r="A58" s="193">
        <v>5491</v>
      </c>
      <c r="B58" s="454" t="s">
        <v>147</v>
      </c>
      <c r="C58" s="446">
        <v>897407.82</v>
      </c>
      <c r="D58" s="446">
        <v>85568.14</v>
      </c>
      <c r="E58" s="446"/>
      <c r="F58" s="446">
        <v>2590</v>
      </c>
      <c r="G58" s="446">
        <v>14293.7</v>
      </c>
      <c r="H58" s="446">
        <v>2010.45</v>
      </c>
      <c r="I58" s="446">
        <v>0</v>
      </c>
      <c r="J58" s="446">
        <v>8918.35</v>
      </c>
      <c r="K58" s="446">
        <v>1245.75</v>
      </c>
      <c r="L58" s="446">
        <v>89042.1</v>
      </c>
      <c r="M58" s="506">
        <f t="shared" si="0"/>
        <v>1101076.3099999998</v>
      </c>
      <c r="N58" s="446">
        <v>1976.15</v>
      </c>
      <c r="O58" s="446">
        <v>0</v>
      </c>
      <c r="P58" s="446">
        <v>68902.649999999994</v>
      </c>
      <c r="Q58" s="446">
        <v>705.45</v>
      </c>
      <c r="R58" s="446">
        <v>24058.55</v>
      </c>
      <c r="S58" s="446">
        <v>1599.5874788263488</v>
      </c>
      <c r="T58" s="506">
        <f t="shared" si="1"/>
        <v>1198318.6974788259</v>
      </c>
      <c r="U58" s="446">
        <v>-15167.75</v>
      </c>
      <c r="V58" s="446"/>
      <c r="W58" s="446">
        <v>0</v>
      </c>
      <c r="X58" s="448">
        <v>76</v>
      </c>
      <c r="Y58" s="448">
        <v>1</v>
      </c>
      <c r="Z58" s="446">
        <v>490</v>
      </c>
      <c r="AA58" s="269"/>
      <c r="AB58" s="446">
        <v>28885</v>
      </c>
      <c r="AC58" s="450">
        <f>AB58/VPI!R58</f>
        <v>2.0173061658905747</v>
      </c>
      <c r="AD58" s="452">
        <f t="shared" si="2"/>
        <v>90780</v>
      </c>
      <c r="AE58" s="450">
        <f>AD58/VPI!R58</f>
        <v>6.3400053224700139</v>
      </c>
      <c r="AF58" s="446">
        <v>119665</v>
      </c>
      <c r="AG58" s="446">
        <v>19032</v>
      </c>
      <c r="AH58" s="446">
        <v>80522</v>
      </c>
      <c r="AI58" s="272"/>
      <c r="AJ58" s="446">
        <v>0</v>
      </c>
      <c r="AK58" s="450">
        <f>AJ58/VPI!R58</f>
        <v>0</v>
      </c>
      <c r="AL58" s="452">
        <f t="shared" si="3"/>
        <v>-27757</v>
      </c>
      <c r="AM58" s="450">
        <f>AL58/VPI!R58</f>
        <v>-1.9385275141639147</v>
      </c>
      <c r="AN58" s="446">
        <v>-27757</v>
      </c>
      <c r="AO58" s="272"/>
      <c r="AP58" s="541">
        <v>18.081539266579572</v>
      </c>
      <c r="AR58" s="178">
        <v>0</v>
      </c>
    </row>
    <row r="59" spans="1:44" x14ac:dyDescent="0.25">
      <c r="A59" s="193">
        <v>5492</v>
      </c>
      <c r="B59" s="454" t="s">
        <v>148</v>
      </c>
      <c r="C59" s="446">
        <v>6057160.8099999996</v>
      </c>
      <c r="D59" s="446">
        <v>3670769.54</v>
      </c>
      <c r="E59" s="446"/>
      <c r="F59" s="446">
        <v>0</v>
      </c>
      <c r="G59" s="446">
        <v>34535.449999999997</v>
      </c>
      <c r="H59" s="446">
        <v>3012.05</v>
      </c>
      <c r="I59" s="446">
        <v>0</v>
      </c>
      <c r="J59" s="446">
        <v>101215.21</v>
      </c>
      <c r="K59" s="446">
        <v>4245.45</v>
      </c>
      <c r="L59" s="446">
        <v>73486.45</v>
      </c>
      <c r="M59" s="506">
        <f t="shared" si="0"/>
        <v>9944424.959999999</v>
      </c>
      <c r="N59" s="446">
        <v>6535.1</v>
      </c>
      <c r="O59" s="446">
        <v>138790.79999999999</v>
      </c>
      <c r="P59" s="446">
        <v>111883.75</v>
      </c>
      <c r="Q59" s="446">
        <v>6716.98</v>
      </c>
      <c r="R59" s="446">
        <v>69404.100000000006</v>
      </c>
      <c r="S59" s="446">
        <v>3683.7560290620695</v>
      </c>
      <c r="T59" s="506">
        <f t="shared" si="1"/>
        <v>10281439.446029061</v>
      </c>
      <c r="U59" s="446">
        <v>-62889.32</v>
      </c>
      <c r="V59" s="446"/>
      <c r="W59" s="446">
        <v>-6306.83</v>
      </c>
      <c r="X59" s="448">
        <v>64</v>
      </c>
      <c r="Y59" s="448">
        <v>0.3</v>
      </c>
      <c r="Z59" s="446">
        <v>964</v>
      </c>
      <c r="AA59" s="269"/>
      <c r="AB59" s="446">
        <v>0</v>
      </c>
      <c r="AC59" s="450">
        <f>AB59/VPI!R59</f>
        <v>0</v>
      </c>
      <c r="AD59" s="452">
        <f t="shared" si="2"/>
        <v>209669</v>
      </c>
      <c r="AE59" s="450">
        <f>AD59/VPI!R59</f>
        <v>1.3342632332158997</v>
      </c>
      <c r="AF59" s="446">
        <v>209669</v>
      </c>
      <c r="AG59" s="446">
        <v>98757</v>
      </c>
      <c r="AH59" s="446">
        <v>137578</v>
      </c>
      <c r="AI59" s="272"/>
      <c r="AJ59" s="446">
        <v>0</v>
      </c>
      <c r="AK59" s="450">
        <f>AJ59/VPI!R59</f>
        <v>0</v>
      </c>
      <c r="AL59" s="452">
        <f t="shared" si="3"/>
        <v>433832</v>
      </c>
      <c r="AM59" s="450">
        <f>AL59/VPI!R59</f>
        <v>2.7607614239230416</v>
      </c>
      <c r="AN59" s="446">
        <v>433832</v>
      </c>
      <c r="AO59" s="272"/>
      <c r="AP59" s="541">
        <v>48.731112868341768</v>
      </c>
      <c r="AR59" s="178">
        <v>0</v>
      </c>
    </row>
    <row r="60" spans="1:44" x14ac:dyDescent="0.25">
      <c r="A60" s="193">
        <v>5493</v>
      </c>
      <c r="B60" s="454" t="s">
        <v>149</v>
      </c>
      <c r="C60" s="446">
        <v>759812.46</v>
      </c>
      <c r="D60" s="446">
        <v>76360.600000000006</v>
      </c>
      <c r="E60" s="446"/>
      <c r="F60" s="446">
        <v>0</v>
      </c>
      <c r="G60" s="446">
        <v>25986.1</v>
      </c>
      <c r="H60" s="446">
        <v>1304.3499999999999</v>
      </c>
      <c r="I60" s="446">
        <v>0</v>
      </c>
      <c r="J60" s="446">
        <v>36469.08</v>
      </c>
      <c r="K60" s="446">
        <v>455.85</v>
      </c>
      <c r="L60" s="446">
        <v>39318.6</v>
      </c>
      <c r="M60" s="506">
        <f t="shared" si="0"/>
        <v>939707.0399999998</v>
      </c>
      <c r="N60" s="446">
        <v>72407.399999999994</v>
      </c>
      <c r="O60" s="446">
        <v>26175.5</v>
      </c>
      <c r="P60" s="446">
        <v>73882.3</v>
      </c>
      <c r="Q60" s="446">
        <v>9903.36</v>
      </c>
      <c r="R60" s="446">
        <v>23013.200000000001</v>
      </c>
      <c r="S60" s="446">
        <v>2677.4448291715012</v>
      </c>
      <c r="T60" s="506">
        <f t="shared" si="1"/>
        <v>1147766.2448291713</v>
      </c>
      <c r="U60" s="446">
        <v>-33436.629999999997</v>
      </c>
      <c r="V60" s="446"/>
      <c r="W60" s="446">
        <v>-12.43</v>
      </c>
      <c r="X60" s="448">
        <v>73</v>
      </c>
      <c r="Y60" s="448">
        <v>0.65</v>
      </c>
      <c r="Z60" s="446">
        <v>462</v>
      </c>
      <c r="AA60" s="269"/>
      <c r="AB60" s="446">
        <v>0</v>
      </c>
      <c r="AC60" s="450">
        <f>AB60/VPI!R60</f>
        <v>0</v>
      </c>
      <c r="AD60" s="452">
        <f t="shared" si="2"/>
        <v>36292</v>
      </c>
      <c r="AE60" s="450">
        <f>AD60/VPI!R60</f>
        <v>2.8183902782744399</v>
      </c>
      <c r="AF60" s="446">
        <v>36292</v>
      </c>
      <c r="AG60" s="446">
        <v>16563</v>
      </c>
      <c r="AH60" s="446">
        <v>45474</v>
      </c>
      <c r="AI60" s="272"/>
      <c r="AJ60" s="446">
        <v>0</v>
      </c>
      <c r="AK60" s="450">
        <f>AJ60/VPI!R60</f>
        <v>0</v>
      </c>
      <c r="AL60" s="452">
        <f t="shared" si="3"/>
        <v>5418</v>
      </c>
      <c r="AM60" s="450">
        <f>AL60/VPI!R60</f>
        <v>0.42075494675661068</v>
      </c>
      <c r="AN60" s="446">
        <v>5418</v>
      </c>
      <c r="AO60" s="272"/>
      <c r="AP60" s="541">
        <v>13.392756541004131</v>
      </c>
      <c r="AR60" s="178">
        <v>0</v>
      </c>
    </row>
    <row r="61" spans="1:44" x14ac:dyDescent="0.25">
      <c r="A61" s="193">
        <v>5495</v>
      </c>
      <c r="B61" s="454" t="s">
        <v>150</v>
      </c>
      <c r="C61" s="446">
        <v>5539969.3899999997</v>
      </c>
      <c r="D61" s="446">
        <v>618875.32999999996</v>
      </c>
      <c r="E61" s="446"/>
      <c r="F61" s="446">
        <v>0</v>
      </c>
      <c r="G61" s="446">
        <v>53984.85</v>
      </c>
      <c r="H61" s="446">
        <v>8451.75</v>
      </c>
      <c r="I61" s="446">
        <v>78730.81</v>
      </c>
      <c r="J61" s="446">
        <v>190029.21</v>
      </c>
      <c r="K61" s="446">
        <v>67979.850000000006</v>
      </c>
      <c r="L61" s="446">
        <v>483696.95</v>
      </c>
      <c r="M61" s="506">
        <f t="shared" si="0"/>
        <v>7041718.1399999987</v>
      </c>
      <c r="N61" s="446">
        <v>253218.8</v>
      </c>
      <c r="O61" s="446">
        <v>39110</v>
      </c>
      <c r="P61" s="446">
        <v>270017.09999999998</v>
      </c>
      <c r="Q61" s="446">
        <v>7944.7</v>
      </c>
      <c r="R61" s="446">
        <v>116011.65</v>
      </c>
      <c r="S61" s="446">
        <v>6125.6062769594982</v>
      </c>
      <c r="T61" s="506">
        <f t="shared" si="1"/>
        <v>7734145.9962769579</v>
      </c>
      <c r="U61" s="446">
        <v>-145970.59</v>
      </c>
      <c r="V61" s="446"/>
      <c r="W61" s="446">
        <v>-2432.35</v>
      </c>
      <c r="X61" s="448">
        <v>74</v>
      </c>
      <c r="Y61" s="448">
        <v>1</v>
      </c>
      <c r="Z61" s="446">
        <v>3207</v>
      </c>
      <c r="AA61" s="269"/>
      <c r="AB61" s="446">
        <v>198342</v>
      </c>
      <c r="AC61" s="450">
        <f>AB61/VPI!R61</f>
        <v>2.124871702420875</v>
      </c>
      <c r="AD61" s="452">
        <f t="shared" si="2"/>
        <v>595905</v>
      </c>
      <c r="AE61" s="450">
        <f>AD61/VPI!R61</f>
        <v>6.3840319843054498</v>
      </c>
      <c r="AF61" s="446">
        <v>794247</v>
      </c>
      <c r="AG61" s="446">
        <v>431515</v>
      </c>
      <c r="AH61" s="446">
        <v>336088</v>
      </c>
      <c r="AI61" s="272"/>
      <c r="AJ61" s="446">
        <v>0</v>
      </c>
      <c r="AK61" s="450">
        <f>AJ61/VPI!R61</f>
        <v>0</v>
      </c>
      <c r="AL61" s="452">
        <f t="shared" si="3"/>
        <v>56944</v>
      </c>
      <c r="AM61" s="450">
        <f>AL61/VPI!R61</f>
        <v>0.61005079218044744</v>
      </c>
      <c r="AN61" s="446">
        <v>56944</v>
      </c>
      <c r="AO61" s="272"/>
      <c r="AP61" s="541">
        <v>12.45741438855022</v>
      </c>
      <c r="AR61" s="178">
        <v>0</v>
      </c>
    </row>
    <row r="62" spans="1:44" x14ac:dyDescent="0.25">
      <c r="A62" s="193">
        <v>5496</v>
      </c>
      <c r="B62" s="454" t="s">
        <v>151</v>
      </c>
      <c r="C62" s="446">
        <v>3422843.61</v>
      </c>
      <c r="D62" s="446">
        <v>311795.25</v>
      </c>
      <c r="E62" s="446"/>
      <c r="F62" s="446">
        <v>0</v>
      </c>
      <c r="G62" s="446">
        <v>43854.85</v>
      </c>
      <c r="H62" s="446">
        <v>18360.150000000001</v>
      </c>
      <c r="I62" s="446">
        <v>0</v>
      </c>
      <c r="J62" s="446">
        <v>88669.98</v>
      </c>
      <c r="K62" s="446">
        <v>20912.599999999999</v>
      </c>
      <c r="L62" s="446">
        <v>337197.7</v>
      </c>
      <c r="M62" s="506">
        <f t="shared" si="0"/>
        <v>4243634.1399999997</v>
      </c>
      <c r="N62" s="446">
        <v>84746.65</v>
      </c>
      <c r="O62" s="446">
        <v>37736.6</v>
      </c>
      <c r="P62" s="446">
        <v>206027.45</v>
      </c>
      <c r="Q62" s="446">
        <v>8458.61</v>
      </c>
      <c r="R62" s="446">
        <v>65521.2</v>
      </c>
      <c r="S62" s="446">
        <v>6103.8652732697683</v>
      </c>
      <c r="T62" s="506">
        <f t="shared" si="1"/>
        <v>4652228.5152732702</v>
      </c>
      <c r="U62" s="446">
        <v>-80202.8</v>
      </c>
      <c r="V62" s="446"/>
      <c r="W62" s="446">
        <v>-239.67</v>
      </c>
      <c r="X62" s="448">
        <v>69.5</v>
      </c>
      <c r="Y62" s="448">
        <v>1</v>
      </c>
      <c r="Z62" s="446">
        <v>1855</v>
      </c>
      <c r="AA62" s="269"/>
      <c r="AB62" s="446">
        <v>261147</v>
      </c>
      <c r="AC62" s="450">
        <f>AB62/VPI!R62</f>
        <v>4.3443716094530531</v>
      </c>
      <c r="AD62" s="452">
        <f t="shared" si="2"/>
        <v>159566</v>
      </c>
      <c r="AE62" s="450">
        <f>AD62/VPI!R62</f>
        <v>2.6544972763768522</v>
      </c>
      <c r="AF62" s="446">
        <v>420713</v>
      </c>
      <c r="AG62" s="446">
        <v>132149</v>
      </c>
      <c r="AH62" s="446">
        <v>204134</v>
      </c>
      <c r="AI62" s="272"/>
      <c r="AJ62" s="446">
        <v>0</v>
      </c>
      <c r="AK62" s="450">
        <f>AJ62/VPI!R62</f>
        <v>0</v>
      </c>
      <c r="AL62" s="452">
        <f t="shared" si="3"/>
        <v>21865</v>
      </c>
      <c r="AM62" s="450">
        <f>AL62/VPI!R62</f>
        <v>0.36374028895867466</v>
      </c>
      <c r="AN62" s="446">
        <v>21865</v>
      </c>
      <c r="AO62" s="272"/>
      <c r="AP62" s="541">
        <v>21.105919822801319</v>
      </c>
      <c r="AR62" s="178">
        <v>0</v>
      </c>
    </row>
    <row r="63" spans="1:44" x14ac:dyDescent="0.25">
      <c r="A63" s="193">
        <v>5497</v>
      </c>
      <c r="B63" s="454" t="s">
        <v>152</v>
      </c>
      <c r="C63" s="446">
        <v>1074997.8799999999</v>
      </c>
      <c r="D63" s="446">
        <v>114145.41</v>
      </c>
      <c r="E63" s="446"/>
      <c r="F63" s="446">
        <v>0</v>
      </c>
      <c r="G63" s="446">
        <v>-12478.55</v>
      </c>
      <c r="H63" s="446">
        <v>2370.4</v>
      </c>
      <c r="I63" s="446">
        <v>0</v>
      </c>
      <c r="J63" s="446">
        <v>39390.080000000002</v>
      </c>
      <c r="K63" s="446">
        <v>3864.6</v>
      </c>
      <c r="L63" s="446">
        <v>147841.60000000001</v>
      </c>
      <c r="M63" s="506">
        <f t="shared" si="0"/>
        <v>1370131.42</v>
      </c>
      <c r="N63" s="446">
        <v>213258.85</v>
      </c>
      <c r="O63" s="446">
        <v>5039.8</v>
      </c>
      <c r="P63" s="446">
        <v>15180.5</v>
      </c>
      <c r="Q63" s="446">
        <v>150.94</v>
      </c>
      <c r="R63" s="446">
        <v>12418.2</v>
      </c>
      <c r="S63" s="446">
        <v>0</v>
      </c>
      <c r="T63" s="506">
        <f t="shared" si="1"/>
        <v>1616179.71</v>
      </c>
      <c r="U63" s="446">
        <v>-22727.43</v>
      </c>
      <c r="V63" s="446"/>
      <c r="W63" s="446">
        <v>-141.41</v>
      </c>
      <c r="X63" s="448">
        <v>66</v>
      </c>
      <c r="Y63" s="448">
        <v>1</v>
      </c>
      <c r="Z63" s="446">
        <v>847</v>
      </c>
      <c r="AA63" s="269"/>
      <c r="AB63" s="446">
        <v>73510</v>
      </c>
      <c r="AC63" s="450">
        <f>AB63/VPI!R63</f>
        <v>3.600720883370681</v>
      </c>
      <c r="AD63" s="452">
        <f t="shared" si="2"/>
        <v>106882</v>
      </c>
      <c r="AE63" s="450">
        <f>AD63/VPI!R63</f>
        <v>5.2353727310083675</v>
      </c>
      <c r="AF63" s="446">
        <v>180392</v>
      </c>
      <c r="AG63" s="446">
        <v>33883</v>
      </c>
      <c r="AH63" s="446">
        <v>83369</v>
      </c>
      <c r="AI63" s="272"/>
      <c r="AJ63" s="446">
        <v>0</v>
      </c>
      <c r="AK63" s="450">
        <f>AJ63/VPI!R63</f>
        <v>0</v>
      </c>
      <c r="AL63" s="452">
        <f t="shared" si="3"/>
        <v>11913</v>
      </c>
      <c r="AM63" s="450">
        <f>AL63/VPI!R63</f>
        <v>0.5835313274873476</v>
      </c>
      <c r="AN63" s="446">
        <v>11913</v>
      </c>
      <c r="AO63" s="272"/>
      <c r="AP63" s="541">
        <v>17.76955921057764</v>
      </c>
      <c r="AR63" s="178">
        <v>0</v>
      </c>
    </row>
    <row r="64" spans="1:44" x14ac:dyDescent="0.25">
      <c r="A64" s="193">
        <v>5498</v>
      </c>
      <c r="B64" s="454" t="s">
        <v>153</v>
      </c>
      <c r="C64" s="446">
        <v>4137746.03</v>
      </c>
      <c r="D64" s="446">
        <v>466301.8</v>
      </c>
      <c r="E64" s="446"/>
      <c r="F64" s="446">
        <v>0</v>
      </c>
      <c r="G64" s="446">
        <v>48142.95</v>
      </c>
      <c r="H64" s="446">
        <v>7763.7</v>
      </c>
      <c r="I64" s="446">
        <v>0</v>
      </c>
      <c r="J64" s="446">
        <v>122651.8</v>
      </c>
      <c r="K64" s="446">
        <v>15544.65</v>
      </c>
      <c r="L64" s="446">
        <v>404938.35</v>
      </c>
      <c r="M64" s="506">
        <f t="shared" si="0"/>
        <v>5203089.28</v>
      </c>
      <c r="N64" s="446">
        <v>80908.7</v>
      </c>
      <c r="O64" s="446">
        <v>3821.3</v>
      </c>
      <c r="P64" s="446">
        <v>186689.9</v>
      </c>
      <c r="Q64" s="446">
        <v>-1517.98</v>
      </c>
      <c r="R64" s="446">
        <v>102073.4</v>
      </c>
      <c r="S64" s="446">
        <v>5484.9579599750432</v>
      </c>
      <c r="T64" s="506">
        <f t="shared" si="1"/>
        <v>5580549.5579599757</v>
      </c>
      <c r="U64" s="446">
        <v>-92376.85</v>
      </c>
      <c r="V64" s="446"/>
      <c r="W64" s="446">
        <v>-356.31</v>
      </c>
      <c r="X64" s="448">
        <v>66</v>
      </c>
      <c r="Y64" s="448">
        <v>1</v>
      </c>
      <c r="Z64" s="446">
        <v>2598</v>
      </c>
      <c r="AA64" s="269"/>
      <c r="AB64" s="446">
        <v>314314</v>
      </c>
      <c r="AC64" s="450">
        <f>AB64/VPI!R64</f>
        <v>4.0562013002805299</v>
      </c>
      <c r="AD64" s="452">
        <f t="shared" si="2"/>
        <v>354265</v>
      </c>
      <c r="AE64" s="450">
        <f>AD64/VPI!R64</f>
        <v>4.5717663026269326</v>
      </c>
      <c r="AF64" s="446">
        <v>668579</v>
      </c>
      <c r="AG64" s="446">
        <v>263880</v>
      </c>
      <c r="AH64" s="446">
        <v>255718</v>
      </c>
      <c r="AI64" s="272"/>
      <c r="AJ64" s="446">
        <v>0</v>
      </c>
      <c r="AK64" s="450">
        <f>AJ64/VPI!R64</f>
        <v>0</v>
      </c>
      <c r="AL64" s="452">
        <f t="shared" si="3"/>
        <v>34066</v>
      </c>
      <c r="AM64" s="450">
        <f>AL64/VPI!R64</f>
        <v>0.43961946809673297</v>
      </c>
      <c r="AN64" s="446">
        <v>34066</v>
      </c>
      <c r="AO64" s="272"/>
      <c r="AP64" s="541">
        <v>15.962890370799119</v>
      </c>
      <c r="AR64" s="178">
        <v>0</v>
      </c>
    </row>
    <row r="65" spans="1:47" x14ac:dyDescent="0.25">
      <c r="A65" s="193">
        <v>5499</v>
      </c>
      <c r="B65" s="454" t="s">
        <v>154</v>
      </c>
      <c r="C65" s="446">
        <v>1012881.53</v>
      </c>
      <c r="D65" s="446">
        <v>188884.9</v>
      </c>
      <c r="E65" s="446"/>
      <c r="F65" s="446">
        <v>0</v>
      </c>
      <c r="G65" s="446">
        <v>28779.75</v>
      </c>
      <c r="H65" s="446">
        <v>478.1</v>
      </c>
      <c r="I65" s="446">
        <v>0</v>
      </c>
      <c r="J65" s="446">
        <v>13064.58</v>
      </c>
      <c r="K65" s="446">
        <v>0</v>
      </c>
      <c r="L65" s="446">
        <v>99314.8</v>
      </c>
      <c r="M65" s="506">
        <f t="shared" si="0"/>
        <v>1343403.6600000001</v>
      </c>
      <c r="N65" s="446">
        <v>15029.85</v>
      </c>
      <c r="O65" s="446">
        <v>101975.7</v>
      </c>
      <c r="P65" s="446">
        <v>75413.8</v>
      </c>
      <c r="Q65" s="446">
        <v>0</v>
      </c>
      <c r="R65" s="446">
        <v>64569</v>
      </c>
      <c r="S65" s="446">
        <v>2870.4649133735575</v>
      </c>
      <c r="T65" s="506">
        <f t="shared" si="1"/>
        <v>1603262.4749133738</v>
      </c>
      <c r="U65" s="446">
        <v>-255.22</v>
      </c>
      <c r="V65" s="446"/>
      <c r="W65" s="446">
        <v>-328.18</v>
      </c>
      <c r="X65" s="448">
        <v>68.5</v>
      </c>
      <c r="Y65" s="448">
        <v>1</v>
      </c>
      <c r="Z65" s="446">
        <v>496</v>
      </c>
      <c r="AA65" s="269"/>
      <c r="AB65" s="446">
        <v>0</v>
      </c>
      <c r="AC65" s="450">
        <f>AB65/VPI!R65</f>
        <v>0</v>
      </c>
      <c r="AD65" s="452">
        <f t="shared" si="2"/>
        <v>341284</v>
      </c>
      <c r="AE65" s="450">
        <f>AD65/VPI!R65</f>
        <v>17.372456811356049</v>
      </c>
      <c r="AF65" s="446">
        <v>341284</v>
      </c>
      <c r="AG65" s="446">
        <v>18992</v>
      </c>
      <c r="AH65" s="446">
        <v>87112</v>
      </c>
      <c r="AI65" s="272"/>
      <c r="AJ65" s="446">
        <v>0</v>
      </c>
      <c r="AK65" s="450">
        <f>AJ65/VPI!R65</f>
        <v>0</v>
      </c>
      <c r="AL65" s="452">
        <f t="shared" si="3"/>
        <v>15291</v>
      </c>
      <c r="AM65" s="450">
        <f>AL65/VPI!R65</f>
        <v>0.77836123903389953</v>
      </c>
      <c r="AN65" s="446">
        <v>15291</v>
      </c>
      <c r="AO65" s="272"/>
      <c r="AP65" s="541">
        <v>29.602327161851449</v>
      </c>
      <c r="AR65" s="178">
        <v>0</v>
      </c>
    </row>
    <row r="66" spans="1:47" x14ac:dyDescent="0.25">
      <c r="A66" s="193">
        <v>5501</v>
      </c>
      <c r="B66" s="454" t="s">
        <v>155</v>
      </c>
      <c r="C66" s="446">
        <v>2120436.9300000002</v>
      </c>
      <c r="D66" s="446">
        <v>522946.87</v>
      </c>
      <c r="E66" s="446"/>
      <c r="F66" s="446">
        <v>0</v>
      </c>
      <c r="G66" s="446">
        <v>35198.85</v>
      </c>
      <c r="H66" s="446">
        <v>526.65</v>
      </c>
      <c r="I66" s="446">
        <v>-76949.3</v>
      </c>
      <c r="J66" s="446">
        <v>45296.28</v>
      </c>
      <c r="K66" s="446">
        <v>-78.400000000000006</v>
      </c>
      <c r="L66" s="446">
        <v>226887.35</v>
      </c>
      <c r="M66" s="506">
        <f t="shared" ref="M66:M127" si="4">SUM(C66:L66)</f>
        <v>2874265.2300000004</v>
      </c>
      <c r="N66" s="446">
        <v>6179.4</v>
      </c>
      <c r="O66" s="446">
        <v>106374</v>
      </c>
      <c r="P66" s="446">
        <v>200417.65</v>
      </c>
      <c r="Q66" s="446">
        <v>15405.19</v>
      </c>
      <c r="R66" s="446">
        <v>215513.60000000001</v>
      </c>
      <c r="S66" s="446">
        <v>3505.0010258008374</v>
      </c>
      <c r="T66" s="506">
        <f t="shared" si="1"/>
        <v>3421660.0710258014</v>
      </c>
      <c r="U66" s="446">
        <v>-21505.52</v>
      </c>
      <c r="V66" s="446"/>
      <c r="W66" s="446">
        <v>-851.87</v>
      </c>
      <c r="X66" s="448">
        <v>68.5</v>
      </c>
      <c r="Y66" s="448">
        <v>1</v>
      </c>
      <c r="Z66" s="446">
        <v>1041</v>
      </c>
      <c r="AA66" s="269"/>
      <c r="AB66" s="446">
        <v>102123</v>
      </c>
      <c r="AC66" s="450">
        <f>AB66/VPI!R66</f>
        <v>2.436735949265441</v>
      </c>
      <c r="AD66" s="452">
        <f t="shared" si="2"/>
        <v>169938</v>
      </c>
      <c r="AE66" s="450">
        <f>AD66/VPI!R66</f>
        <v>4.0548557498924875</v>
      </c>
      <c r="AF66" s="446">
        <v>272061</v>
      </c>
      <c r="AG66" s="446">
        <v>29616</v>
      </c>
      <c r="AH66" s="446">
        <v>42323</v>
      </c>
      <c r="AI66" s="272"/>
      <c r="AJ66" s="446">
        <v>0</v>
      </c>
      <c r="AK66" s="450">
        <f>AJ66/VPI!R66</f>
        <v>0</v>
      </c>
      <c r="AL66" s="452">
        <f t="shared" si="3"/>
        <v>54509</v>
      </c>
      <c r="AM66" s="450">
        <f>AL66/VPI!R66</f>
        <v>1.3006280647700315</v>
      </c>
      <c r="AN66" s="446">
        <v>54509</v>
      </c>
      <c r="AO66" s="272"/>
      <c r="AP66" s="541">
        <v>28.127326505791395</v>
      </c>
      <c r="AR66" s="178">
        <v>0</v>
      </c>
    </row>
    <row r="67" spans="1:47" x14ac:dyDescent="0.25">
      <c r="A67" s="193">
        <v>5503</v>
      </c>
      <c r="B67" s="454" t="s">
        <v>156</v>
      </c>
      <c r="C67" s="446">
        <v>2992558.39</v>
      </c>
      <c r="D67" s="446">
        <v>477042.71</v>
      </c>
      <c r="E67" s="446"/>
      <c r="F67" s="446">
        <v>0</v>
      </c>
      <c r="G67" s="446">
        <v>486392.4</v>
      </c>
      <c r="H67" s="446">
        <v>17394.75</v>
      </c>
      <c r="I67" s="446">
        <v>0</v>
      </c>
      <c r="J67" s="446">
        <v>75571.78</v>
      </c>
      <c r="K67" s="446">
        <v>34894.550000000003</v>
      </c>
      <c r="L67" s="446">
        <v>445164.2</v>
      </c>
      <c r="M67" s="506">
        <f t="shared" si="4"/>
        <v>4529018.7799999993</v>
      </c>
      <c r="N67" s="446">
        <v>90208.95</v>
      </c>
      <c r="O67" s="446">
        <v>157734.20000000001</v>
      </c>
      <c r="P67" s="446">
        <v>52834.7</v>
      </c>
      <c r="Q67" s="446">
        <v>1599.13</v>
      </c>
      <c r="R67" s="446">
        <v>28902.25</v>
      </c>
      <c r="S67" s="446">
        <v>117003.680231366</v>
      </c>
      <c r="T67" s="506">
        <f t="shared" si="1"/>
        <v>4977301.6902313661</v>
      </c>
      <c r="U67" s="446">
        <v>-48348.13</v>
      </c>
      <c r="V67" s="446"/>
      <c r="W67" s="446">
        <v>-1085.33</v>
      </c>
      <c r="X67" s="448">
        <v>67</v>
      </c>
      <c r="Y67" s="448">
        <v>1.2</v>
      </c>
      <c r="Z67" s="446">
        <v>1349</v>
      </c>
      <c r="AA67" s="269"/>
      <c r="AB67" s="446">
        <v>60669</v>
      </c>
      <c r="AC67" s="450">
        <f>AB67/VPI!R67</f>
        <v>0.89850316179393941</v>
      </c>
      <c r="AD67" s="452">
        <f t="shared" si="2"/>
        <v>54536</v>
      </c>
      <c r="AE67" s="450">
        <f>AD67/VPI!R67</f>
        <v>0.80767390976601361</v>
      </c>
      <c r="AF67" s="446">
        <v>115205</v>
      </c>
      <c r="AG67" s="446">
        <v>128904</v>
      </c>
      <c r="AH67" s="446">
        <v>140495</v>
      </c>
      <c r="AI67" s="272"/>
      <c r="AJ67" s="446">
        <v>0</v>
      </c>
      <c r="AK67" s="450">
        <f>AJ67/VPI!R67</f>
        <v>0</v>
      </c>
      <c r="AL67" s="452">
        <f t="shared" si="3"/>
        <v>46671</v>
      </c>
      <c r="AM67" s="450">
        <f>AL67/VPI!R67</f>
        <v>0.6911938727205813</v>
      </c>
      <c r="AN67" s="446">
        <v>46671</v>
      </c>
      <c r="AO67" s="272"/>
      <c r="AP67" s="541">
        <v>38.27397254269399</v>
      </c>
      <c r="AR67" s="178">
        <v>0</v>
      </c>
    </row>
    <row r="68" spans="1:47" s="240" customFormat="1" x14ac:dyDescent="0.25">
      <c r="A68" s="193">
        <v>5511</v>
      </c>
      <c r="B68" s="454" t="s">
        <v>157</v>
      </c>
      <c r="C68" s="446">
        <v>3272178.27</v>
      </c>
      <c r="D68" s="446">
        <v>396080.57999999996</v>
      </c>
      <c r="E68" s="446"/>
      <c r="F68" s="446">
        <v>0</v>
      </c>
      <c r="G68" s="446">
        <v>465542.1</v>
      </c>
      <c r="H68" s="446">
        <v>18952.199999999997</v>
      </c>
      <c r="I68" s="446">
        <v>0</v>
      </c>
      <c r="J68" s="446">
        <v>65762.44</v>
      </c>
      <c r="K68" s="446">
        <v>16383.8</v>
      </c>
      <c r="L68" s="446">
        <v>311972.09999999998</v>
      </c>
      <c r="M68" s="506">
        <f t="shared" si="4"/>
        <v>4546871.49</v>
      </c>
      <c r="N68" s="446">
        <v>327972.55</v>
      </c>
      <c r="O68" s="446">
        <v>2932.9</v>
      </c>
      <c r="P68" s="446">
        <v>95124.7</v>
      </c>
      <c r="Q68" s="446">
        <v>22377.64</v>
      </c>
      <c r="R68" s="446">
        <v>88899.8</v>
      </c>
      <c r="S68" s="446">
        <v>47533.359043110904</v>
      </c>
      <c r="T68" s="506">
        <f t="shared" si="1"/>
        <v>5131712.4390431112</v>
      </c>
      <c r="U68" s="446">
        <v>-33922.25</v>
      </c>
      <c r="V68" s="446">
        <v>0</v>
      </c>
      <c r="W68" s="446">
        <v>-333.34</v>
      </c>
      <c r="X68" s="448">
        <v>69.34</v>
      </c>
      <c r="Y68" s="448">
        <v>1</v>
      </c>
      <c r="Z68" s="446">
        <v>1666</v>
      </c>
      <c r="AA68" s="269"/>
      <c r="AB68" s="446">
        <v>87333</v>
      </c>
      <c r="AC68" s="450">
        <f>AB68/VPI!R68</f>
        <v>1.3214696505686636</v>
      </c>
      <c r="AD68" s="452">
        <f t="shared" si="2"/>
        <v>429926</v>
      </c>
      <c r="AE68" s="450">
        <f>AD68/VPI!R68</f>
        <v>6.5053778181258322</v>
      </c>
      <c r="AF68" s="446">
        <v>517259</v>
      </c>
      <c r="AG68" s="446">
        <v>91737</v>
      </c>
      <c r="AH68" s="446">
        <v>128302</v>
      </c>
      <c r="AI68" s="272"/>
      <c r="AJ68" s="446">
        <v>0</v>
      </c>
      <c r="AK68" s="450">
        <f>AJ68/VPI!R68</f>
        <v>0</v>
      </c>
      <c r="AL68" s="452">
        <f t="shared" si="3"/>
        <v>14276</v>
      </c>
      <c r="AM68" s="450">
        <f>AL68/VPI!R68</f>
        <v>0.21601571835982095</v>
      </c>
      <c r="AN68" s="446">
        <v>14276</v>
      </c>
      <c r="AO68" s="272"/>
      <c r="AP68" s="541">
        <v>31.318549241674233</v>
      </c>
      <c r="AR68" s="178">
        <v>0</v>
      </c>
      <c r="AU68" s="5"/>
    </row>
    <row r="69" spans="1:47" x14ac:dyDescent="0.25">
      <c r="A69" s="193">
        <v>5512</v>
      </c>
      <c r="B69" s="454" t="s">
        <v>158</v>
      </c>
      <c r="C69" s="446">
        <v>2449835.96</v>
      </c>
      <c r="D69" s="446">
        <v>396930.92</v>
      </c>
      <c r="E69" s="446"/>
      <c r="F69" s="446">
        <v>0</v>
      </c>
      <c r="G69" s="446">
        <v>31666.1</v>
      </c>
      <c r="H69" s="446">
        <v>3627.95</v>
      </c>
      <c r="I69" s="446">
        <v>0</v>
      </c>
      <c r="J69" s="446">
        <v>62370.33</v>
      </c>
      <c r="K69" s="446">
        <v>9941.1</v>
      </c>
      <c r="L69" s="446">
        <v>260611.65</v>
      </c>
      <c r="M69" s="506">
        <f t="shared" si="4"/>
        <v>3214984.0100000002</v>
      </c>
      <c r="N69" s="446">
        <v>67506.7</v>
      </c>
      <c r="O69" s="446">
        <v>27240.400000000001</v>
      </c>
      <c r="P69" s="446">
        <v>56322.75</v>
      </c>
      <c r="Q69" s="446">
        <v>2543.9899999999998</v>
      </c>
      <c r="R69" s="446">
        <v>44301.1</v>
      </c>
      <c r="S69" s="446">
        <v>3462.6718017848893</v>
      </c>
      <c r="T69" s="506">
        <f t="shared" si="1"/>
        <v>3416361.6218017857</v>
      </c>
      <c r="U69" s="446">
        <v>-35372.620000000003</v>
      </c>
      <c r="V69" s="446"/>
      <c r="W69" s="446">
        <v>-1623.65</v>
      </c>
      <c r="X69" s="448">
        <v>79</v>
      </c>
      <c r="Y69" s="448">
        <v>1</v>
      </c>
      <c r="Z69" s="446">
        <v>1323</v>
      </c>
      <c r="AA69" s="269"/>
      <c r="AB69" s="446">
        <v>303761</v>
      </c>
      <c r="AC69" s="450">
        <f>AB69/VPI!R69</f>
        <v>7.5367968569355241</v>
      </c>
      <c r="AD69" s="452">
        <f t="shared" si="2"/>
        <v>124284</v>
      </c>
      <c r="AE69" s="450">
        <f>AD69/VPI!R69</f>
        <v>3.0836850700628937</v>
      </c>
      <c r="AF69" s="446">
        <v>428045</v>
      </c>
      <c r="AG69" s="446">
        <v>91565</v>
      </c>
      <c r="AH69" s="446">
        <v>102963</v>
      </c>
      <c r="AI69" s="272"/>
      <c r="AJ69" s="446">
        <v>0</v>
      </c>
      <c r="AK69" s="450">
        <f>AJ69/VPI!R69</f>
        <v>0</v>
      </c>
      <c r="AL69" s="452">
        <f t="shared" si="3"/>
        <v>54283</v>
      </c>
      <c r="AM69" s="450">
        <f>AL69/VPI!R69</f>
        <v>1.3468481595235433</v>
      </c>
      <c r="AN69" s="446">
        <v>54283</v>
      </c>
      <c r="AO69" s="272"/>
      <c r="AP69" s="541">
        <v>17.762210737998249</v>
      </c>
      <c r="AR69" s="178">
        <v>0</v>
      </c>
    </row>
    <row r="70" spans="1:47" x14ac:dyDescent="0.25">
      <c r="A70" s="193">
        <v>5514</v>
      </c>
      <c r="B70" s="454" t="s">
        <v>159</v>
      </c>
      <c r="C70" s="446">
        <v>2629540.54</v>
      </c>
      <c r="D70" s="446">
        <v>298082.06</v>
      </c>
      <c r="E70" s="446"/>
      <c r="F70" s="446">
        <v>0</v>
      </c>
      <c r="G70" s="446">
        <v>361.89999999999901</v>
      </c>
      <c r="H70" s="446">
        <v>5751.2</v>
      </c>
      <c r="I70" s="446">
        <v>38369.15</v>
      </c>
      <c r="J70" s="446">
        <v>38757.56</v>
      </c>
      <c r="K70" s="446">
        <v>9768</v>
      </c>
      <c r="L70" s="446">
        <v>236150</v>
      </c>
      <c r="M70" s="506">
        <f t="shared" si="4"/>
        <v>3256780.41</v>
      </c>
      <c r="N70" s="446">
        <v>8976.5499999999993</v>
      </c>
      <c r="O70" s="446">
        <v>5398.7</v>
      </c>
      <c r="P70" s="446">
        <v>117069.5</v>
      </c>
      <c r="Q70" s="446">
        <v>13227.83</v>
      </c>
      <c r="R70" s="446">
        <v>58693.599999999999</v>
      </c>
      <c r="S70" s="446">
        <v>599.7514876159355</v>
      </c>
      <c r="T70" s="506">
        <f t="shared" ref="T70:T133" si="5">SUM(M70:S70)</f>
        <v>3460746.3414876163</v>
      </c>
      <c r="U70" s="446">
        <v>-66722.64</v>
      </c>
      <c r="V70" s="446"/>
      <c r="W70" s="446">
        <v>-217.11</v>
      </c>
      <c r="X70" s="448">
        <v>72.5</v>
      </c>
      <c r="Y70" s="448">
        <v>1</v>
      </c>
      <c r="Z70" s="446">
        <v>1330</v>
      </c>
      <c r="AA70" s="269"/>
      <c r="AB70" s="446">
        <v>55891</v>
      </c>
      <c r="AC70" s="450">
        <f>AB70/VPI!R70</f>
        <v>1.2648305612688588</v>
      </c>
      <c r="AD70" s="452">
        <f t="shared" si="2"/>
        <v>58373</v>
      </c>
      <c r="AE70" s="450">
        <f>AD70/VPI!R70</f>
        <v>1.3209989864727254</v>
      </c>
      <c r="AF70" s="446">
        <v>114264</v>
      </c>
      <c r="AG70" s="446">
        <v>55755</v>
      </c>
      <c r="AH70" s="446">
        <v>104492</v>
      </c>
      <c r="AI70" s="272"/>
      <c r="AJ70" s="446">
        <v>0</v>
      </c>
      <c r="AK70" s="450">
        <f>AJ70/VPI!R70</f>
        <v>0</v>
      </c>
      <c r="AL70" s="452">
        <f t="shared" si="3"/>
        <v>20888</v>
      </c>
      <c r="AM70" s="450">
        <f>AL70/VPI!R70</f>
        <v>0.47270187979789097</v>
      </c>
      <c r="AN70" s="446">
        <v>20888</v>
      </c>
      <c r="AO70" s="272"/>
      <c r="AP70" s="541">
        <v>19.287789148594523</v>
      </c>
      <c r="AR70" s="178">
        <v>0</v>
      </c>
    </row>
    <row r="71" spans="1:47" x14ac:dyDescent="0.25">
      <c r="A71" s="193">
        <v>5515</v>
      </c>
      <c r="B71" s="454" t="s">
        <v>160</v>
      </c>
      <c r="C71" s="446">
        <v>2106818.2400000002</v>
      </c>
      <c r="D71" s="446">
        <v>173934.71</v>
      </c>
      <c r="E71" s="446"/>
      <c r="F71" s="446">
        <v>0</v>
      </c>
      <c r="G71" s="446">
        <v>13504.75</v>
      </c>
      <c r="H71" s="446">
        <v>5687.15</v>
      </c>
      <c r="I71" s="446">
        <v>0</v>
      </c>
      <c r="J71" s="446">
        <v>3763.97</v>
      </c>
      <c r="K71" s="446">
        <v>7251.05</v>
      </c>
      <c r="L71" s="446">
        <v>171011.95</v>
      </c>
      <c r="M71" s="506">
        <f t="shared" si="4"/>
        <v>2481971.8200000003</v>
      </c>
      <c r="N71" s="446">
        <v>3757.1</v>
      </c>
      <c r="O71" s="446">
        <v>31652.9</v>
      </c>
      <c r="P71" s="446">
        <v>135711.4</v>
      </c>
      <c r="Q71" s="446">
        <v>4012.21</v>
      </c>
      <c r="R71" s="446">
        <v>67994.25</v>
      </c>
      <c r="S71" s="446">
        <v>1882.9023858887099</v>
      </c>
      <c r="T71" s="506">
        <f t="shared" si="5"/>
        <v>2726982.5823858888</v>
      </c>
      <c r="U71" s="446">
        <v>-91679.65</v>
      </c>
      <c r="V71" s="446"/>
      <c r="W71" s="446">
        <v>-101.26</v>
      </c>
      <c r="X71" s="448">
        <v>81</v>
      </c>
      <c r="Y71" s="448">
        <v>1</v>
      </c>
      <c r="Z71" s="446">
        <v>859</v>
      </c>
      <c r="AA71" s="269"/>
      <c r="AB71" s="446">
        <v>61200</v>
      </c>
      <c r="AC71" s="450">
        <f>AB71/VPI!R71</f>
        <v>2.0688739693343297</v>
      </c>
      <c r="AD71" s="452">
        <f t="shared" ref="AD71:AD134" si="6">AF71-AB71</f>
        <v>153498</v>
      </c>
      <c r="AE71" s="450">
        <f>AD71/VPI!R71</f>
        <v>5.1890198781843289</v>
      </c>
      <c r="AF71" s="446">
        <v>214698</v>
      </c>
      <c r="AG71" s="446">
        <v>37127</v>
      </c>
      <c r="AH71" s="446">
        <v>55573</v>
      </c>
      <c r="AI71" s="272"/>
      <c r="AJ71" s="446">
        <v>0</v>
      </c>
      <c r="AK71" s="450">
        <f>AJ71/VPI!R71</f>
        <v>0</v>
      </c>
      <c r="AL71" s="452">
        <f t="shared" ref="AL71:AL134" si="7">AN71-AJ71</f>
        <v>12370</v>
      </c>
      <c r="AM71" s="450">
        <f>AL71/VPI!R71</f>
        <v>0.41816946079519046</v>
      </c>
      <c r="AN71" s="446">
        <v>12370</v>
      </c>
      <c r="AO71" s="272"/>
      <c r="AP71" s="541">
        <v>21.529358614449439</v>
      </c>
      <c r="AR71" s="178">
        <v>0</v>
      </c>
    </row>
    <row r="72" spans="1:47" x14ac:dyDescent="0.25">
      <c r="A72" s="193">
        <v>5516</v>
      </c>
      <c r="B72" s="454" t="s">
        <v>161</v>
      </c>
      <c r="C72" s="446">
        <v>6527575.4900000002</v>
      </c>
      <c r="D72" s="446">
        <v>957990.65</v>
      </c>
      <c r="E72" s="446"/>
      <c r="F72" s="446">
        <v>0</v>
      </c>
      <c r="G72" s="446">
        <v>144669.54999999999</v>
      </c>
      <c r="H72" s="446">
        <v>12823.4</v>
      </c>
      <c r="I72" s="446">
        <v>0</v>
      </c>
      <c r="J72" s="446">
        <v>128686.25</v>
      </c>
      <c r="K72" s="446">
        <v>47147.6</v>
      </c>
      <c r="L72" s="446">
        <v>694173.55</v>
      </c>
      <c r="M72" s="506">
        <f t="shared" si="4"/>
        <v>8513066.4900000002</v>
      </c>
      <c r="N72" s="446">
        <v>99596.35</v>
      </c>
      <c r="O72" s="446">
        <v>103666.8</v>
      </c>
      <c r="P72" s="446">
        <v>359177.05</v>
      </c>
      <c r="Q72" s="446">
        <v>108801.53</v>
      </c>
      <c r="R72" s="446">
        <v>251205.65</v>
      </c>
      <c r="S72" s="446">
        <v>15451.510862168481</v>
      </c>
      <c r="T72" s="506">
        <f t="shared" si="5"/>
        <v>9450965.380862169</v>
      </c>
      <c r="U72" s="446">
        <v>-170665.98</v>
      </c>
      <c r="V72" s="446"/>
      <c r="W72" s="446">
        <v>-3540.71</v>
      </c>
      <c r="X72" s="448">
        <v>78</v>
      </c>
      <c r="Y72" s="448">
        <v>1.2</v>
      </c>
      <c r="Z72" s="446">
        <v>2760</v>
      </c>
      <c r="AA72" s="269"/>
      <c r="AB72" s="446">
        <v>355815</v>
      </c>
      <c r="AC72" s="450">
        <f>AB72/VPI!R72</f>
        <v>3.3248092399687827</v>
      </c>
      <c r="AD72" s="452">
        <f t="shared" si="6"/>
        <v>396528</v>
      </c>
      <c r="AE72" s="450">
        <f>AD72/VPI!R72</f>
        <v>3.7052399654492967</v>
      </c>
      <c r="AF72" s="446">
        <v>752343</v>
      </c>
      <c r="AG72" s="446">
        <v>118806</v>
      </c>
      <c r="AH72" s="446">
        <v>202460</v>
      </c>
      <c r="AI72" s="272"/>
      <c r="AJ72" s="446">
        <v>0</v>
      </c>
      <c r="AK72" s="450">
        <f>AJ72/VPI!R72</f>
        <v>0</v>
      </c>
      <c r="AL72" s="452">
        <f t="shared" si="7"/>
        <v>30451</v>
      </c>
      <c r="AM72" s="450">
        <f>AL72/VPI!R72</f>
        <v>0.28454046672087857</v>
      </c>
      <c r="AN72" s="446">
        <v>30451</v>
      </c>
      <c r="AO72" s="272"/>
      <c r="AP72" s="541">
        <v>24.686827605079596</v>
      </c>
      <c r="AR72" s="178">
        <v>0</v>
      </c>
    </row>
    <row r="73" spans="1:47" x14ac:dyDescent="0.25">
      <c r="A73" s="193">
        <v>5518</v>
      </c>
      <c r="B73" s="454" t="s">
        <v>162</v>
      </c>
      <c r="C73" s="446">
        <v>10114571.98</v>
      </c>
      <c r="D73" s="446">
        <v>1165148.08</v>
      </c>
      <c r="E73" s="446"/>
      <c r="F73" s="446">
        <v>0</v>
      </c>
      <c r="G73" s="446">
        <v>434475.05</v>
      </c>
      <c r="H73" s="446">
        <v>80808.7</v>
      </c>
      <c r="I73" s="446">
        <v>0</v>
      </c>
      <c r="J73" s="446">
        <v>170429.47</v>
      </c>
      <c r="K73" s="446">
        <v>40923.449999999997</v>
      </c>
      <c r="L73" s="446">
        <v>1089067.8500000001</v>
      </c>
      <c r="M73" s="506">
        <f t="shared" si="4"/>
        <v>13095424.58</v>
      </c>
      <c r="N73" s="446">
        <v>164060.75</v>
      </c>
      <c r="O73" s="446">
        <v>407956.4</v>
      </c>
      <c r="P73" s="446">
        <v>366859.35</v>
      </c>
      <c r="Q73" s="446">
        <v>84559.98</v>
      </c>
      <c r="R73" s="446">
        <v>347212</v>
      </c>
      <c r="S73" s="446">
        <v>50554.088041553019</v>
      </c>
      <c r="T73" s="506">
        <f t="shared" si="5"/>
        <v>14516627.148041554</v>
      </c>
      <c r="U73" s="446">
        <v>-277762.42</v>
      </c>
      <c r="V73" s="446"/>
      <c r="W73" s="446">
        <v>-4213.5200000000004</v>
      </c>
      <c r="X73" s="448">
        <v>72.5</v>
      </c>
      <c r="Y73" s="448">
        <v>1</v>
      </c>
      <c r="Z73" s="446">
        <v>5731</v>
      </c>
      <c r="AA73" s="269"/>
      <c r="AB73" s="446">
        <v>949578</v>
      </c>
      <c r="AC73" s="450">
        <f>AB73/VPI!R73</f>
        <v>5.3167603657852291</v>
      </c>
      <c r="AD73" s="452">
        <f t="shared" si="6"/>
        <v>1198599</v>
      </c>
      <c r="AE73" s="450">
        <f>AD73/VPI!R73</f>
        <v>6.7110481262937958</v>
      </c>
      <c r="AF73" s="446">
        <v>2148177</v>
      </c>
      <c r="AG73" s="446">
        <v>409541</v>
      </c>
      <c r="AH73" s="446">
        <v>460519</v>
      </c>
      <c r="AI73" s="272"/>
      <c r="AJ73" s="446">
        <v>0</v>
      </c>
      <c r="AK73" s="450">
        <f>AJ73/VPI!R73</f>
        <v>0</v>
      </c>
      <c r="AL73" s="452">
        <f t="shared" si="7"/>
        <v>43552</v>
      </c>
      <c r="AM73" s="450">
        <f>AL73/VPI!R73</f>
        <v>0.24385100270928592</v>
      </c>
      <c r="AN73" s="446">
        <v>43552</v>
      </c>
      <c r="AO73" s="272"/>
      <c r="AP73" s="541">
        <v>13.718555942901784</v>
      </c>
      <c r="AR73" s="178">
        <v>0</v>
      </c>
    </row>
    <row r="74" spans="1:47" x14ac:dyDescent="0.25">
      <c r="A74" s="193">
        <v>5520</v>
      </c>
      <c r="B74" s="454" t="s">
        <v>163</v>
      </c>
      <c r="C74" s="446">
        <v>1684874.05</v>
      </c>
      <c r="D74" s="446">
        <v>245928.86</v>
      </c>
      <c r="E74" s="446"/>
      <c r="F74" s="446">
        <v>0</v>
      </c>
      <c r="G74" s="446">
        <v>51481.4</v>
      </c>
      <c r="H74" s="446">
        <v>2891.55</v>
      </c>
      <c r="I74" s="446">
        <v>0</v>
      </c>
      <c r="J74" s="446">
        <v>35273.17</v>
      </c>
      <c r="K74" s="446">
        <v>-1251.3499999999999</v>
      </c>
      <c r="L74" s="446">
        <v>195369.1</v>
      </c>
      <c r="M74" s="506">
        <f t="shared" si="4"/>
        <v>2214566.7799999998</v>
      </c>
      <c r="N74" s="446">
        <v>5690.95</v>
      </c>
      <c r="O74" s="446">
        <v>3292.4</v>
      </c>
      <c r="P74" s="446">
        <v>140042.95000000001</v>
      </c>
      <c r="Q74" s="446">
        <v>4373.26</v>
      </c>
      <c r="R74" s="446">
        <v>117468.55</v>
      </c>
      <c r="S74" s="446">
        <v>5334.4878455393946</v>
      </c>
      <c r="T74" s="506">
        <f t="shared" si="5"/>
        <v>2490769.3778455392</v>
      </c>
      <c r="U74" s="446">
        <v>-54423.63</v>
      </c>
      <c r="V74" s="446"/>
      <c r="W74" s="446">
        <v>-470.39</v>
      </c>
      <c r="X74" s="448">
        <v>73</v>
      </c>
      <c r="Y74" s="448">
        <v>1</v>
      </c>
      <c r="Z74" s="446">
        <v>1036</v>
      </c>
      <c r="AA74" s="269"/>
      <c r="AB74" s="446">
        <v>22432</v>
      </c>
      <c r="AC74" s="450">
        <f>AB74/VPI!R74</f>
        <v>0.75484037681627081</v>
      </c>
      <c r="AD74" s="452">
        <f t="shared" si="6"/>
        <v>191271</v>
      </c>
      <c r="AE74" s="450">
        <f>AD74/VPI!R74</f>
        <v>6.4362996484497561</v>
      </c>
      <c r="AF74" s="446">
        <v>213703</v>
      </c>
      <c r="AG74" s="446">
        <v>68677</v>
      </c>
      <c r="AH74" s="446">
        <v>82853</v>
      </c>
      <c r="AI74" s="272"/>
      <c r="AJ74" s="446">
        <v>0</v>
      </c>
      <c r="AK74" s="450">
        <f>AJ74/VPI!R74</f>
        <v>0</v>
      </c>
      <c r="AL74" s="452">
        <f t="shared" si="7"/>
        <v>92890</v>
      </c>
      <c r="AM74" s="450">
        <f>AL74/VPI!R74</f>
        <v>3.1257633114507577</v>
      </c>
      <c r="AN74" s="446">
        <v>92890</v>
      </c>
      <c r="AO74" s="272"/>
      <c r="AP74" s="541">
        <v>18.040453330182526</v>
      </c>
      <c r="AR74" s="178">
        <v>0</v>
      </c>
    </row>
    <row r="75" spans="1:47" x14ac:dyDescent="0.25">
      <c r="A75" s="193">
        <v>5521</v>
      </c>
      <c r="B75" s="454" t="s">
        <v>164</v>
      </c>
      <c r="C75" s="446">
        <v>2634645.0499999998</v>
      </c>
      <c r="D75" s="446">
        <v>224392.34</v>
      </c>
      <c r="E75" s="446"/>
      <c r="F75" s="446">
        <v>0</v>
      </c>
      <c r="G75" s="446">
        <v>226155.15</v>
      </c>
      <c r="H75" s="446">
        <v>3265.15</v>
      </c>
      <c r="I75" s="446">
        <v>0</v>
      </c>
      <c r="J75" s="446">
        <v>60459.64</v>
      </c>
      <c r="K75" s="446">
        <v>18552.5</v>
      </c>
      <c r="L75" s="446">
        <v>261565.7</v>
      </c>
      <c r="M75" s="506">
        <f t="shared" si="4"/>
        <v>3429035.53</v>
      </c>
      <c r="N75" s="446">
        <v>27188</v>
      </c>
      <c r="O75" s="446">
        <v>0</v>
      </c>
      <c r="P75" s="446">
        <v>105834.45</v>
      </c>
      <c r="Q75" s="446">
        <v>4949.3500000000004</v>
      </c>
      <c r="R75" s="446">
        <v>67499.75</v>
      </c>
      <c r="S75" s="446">
        <v>22508.247241873058</v>
      </c>
      <c r="T75" s="506">
        <f t="shared" si="5"/>
        <v>3657015.3272418729</v>
      </c>
      <c r="U75" s="446">
        <v>-44244.07</v>
      </c>
      <c r="V75" s="446"/>
      <c r="W75" s="446">
        <v>-1055.0899999999999</v>
      </c>
      <c r="X75" s="448">
        <v>73</v>
      </c>
      <c r="Y75" s="448">
        <v>1</v>
      </c>
      <c r="Z75" s="446">
        <v>1148</v>
      </c>
      <c r="AA75" s="269"/>
      <c r="AB75" s="446">
        <v>59618</v>
      </c>
      <c r="AC75" s="450">
        <f>AB75/VPI!R75</f>
        <v>1.2758330490127212</v>
      </c>
      <c r="AD75" s="452">
        <f t="shared" si="6"/>
        <v>231868</v>
      </c>
      <c r="AE75" s="450">
        <f>AD75/VPI!R75</f>
        <v>4.9620057266007187</v>
      </c>
      <c r="AF75" s="446">
        <v>291486</v>
      </c>
      <c r="AG75" s="446">
        <v>81765</v>
      </c>
      <c r="AH75" s="446">
        <v>91943</v>
      </c>
      <c r="AI75" s="272"/>
      <c r="AJ75" s="446">
        <v>0</v>
      </c>
      <c r="AK75" s="450">
        <f>AJ75/VPI!R75</f>
        <v>0</v>
      </c>
      <c r="AL75" s="452">
        <f t="shared" si="7"/>
        <v>45116</v>
      </c>
      <c r="AM75" s="450">
        <f>AL75/VPI!R75</f>
        <v>0.96548833975071169</v>
      </c>
      <c r="AN75" s="446">
        <v>45116</v>
      </c>
      <c r="AO75" s="272"/>
      <c r="AP75" s="541">
        <v>29.360762269607907</v>
      </c>
      <c r="AR75" s="178">
        <v>0</v>
      </c>
    </row>
    <row r="76" spans="1:47" x14ac:dyDescent="0.25">
      <c r="A76" s="193">
        <v>5522</v>
      </c>
      <c r="B76" s="454" t="s">
        <v>165</v>
      </c>
      <c r="C76" s="446">
        <v>1454531.96</v>
      </c>
      <c r="D76" s="446">
        <v>162353.18</v>
      </c>
      <c r="E76" s="446"/>
      <c r="F76" s="446">
        <v>0</v>
      </c>
      <c r="G76" s="446">
        <v>3356.6</v>
      </c>
      <c r="H76" s="446">
        <v>1431.65</v>
      </c>
      <c r="I76" s="446">
        <v>0</v>
      </c>
      <c r="J76" s="446">
        <v>13099.29</v>
      </c>
      <c r="K76" s="446">
        <v>2912.9</v>
      </c>
      <c r="L76" s="446">
        <v>138584.48000000001</v>
      </c>
      <c r="M76" s="506">
        <f t="shared" si="4"/>
        <v>1776270.0599999998</v>
      </c>
      <c r="N76" s="446">
        <v>15179</v>
      </c>
      <c r="O76" s="446">
        <v>0</v>
      </c>
      <c r="P76" s="446">
        <v>41181.75</v>
      </c>
      <c r="Q76" s="446">
        <v>7370.48</v>
      </c>
      <c r="R76" s="446">
        <v>5523.45</v>
      </c>
      <c r="S76" s="446">
        <v>469.77148428407889</v>
      </c>
      <c r="T76" s="506">
        <f t="shared" si="5"/>
        <v>1845994.5114842837</v>
      </c>
      <c r="U76" s="446">
        <v>-4594.8</v>
      </c>
      <c r="V76" s="446"/>
      <c r="W76" s="446">
        <v>-99.51</v>
      </c>
      <c r="X76" s="448">
        <v>75</v>
      </c>
      <c r="Y76" s="448">
        <v>1</v>
      </c>
      <c r="Z76" s="446">
        <v>749</v>
      </c>
      <c r="AA76" s="269"/>
      <c r="AB76" s="446">
        <v>1672</v>
      </c>
      <c r="AC76" s="450">
        <f>AB76/VPI!R76</f>
        <v>7.0472559477603169E-2</v>
      </c>
      <c r="AD76" s="452">
        <f t="shared" si="6"/>
        <v>216512</v>
      </c>
      <c r="AE76" s="450">
        <f>AD76/VPI!R76</f>
        <v>9.1256906684299146</v>
      </c>
      <c r="AF76" s="446">
        <v>218184</v>
      </c>
      <c r="AG76" s="446">
        <v>53724</v>
      </c>
      <c r="AH76" s="446">
        <v>60410</v>
      </c>
      <c r="AI76" s="272"/>
      <c r="AJ76" s="446">
        <v>0</v>
      </c>
      <c r="AK76" s="450">
        <f>AJ76/VPI!R76</f>
        <v>0</v>
      </c>
      <c r="AL76" s="452">
        <f t="shared" si="7"/>
        <v>26942</v>
      </c>
      <c r="AM76" s="450">
        <f>AL76/VPI!R76</f>
        <v>1.1355691970368329</v>
      </c>
      <c r="AN76" s="446">
        <v>26942</v>
      </c>
      <c r="AO76" s="272"/>
      <c r="AP76" s="541">
        <v>19.176608028478487</v>
      </c>
      <c r="AR76" s="178">
        <v>0</v>
      </c>
    </row>
    <row r="77" spans="1:47" x14ac:dyDescent="0.25">
      <c r="A77" s="193">
        <v>5523</v>
      </c>
      <c r="B77" s="454" t="s">
        <v>166</v>
      </c>
      <c r="C77" s="446">
        <v>4913378.75</v>
      </c>
      <c r="D77" s="446">
        <v>698378.7</v>
      </c>
      <c r="E77" s="446"/>
      <c r="F77" s="446">
        <v>15230</v>
      </c>
      <c r="G77" s="446">
        <v>31577.1</v>
      </c>
      <c r="H77" s="446">
        <v>4804.1000000000004</v>
      </c>
      <c r="I77" s="446">
        <v>-54197.1</v>
      </c>
      <c r="J77" s="446">
        <v>97209.85</v>
      </c>
      <c r="K77" s="446">
        <v>16486.45</v>
      </c>
      <c r="L77" s="446">
        <v>636018.75</v>
      </c>
      <c r="M77" s="506">
        <f t="shared" si="4"/>
        <v>6358886.5999999996</v>
      </c>
      <c r="N77" s="446">
        <v>10619.3</v>
      </c>
      <c r="O77" s="446">
        <v>0</v>
      </c>
      <c r="P77" s="446">
        <v>157526.39999999999</v>
      </c>
      <c r="Q77" s="446">
        <v>16967.64</v>
      </c>
      <c r="R77" s="446">
        <v>119698.55</v>
      </c>
      <c r="S77" s="446">
        <v>3569.331242945947</v>
      </c>
      <c r="T77" s="506">
        <f t="shared" si="5"/>
        <v>6667267.8212429453</v>
      </c>
      <c r="U77" s="446">
        <v>-69486.94</v>
      </c>
      <c r="V77" s="446"/>
      <c r="W77" s="446">
        <v>-970.39</v>
      </c>
      <c r="X77" s="448">
        <v>72</v>
      </c>
      <c r="Y77" s="448">
        <v>1.25</v>
      </c>
      <c r="Z77" s="446">
        <v>2694</v>
      </c>
      <c r="AA77" s="269"/>
      <c r="AB77" s="446">
        <v>177246</v>
      </c>
      <c r="AC77" s="450">
        <f>AB77/VPI!R77</f>
        <v>2.0644131860578887</v>
      </c>
      <c r="AD77" s="452">
        <f t="shared" si="6"/>
        <v>367538</v>
      </c>
      <c r="AE77" s="450">
        <f>AD77/VPI!R77</f>
        <v>4.280775270400146</v>
      </c>
      <c r="AF77" s="446">
        <v>544784</v>
      </c>
      <c r="AG77" s="446">
        <v>113226</v>
      </c>
      <c r="AH77" s="446">
        <v>191580</v>
      </c>
      <c r="AI77" s="272"/>
      <c r="AJ77" s="446">
        <v>0</v>
      </c>
      <c r="AK77" s="450">
        <f>AJ77/VPI!R77</f>
        <v>0</v>
      </c>
      <c r="AL77" s="452">
        <f t="shared" si="7"/>
        <v>10033</v>
      </c>
      <c r="AM77" s="450">
        <f>AL77/VPI!R77</f>
        <v>0.11685599390518711</v>
      </c>
      <c r="AN77" s="446">
        <v>10033</v>
      </c>
      <c r="AO77" s="272"/>
      <c r="AP77" s="541">
        <v>18.865912422587673</v>
      </c>
      <c r="AR77" s="178">
        <v>0</v>
      </c>
    </row>
    <row r="78" spans="1:47" x14ac:dyDescent="0.25">
      <c r="A78" s="193">
        <v>5527</v>
      </c>
      <c r="B78" s="454" t="s">
        <v>167</v>
      </c>
      <c r="C78" s="446">
        <v>2440482.67</v>
      </c>
      <c r="D78" s="446">
        <v>296196.84000000003</v>
      </c>
      <c r="E78" s="446"/>
      <c r="F78" s="446">
        <v>0</v>
      </c>
      <c r="G78" s="446">
        <v>4907.2</v>
      </c>
      <c r="H78" s="446">
        <v>1958.65</v>
      </c>
      <c r="I78" s="446">
        <v>0</v>
      </c>
      <c r="J78" s="446">
        <v>36272.03</v>
      </c>
      <c r="K78" s="446">
        <v>202.75</v>
      </c>
      <c r="L78" s="446">
        <v>240323.20000000001</v>
      </c>
      <c r="M78" s="506">
        <f t="shared" si="4"/>
        <v>3020343.34</v>
      </c>
      <c r="N78" s="446">
        <v>9803.75</v>
      </c>
      <c r="O78" s="446">
        <v>0</v>
      </c>
      <c r="P78" s="446">
        <v>104802.4</v>
      </c>
      <c r="Q78" s="446">
        <v>10734.48</v>
      </c>
      <c r="R78" s="446">
        <v>52459.55</v>
      </c>
      <c r="S78" s="446">
        <v>673.60320479754478</v>
      </c>
      <c r="T78" s="506">
        <f t="shared" si="5"/>
        <v>3198817.123204797</v>
      </c>
      <c r="U78" s="446">
        <v>-30067.71</v>
      </c>
      <c r="V78" s="446"/>
      <c r="W78" s="446">
        <v>-82.51</v>
      </c>
      <c r="X78" s="448">
        <v>74</v>
      </c>
      <c r="Y78" s="448">
        <v>1</v>
      </c>
      <c r="Z78" s="446">
        <v>1153</v>
      </c>
      <c r="AA78" s="269"/>
      <c r="AB78" s="446">
        <v>95284</v>
      </c>
      <c r="AC78" s="450">
        <f>AB78/VPI!R78</f>
        <v>2.349084879254332</v>
      </c>
      <c r="AD78" s="452">
        <f t="shared" si="6"/>
        <v>239826</v>
      </c>
      <c r="AE78" s="450">
        <f>AD78/VPI!R78</f>
        <v>5.9125522674536066</v>
      </c>
      <c r="AF78" s="446">
        <v>335110</v>
      </c>
      <c r="AG78" s="446">
        <v>32220</v>
      </c>
      <c r="AH78" s="446">
        <v>68735</v>
      </c>
      <c r="AI78" s="272"/>
      <c r="AJ78" s="446">
        <v>0</v>
      </c>
      <c r="AK78" s="450">
        <f>AJ78/VPI!R78</f>
        <v>0</v>
      </c>
      <c r="AL78" s="452">
        <f t="shared" si="7"/>
        <v>14157</v>
      </c>
      <c r="AM78" s="450">
        <f>AL78/VPI!R78</f>
        <v>0.34901971617064331</v>
      </c>
      <c r="AN78" s="446">
        <v>14157</v>
      </c>
      <c r="AO78" s="272"/>
      <c r="AP78" s="541">
        <v>24.484930704747228</v>
      </c>
      <c r="AR78" s="178">
        <v>0</v>
      </c>
    </row>
    <row r="79" spans="1:47" x14ac:dyDescent="0.25">
      <c r="A79" s="193">
        <v>5529</v>
      </c>
      <c r="B79" s="454" t="s">
        <v>168</v>
      </c>
      <c r="C79" s="446">
        <v>1168354.29</v>
      </c>
      <c r="D79" s="446">
        <v>107832.98</v>
      </c>
      <c r="E79" s="446"/>
      <c r="F79" s="446">
        <v>0</v>
      </c>
      <c r="G79" s="446">
        <v>10428.700000000001</v>
      </c>
      <c r="H79" s="446">
        <v>1638.55</v>
      </c>
      <c r="I79" s="446">
        <v>0</v>
      </c>
      <c r="J79" s="446">
        <v>17460.79</v>
      </c>
      <c r="K79" s="446">
        <v>2922.75</v>
      </c>
      <c r="L79" s="446">
        <v>120398.6</v>
      </c>
      <c r="M79" s="506">
        <f t="shared" si="4"/>
        <v>1429036.6600000001</v>
      </c>
      <c r="N79" s="446">
        <v>1847.9</v>
      </c>
      <c r="O79" s="446">
        <v>0</v>
      </c>
      <c r="P79" s="446">
        <v>38299.4</v>
      </c>
      <c r="Q79" s="446">
        <v>0</v>
      </c>
      <c r="R79" s="446">
        <v>4689.6000000000004</v>
      </c>
      <c r="S79" s="446">
        <v>1183.9085143271657</v>
      </c>
      <c r="T79" s="506">
        <f t="shared" si="5"/>
        <v>1475057.4685143272</v>
      </c>
      <c r="U79" s="446">
        <v>-16246.58</v>
      </c>
      <c r="V79" s="446"/>
      <c r="W79" s="446">
        <v>-150.33000000000001</v>
      </c>
      <c r="X79" s="448">
        <v>70</v>
      </c>
      <c r="Y79" s="448">
        <v>1</v>
      </c>
      <c r="Z79" s="446">
        <v>618</v>
      </c>
      <c r="AA79" s="269"/>
      <c r="AB79" s="446">
        <v>30193</v>
      </c>
      <c r="AC79" s="450">
        <f>AB79/VPI!R79</f>
        <v>1.4948893995881471</v>
      </c>
      <c r="AD79" s="452">
        <f t="shared" si="6"/>
        <v>152101</v>
      </c>
      <c r="AE79" s="450">
        <f>AD79/VPI!R79</f>
        <v>7.53069163603341</v>
      </c>
      <c r="AF79" s="446">
        <v>182294</v>
      </c>
      <c r="AG79" s="446">
        <v>17598</v>
      </c>
      <c r="AH79" s="446">
        <v>49471</v>
      </c>
      <c r="AI79" s="272"/>
      <c r="AJ79" s="446">
        <v>0</v>
      </c>
      <c r="AK79" s="450">
        <f>AJ79/VPI!R79</f>
        <v>0</v>
      </c>
      <c r="AL79" s="452">
        <f t="shared" si="7"/>
        <v>-10471</v>
      </c>
      <c r="AM79" s="450">
        <f>AL79/VPI!R79</f>
        <v>-0.51843099072922494</v>
      </c>
      <c r="AN79" s="446">
        <v>-10471</v>
      </c>
      <c r="AO79" s="272"/>
      <c r="AP79" s="541">
        <v>25.238175228944318</v>
      </c>
      <c r="AR79" s="178">
        <v>0</v>
      </c>
    </row>
    <row r="80" spans="1:47" x14ac:dyDescent="0.25">
      <c r="A80" s="193">
        <v>5530</v>
      </c>
      <c r="B80" s="454" t="s">
        <v>169</v>
      </c>
      <c r="C80" s="446">
        <v>1078526.7</v>
      </c>
      <c r="D80" s="446">
        <v>176838.16</v>
      </c>
      <c r="E80" s="446"/>
      <c r="F80" s="446">
        <v>0</v>
      </c>
      <c r="G80" s="446">
        <v>28292.05</v>
      </c>
      <c r="H80" s="446">
        <v>333.15</v>
      </c>
      <c r="I80" s="446">
        <v>0</v>
      </c>
      <c r="J80" s="446">
        <v>808.22</v>
      </c>
      <c r="K80" s="446">
        <v>674.5</v>
      </c>
      <c r="L80" s="446">
        <v>126412.85</v>
      </c>
      <c r="M80" s="506">
        <f t="shared" si="4"/>
        <v>1411885.63</v>
      </c>
      <c r="N80" s="446">
        <v>18495.150000000001</v>
      </c>
      <c r="O80" s="446">
        <v>708.4</v>
      </c>
      <c r="P80" s="446">
        <v>13194.15</v>
      </c>
      <c r="Q80" s="446">
        <v>0</v>
      </c>
      <c r="R80" s="446">
        <v>0</v>
      </c>
      <c r="S80" s="446">
        <v>2808.396113805381</v>
      </c>
      <c r="T80" s="506">
        <f t="shared" si="5"/>
        <v>1447091.7261138051</v>
      </c>
      <c r="U80" s="446">
        <v>-3293.75</v>
      </c>
      <c r="V80" s="446"/>
      <c r="W80" s="446">
        <v>-3.85</v>
      </c>
      <c r="X80" s="448">
        <v>76</v>
      </c>
      <c r="Y80" s="448">
        <v>1.2</v>
      </c>
      <c r="Z80" s="446">
        <v>567</v>
      </c>
      <c r="AA80" s="269"/>
      <c r="AB80" s="446">
        <v>89550</v>
      </c>
      <c r="AC80" s="450">
        <f>AB80/VPI!R80</f>
        <v>4.8951052348832889</v>
      </c>
      <c r="AD80" s="452">
        <f t="shared" si="6"/>
        <v>468955</v>
      </c>
      <c r="AE80" s="450">
        <f>AD80/VPI!R80</f>
        <v>25.634663042151786</v>
      </c>
      <c r="AF80" s="446">
        <v>558505</v>
      </c>
      <c r="AG80" s="446">
        <v>16110</v>
      </c>
      <c r="AH80" s="446">
        <v>45610</v>
      </c>
      <c r="AI80" s="272"/>
      <c r="AJ80" s="446">
        <v>0</v>
      </c>
      <c r="AK80" s="450">
        <f>AJ80/VPI!R80</f>
        <v>0</v>
      </c>
      <c r="AL80" s="452">
        <f t="shared" si="7"/>
        <v>42670</v>
      </c>
      <c r="AM80" s="450">
        <f>AL80/VPI!R80</f>
        <v>2.3324862129812387</v>
      </c>
      <c r="AN80" s="446">
        <v>42670</v>
      </c>
      <c r="AO80" s="272"/>
      <c r="AP80" s="541">
        <v>19.795437968271578</v>
      </c>
      <c r="AR80" s="178">
        <v>0</v>
      </c>
    </row>
    <row r="81" spans="1:44" x14ac:dyDescent="0.25">
      <c r="A81" s="193">
        <v>5531</v>
      </c>
      <c r="B81" s="454" t="s">
        <v>170</v>
      </c>
      <c r="C81" s="446">
        <v>846903.14</v>
      </c>
      <c r="D81" s="446">
        <v>79070.679999999993</v>
      </c>
      <c r="E81" s="446"/>
      <c r="F81" s="446">
        <v>0</v>
      </c>
      <c r="G81" s="446">
        <v>8496.6</v>
      </c>
      <c r="H81" s="446">
        <v>720.6</v>
      </c>
      <c r="I81" s="446">
        <v>0</v>
      </c>
      <c r="J81" s="446">
        <v>10707.29</v>
      </c>
      <c r="K81" s="446">
        <v>-352.25</v>
      </c>
      <c r="L81" s="446">
        <v>78103.3</v>
      </c>
      <c r="M81" s="506">
        <f t="shared" si="4"/>
        <v>1023649.3600000001</v>
      </c>
      <c r="N81" s="446">
        <v>19757.3</v>
      </c>
      <c r="O81" s="446">
        <v>0</v>
      </c>
      <c r="P81" s="446">
        <v>22086.05</v>
      </c>
      <c r="Q81" s="446">
        <v>2180.14</v>
      </c>
      <c r="R81" s="446">
        <v>22071.25</v>
      </c>
      <c r="S81" s="446">
        <v>904.29232495028702</v>
      </c>
      <c r="T81" s="506">
        <f t="shared" si="5"/>
        <v>1090648.3923249503</v>
      </c>
      <c r="U81" s="446">
        <v>-2440.64</v>
      </c>
      <c r="V81" s="446"/>
      <c r="W81" s="446">
        <v>-107.79</v>
      </c>
      <c r="X81" s="448">
        <v>74</v>
      </c>
      <c r="Y81" s="448">
        <v>1</v>
      </c>
      <c r="Z81" s="446">
        <v>419</v>
      </c>
      <c r="AA81" s="269"/>
      <c r="AB81" s="446">
        <v>114716</v>
      </c>
      <c r="AC81" s="450">
        <f>AB81/VPI!R81</f>
        <v>8.2885230664980352</v>
      </c>
      <c r="AD81" s="452">
        <f t="shared" si="6"/>
        <v>25488</v>
      </c>
      <c r="AE81" s="450">
        <f>AD81/VPI!R81</f>
        <v>1.8415728923506915</v>
      </c>
      <c r="AF81" s="446">
        <v>140204</v>
      </c>
      <c r="AG81" s="446">
        <v>12047</v>
      </c>
      <c r="AH81" s="446">
        <v>33704</v>
      </c>
      <c r="AI81" s="272"/>
      <c r="AJ81" s="446">
        <v>0</v>
      </c>
      <c r="AK81" s="450">
        <f>AJ81/VPI!R81</f>
        <v>0</v>
      </c>
      <c r="AL81" s="452">
        <f t="shared" si="7"/>
        <v>27135</v>
      </c>
      <c r="AM81" s="450">
        <f>AL81/VPI!R81</f>
        <v>1.9605728356064036</v>
      </c>
      <c r="AN81" s="446">
        <v>27135</v>
      </c>
      <c r="AO81" s="272"/>
      <c r="AP81" s="541">
        <v>23.629442225303116</v>
      </c>
      <c r="AR81" s="178">
        <v>0</v>
      </c>
    </row>
    <row r="82" spans="1:44" x14ac:dyDescent="0.25">
      <c r="A82" s="193">
        <v>5533</v>
      </c>
      <c r="B82" s="454" t="s">
        <v>171</v>
      </c>
      <c r="C82" s="446">
        <v>1488046.92</v>
      </c>
      <c r="D82" s="446">
        <v>214173.52</v>
      </c>
      <c r="E82" s="446"/>
      <c r="F82" s="446">
        <v>0</v>
      </c>
      <c r="G82" s="446">
        <v>61118.65</v>
      </c>
      <c r="H82" s="446">
        <v>546.75</v>
      </c>
      <c r="I82" s="446">
        <v>47228.4</v>
      </c>
      <c r="J82" s="446">
        <v>30627.98</v>
      </c>
      <c r="K82" s="446">
        <v>9054.9</v>
      </c>
      <c r="L82" s="446">
        <v>144487.20000000001</v>
      </c>
      <c r="M82" s="506">
        <f t="shared" si="4"/>
        <v>1995284.3199999996</v>
      </c>
      <c r="N82" s="446">
        <v>752.3</v>
      </c>
      <c r="O82" s="446">
        <v>0</v>
      </c>
      <c r="P82" s="446">
        <v>51951.35</v>
      </c>
      <c r="Q82" s="446">
        <v>55.75</v>
      </c>
      <c r="R82" s="446">
        <v>288547.34999999998</v>
      </c>
      <c r="S82" s="446">
        <v>6049.9444446241196</v>
      </c>
      <c r="T82" s="506">
        <f t="shared" si="5"/>
        <v>2342641.0144446241</v>
      </c>
      <c r="U82" s="446">
        <v>-17655.150000000001</v>
      </c>
      <c r="V82" s="446"/>
      <c r="W82" s="446">
        <v>-199.23</v>
      </c>
      <c r="X82" s="448">
        <v>73</v>
      </c>
      <c r="Y82" s="448">
        <v>1</v>
      </c>
      <c r="Z82" s="446">
        <v>829</v>
      </c>
      <c r="AA82" s="269"/>
      <c r="AB82" s="446">
        <v>12175</v>
      </c>
      <c r="AC82" s="450">
        <f>AB82/VPI!R82</f>
        <v>0.44807614472167057</v>
      </c>
      <c r="AD82" s="452">
        <f t="shared" si="6"/>
        <v>84475</v>
      </c>
      <c r="AE82" s="450">
        <f>AD82/VPI!R82</f>
        <v>3.108930786477464</v>
      </c>
      <c r="AF82" s="446">
        <v>96650</v>
      </c>
      <c r="AG82" s="446">
        <v>23721</v>
      </c>
      <c r="AH82" s="446">
        <v>66685</v>
      </c>
      <c r="AI82" s="272"/>
      <c r="AJ82" s="446">
        <v>0</v>
      </c>
      <c r="AK82" s="450">
        <f>AJ82/VPI!R82</f>
        <v>0</v>
      </c>
      <c r="AL82" s="452">
        <f t="shared" si="7"/>
        <v>71413</v>
      </c>
      <c r="AM82" s="450">
        <f>AL82/VPI!R82</f>
        <v>2.6282104084606703</v>
      </c>
      <c r="AN82" s="446">
        <v>71413</v>
      </c>
      <c r="AO82" s="272"/>
      <c r="AP82" s="541">
        <v>15.767792128624857</v>
      </c>
      <c r="AR82" s="178">
        <v>0</v>
      </c>
    </row>
    <row r="83" spans="1:44" x14ac:dyDescent="0.25">
      <c r="A83" s="193">
        <v>5534</v>
      </c>
      <c r="B83" s="454" t="s">
        <v>172</v>
      </c>
      <c r="C83" s="446">
        <v>478539.65</v>
      </c>
      <c r="D83" s="446">
        <v>84003.25</v>
      </c>
      <c r="E83" s="446"/>
      <c r="F83" s="446">
        <v>0</v>
      </c>
      <c r="G83" s="446">
        <v>47438.3</v>
      </c>
      <c r="H83" s="446">
        <v>-354.85</v>
      </c>
      <c r="I83" s="446">
        <v>0</v>
      </c>
      <c r="J83" s="446">
        <v>17090.21</v>
      </c>
      <c r="K83" s="446">
        <v>861</v>
      </c>
      <c r="L83" s="446">
        <v>94776.85</v>
      </c>
      <c r="M83" s="506">
        <f t="shared" si="4"/>
        <v>722354.41</v>
      </c>
      <c r="N83" s="446">
        <v>27496.9</v>
      </c>
      <c r="O83" s="446">
        <v>0</v>
      </c>
      <c r="P83" s="446">
        <v>20741.5</v>
      </c>
      <c r="Q83" s="446">
        <v>0</v>
      </c>
      <c r="R83" s="446">
        <v>13270.8</v>
      </c>
      <c r="S83" s="446">
        <v>4619.3206686608291</v>
      </c>
      <c r="T83" s="506">
        <f t="shared" si="5"/>
        <v>788482.93066866091</v>
      </c>
      <c r="U83" s="446">
        <v>-65.14</v>
      </c>
      <c r="V83" s="446"/>
      <c r="W83" s="446">
        <v>0</v>
      </c>
      <c r="X83" s="448">
        <v>73</v>
      </c>
      <c r="Y83" s="448">
        <v>1.2</v>
      </c>
      <c r="Z83" s="446">
        <v>266</v>
      </c>
      <c r="AA83" s="269"/>
      <c r="AB83" s="446">
        <v>7804</v>
      </c>
      <c r="AC83" s="450">
        <f>AB83/VPI!R83</f>
        <v>0.80112786775077593</v>
      </c>
      <c r="AD83" s="452">
        <f t="shared" si="6"/>
        <v>33477</v>
      </c>
      <c r="AE83" s="450">
        <f>AD83/VPI!R83</f>
        <v>3.4366168155680068</v>
      </c>
      <c r="AF83" s="446">
        <v>41281</v>
      </c>
      <c r="AG83" s="446">
        <v>15166</v>
      </c>
      <c r="AH83" s="446">
        <v>21317</v>
      </c>
      <c r="AI83" s="272"/>
      <c r="AJ83" s="446">
        <v>0</v>
      </c>
      <c r="AK83" s="450">
        <f>AJ83/VPI!R83</f>
        <v>0</v>
      </c>
      <c r="AL83" s="452">
        <f t="shared" si="7"/>
        <v>12201</v>
      </c>
      <c r="AM83" s="450">
        <f>AL83/VPI!R83</f>
        <v>1.2525065497728365</v>
      </c>
      <c r="AN83" s="446">
        <v>12201</v>
      </c>
      <c r="AO83" s="272"/>
      <c r="AP83" s="541">
        <v>28.041482905053378</v>
      </c>
      <c r="AR83" s="178">
        <v>0</v>
      </c>
    </row>
    <row r="84" spans="1:44" x14ac:dyDescent="0.25">
      <c r="A84" s="193">
        <v>5535</v>
      </c>
      <c r="B84" s="454" t="s">
        <v>29</v>
      </c>
      <c r="C84" s="446">
        <v>1424371.91</v>
      </c>
      <c r="D84" s="446">
        <v>148080</v>
      </c>
      <c r="E84" s="446"/>
      <c r="F84" s="446">
        <v>0</v>
      </c>
      <c r="G84" s="446">
        <v>-9502</v>
      </c>
      <c r="H84" s="446">
        <v>3367.85</v>
      </c>
      <c r="I84" s="446">
        <v>0</v>
      </c>
      <c r="J84" s="446">
        <v>6266.37</v>
      </c>
      <c r="K84" s="446">
        <v>1379.3</v>
      </c>
      <c r="L84" s="446">
        <v>144966.9</v>
      </c>
      <c r="M84" s="506">
        <f t="shared" si="4"/>
        <v>1718930.33</v>
      </c>
      <c r="N84" s="446">
        <v>44895</v>
      </c>
      <c r="O84" s="446">
        <v>0</v>
      </c>
      <c r="P84" s="446">
        <v>35709.599999999999</v>
      </c>
      <c r="Q84" s="446">
        <v>410.86</v>
      </c>
      <c r="R84" s="446">
        <v>-518.95000000000005</v>
      </c>
      <c r="S84" s="446">
        <v>0</v>
      </c>
      <c r="T84" s="506">
        <f t="shared" si="5"/>
        <v>1799426.8400000003</v>
      </c>
      <c r="U84" s="446">
        <v>-31282.47</v>
      </c>
      <c r="V84" s="446"/>
      <c r="W84" s="446">
        <v>-59.19</v>
      </c>
      <c r="X84" s="448">
        <v>75</v>
      </c>
      <c r="Y84" s="448">
        <v>1</v>
      </c>
      <c r="Z84" s="446">
        <v>784</v>
      </c>
      <c r="AA84" s="269"/>
      <c r="AB84" s="446">
        <v>0</v>
      </c>
      <c r="AC84" s="450">
        <f>AB84/VPI!R84</f>
        <v>0</v>
      </c>
      <c r="AD84" s="452">
        <f t="shared" si="6"/>
        <v>70383</v>
      </c>
      <c r="AE84" s="450">
        <f>AD84/VPI!R84</f>
        <v>3.127207624281743</v>
      </c>
      <c r="AF84" s="446">
        <v>70383</v>
      </c>
      <c r="AG84" s="446">
        <v>22633</v>
      </c>
      <c r="AH84" s="446">
        <v>63628</v>
      </c>
      <c r="AI84" s="272"/>
      <c r="AJ84" s="446">
        <v>0</v>
      </c>
      <c r="AK84" s="450">
        <f>AJ84/VPI!R84</f>
        <v>0</v>
      </c>
      <c r="AL84" s="452">
        <f t="shared" si="7"/>
        <v>5915</v>
      </c>
      <c r="AM84" s="450">
        <f>AL84/VPI!R84</f>
        <v>0.26281109213342013</v>
      </c>
      <c r="AN84" s="446">
        <v>5915</v>
      </c>
      <c r="AO84" s="272"/>
      <c r="AP84" s="541">
        <v>16.013512224532739</v>
      </c>
      <c r="AR84" s="178">
        <v>0</v>
      </c>
    </row>
    <row r="85" spans="1:44" x14ac:dyDescent="0.25">
      <c r="A85" s="193">
        <v>5537</v>
      </c>
      <c r="B85" s="454" t="s">
        <v>30</v>
      </c>
      <c r="C85" s="446">
        <v>2256263.67</v>
      </c>
      <c r="D85" s="446">
        <v>279507.26</v>
      </c>
      <c r="E85" s="446"/>
      <c r="F85" s="446">
        <v>7030</v>
      </c>
      <c r="G85" s="446">
        <v>16907.349999999999</v>
      </c>
      <c r="H85" s="446">
        <v>883.1</v>
      </c>
      <c r="I85" s="446">
        <v>0</v>
      </c>
      <c r="J85" s="446">
        <v>4792.95</v>
      </c>
      <c r="K85" s="446">
        <v>833</v>
      </c>
      <c r="L85" s="446">
        <v>228114.65</v>
      </c>
      <c r="M85" s="506">
        <f t="shared" si="4"/>
        <v>2794331.98</v>
      </c>
      <c r="N85" s="446">
        <v>0</v>
      </c>
      <c r="O85" s="446">
        <v>859.2</v>
      </c>
      <c r="P85" s="446">
        <v>103590.85</v>
      </c>
      <c r="Q85" s="446">
        <v>6633.16</v>
      </c>
      <c r="R85" s="446">
        <v>90389.5</v>
      </c>
      <c r="S85" s="446">
        <v>1745.4072161189772</v>
      </c>
      <c r="T85" s="506">
        <f t="shared" si="5"/>
        <v>2997550.0972161195</v>
      </c>
      <c r="U85" s="446">
        <v>-31621.53</v>
      </c>
      <c r="V85" s="446"/>
      <c r="W85" s="446">
        <v>-158.81</v>
      </c>
      <c r="X85" s="448">
        <v>73</v>
      </c>
      <c r="Y85" s="448">
        <v>1</v>
      </c>
      <c r="Z85" s="446">
        <v>1281</v>
      </c>
      <c r="AA85" s="269"/>
      <c r="AB85" s="446">
        <v>107664</v>
      </c>
      <c r="AC85" s="450">
        <f>AB85/VPI!R85</f>
        <v>2.8364020066374049</v>
      </c>
      <c r="AD85" s="452">
        <f t="shared" si="6"/>
        <v>100487</v>
      </c>
      <c r="AE85" s="450">
        <f>AD85/VPI!R85</f>
        <v>2.6473243464943987</v>
      </c>
      <c r="AF85" s="446">
        <v>208151</v>
      </c>
      <c r="AG85" s="446">
        <v>52707</v>
      </c>
      <c r="AH85" s="446">
        <v>98780</v>
      </c>
      <c r="AI85" s="272"/>
      <c r="AJ85" s="446">
        <v>0</v>
      </c>
      <c r="AK85" s="450">
        <f>AJ85/VPI!R85</f>
        <v>0</v>
      </c>
      <c r="AL85" s="452">
        <f t="shared" si="7"/>
        <v>9974</v>
      </c>
      <c r="AM85" s="450">
        <f>AL85/VPI!R85</f>
        <v>0.26276446736329206</v>
      </c>
      <c r="AN85" s="446">
        <v>9974</v>
      </c>
      <c r="AO85" s="272"/>
      <c r="AP85" s="541">
        <v>17.587525854985504</v>
      </c>
      <c r="AR85" s="178">
        <v>0</v>
      </c>
    </row>
    <row r="86" spans="1:44" x14ac:dyDescent="0.25">
      <c r="A86" s="193">
        <v>5539</v>
      </c>
      <c r="B86" s="454" t="s">
        <v>31</v>
      </c>
      <c r="C86" s="446">
        <v>2203592.81</v>
      </c>
      <c r="D86" s="446">
        <v>209947.11</v>
      </c>
      <c r="E86" s="446"/>
      <c r="F86" s="446">
        <v>0</v>
      </c>
      <c r="G86" s="446">
        <v>21640.75</v>
      </c>
      <c r="H86" s="446">
        <v>478.25</v>
      </c>
      <c r="I86" s="446">
        <v>0</v>
      </c>
      <c r="J86" s="446">
        <v>10580.62</v>
      </c>
      <c r="K86" s="446">
        <v>5823.4</v>
      </c>
      <c r="L86" s="446">
        <v>149113.35</v>
      </c>
      <c r="M86" s="506">
        <f t="shared" si="4"/>
        <v>2601176.29</v>
      </c>
      <c r="N86" s="446">
        <v>19878.05</v>
      </c>
      <c r="O86" s="446">
        <v>129594.6</v>
      </c>
      <c r="P86" s="446">
        <v>139946.29999999999</v>
      </c>
      <c r="Q86" s="446">
        <v>24565.61</v>
      </c>
      <c r="R86" s="446">
        <v>51038.65</v>
      </c>
      <c r="S86" s="446">
        <v>2170.0778908535567</v>
      </c>
      <c r="T86" s="506">
        <f t="shared" si="5"/>
        <v>2968369.5778908529</v>
      </c>
      <c r="U86" s="446">
        <v>-22282.17</v>
      </c>
      <c r="V86" s="446"/>
      <c r="W86" s="446">
        <v>-212.45</v>
      </c>
      <c r="X86" s="448">
        <v>73.5</v>
      </c>
      <c r="Y86" s="448">
        <v>0.8</v>
      </c>
      <c r="Z86" s="446">
        <v>1060</v>
      </c>
      <c r="AA86" s="269"/>
      <c r="AB86" s="446">
        <v>60256</v>
      </c>
      <c r="AC86" s="450">
        <f>AB86/VPI!R86</f>
        <v>1.6758705921852197</v>
      </c>
      <c r="AD86" s="452">
        <f t="shared" si="6"/>
        <v>81494</v>
      </c>
      <c r="AE86" s="450">
        <f>AD86/VPI!R86</f>
        <v>2.2665526759084953</v>
      </c>
      <c r="AF86" s="446">
        <v>141750</v>
      </c>
      <c r="AG86" s="446">
        <v>45269</v>
      </c>
      <c r="AH86" s="446">
        <v>84784</v>
      </c>
      <c r="AI86" s="272"/>
      <c r="AJ86" s="446">
        <v>0</v>
      </c>
      <c r="AK86" s="450">
        <f>AJ86/VPI!R86</f>
        <v>0</v>
      </c>
      <c r="AL86" s="452">
        <f t="shared" si="7"/>
        <v>84633</v>
      </c>
      <c r="AM86" s="450">
        <f>AL86/VPI!R86</f>
        <v>2.3538561442580277</v>
      </c>
      <c r="AN86" s="446">
        <v>84633</v>
      </c>
      <c r="AO86" s="272"/>
      <c r="AP86" s="541">
        <v>16.478900304237523</v>
      </c>
      <c r="AR86" s="178">
        <v>0</v>
      </c>
    </row>
    <row r="87" spans="1:44" x14ac:dyDescent="0.25">
      <c r="A87" s="193">
        <v>5540</v>
      </c>
      <c r="B87" s="454" t="s">
        <v>347</v>
      </c>
      <c r="C87" s="446">
        <v>3792448.27</v>
      </c>
      <c r="D87" s="446">
        <v>507693.9</v>
      </c>
      <c r="E87" s="446"/>
      <c r="F87" s="446">
        <v>0</v>
      </c>
      <c r="G87" s="446">
        <v>129555.8</v>
      </c>
      <c r="H87" s="446">
        <v>3850.6</v>
      </c>
      <c r="I87" s="446">
        <v>0</v>
      </c>
      <c r="J87" s="446">
        <v>50648.1</v>
      </c>
      <c r="K87" s="446">
        <v>13109.85</v>
      </c>
      <c r="L87" s="446">
        <v>280809</v>
      </c>
      <c r="M87" s="506">
        <f t="shared" si="4"/>
        <v>4778115.5199999986</v>
      </c>
      <c r="N87" s="446">
        <v>1260.8499999999999</v>
      </c>
      <c r="O87" s="446">
        <v>1159.9000000000001</v>
      </c>
      <c r="P87" s="446">
        <v>111431.35</v>
      </c>
      <c r="Q87" s="446">
        <v>9509.91</v>
      </c>
      <c r="R87" s="446">
        <v>83871.649999999994</v>
      </c>
      <c r="S87" s="446">
        <v>13088.398170729502</v>
      </c>
      <c r="T87" s="506">
        <f t="shared" si="5"/>
        <v>4998437.5781707279</v>
      </c>
      <c r="U87" s="446">
        <v>-69478.42</v>
      </c>
      <c r="V87" s="446"/>
      <c r="W87" s="446">
        <v>-751.17</v>
      </c>
      <c r="X87" s="448">
        <v>72.5</v>
      </c>
      <c r="Y87" s="448">
        <v>0.8</v>
      </c>
      <c r="Z87" s="446">
        <v>1857</v>
      </c>
      <c r="AA87" s="269"/>
      <c r="AB87" s="446">
        <v>126545</v>
      </c>
      <c r="AC87" s="450">
        <f>AB87/VPI!R87</f>
        <v>1.9110834507953651</v>
      </c>
      <c r="AD87" s="452">
        <f t="shared" si="6"/>
        <v>443555</v>
      </c>
      <c r="AE87" s="450">
        <f>AD87/VPI!R87</f>
        <v>6.6985706271882588</v>
      </c>
      <c r="AF87" s="446">
        <v>570100</v>
      </c>
      <c r="AG87" s="446">
        <v>130123</v>
      </c>
      <c r="AH87" s="446">
        <v>146320</v>
      </c>
      <c r="AI87" s="272"/>
      <c r="AJ87" s="446">
        <v>0</v>
      </c>
      <c r="AK87" s="450">
        <f>AJ87/VPI!R87</f>
        <v>0</v>
      </c>
      <c r="AL87" s="452">
        <f t="shared" si="7"/>
        <v>88050</v>
      </c>
      <c r="AM87" s="450">
        <f>AL87/VPI!R87</f>
        <v>1.3297316989413401</v>
      </c>
      <c r="AN87" s="446">
        <v>88050</v>
      </c>
      <c r="AO87" s="272"/>
      <c r="AP87" s="541">
        <v>22.21311697992196</v>
      </c>
      <c r="AR87" s="178">
        <v>0</v>
      </c>
    </row>
    <row r="88" spans="1:44" x14ac:dyDescent="0.25">
      <c r="A88" s="193">
        <v>5541</v>
      </c>
      <c r="B88" s="454" t="s">
        <v>346</v>
      </c>
      <c r="C88" s="446">
        <v>2239709.94</v>
      </c>
      <c r="D88" s="446">
        <v>301641.15999999997</v>
      </c>
      <c r="E88" s="446"/>
      <c r="F88" s="446">
        <v>0</v>
      </c>
      <c r="G88" s="446">
        <v>79459.75</v>
      </c>
      <c r="H88" s="446">
        <v>2703.75</v>
      </c>
      <c r="I88" s="446">
        <v>0</v>
      </c>
      <c r="J88" s="446">
        <v>11363.73</v>
      </c>
      <c r="K88" s="446">
        <v>1456.65</v>
      </c>
      <c r="L88" s="446">
        <v>209672.85</v>
      </c>
      <c r="M88" s="506">
        <f t="shared" si="4"/>
        <v>2846007.83</v>
      </c>
      <c r="N88" s="446">
        <v>9196.2999999999993</v>
      </c>
      <c r="O88" s="446">
        <v>109740.5</v>
      </c>
      <c r="P88" s="446">
        <v>98100.45</v>
      </c>
      <c r="Q88" s="446">
        <v>0</v>
      </c>
      <c r="R88" s="446">
        <v>46579.8</v>
      </c>
      <c r="S88" s="446">
        <v>8060.9970968464304</v>
      </c>
      <c r="T88" s="506">
        <f t="shared" si="5"/>
        <v>3117685.8770968462</v>
      </c>
      <c r="U88" s="446">
        <v>-62440.43</v>
      </c>
      <c r="V88" s="446"/>
      <c r="W88" s="446">
        <v>-27.51</v>
      </c>
      <c r="X88" s="448">
        <v>75.5</v>
      </c>
      <c r="Y88" s="448">
        <v>1</v>
      </c>
      <c r="Z88" s="446">
        <v>1153</v>
      </c>
      <c r="AA88" s="269"/>
      <c r="AB88" s="446">
        <v>43349</v>
      </c>
      <c r="AC88" s="450">
        <f>AB88/VPI!R88</f>
        <v>1.1723916248656996</v>
      </c>
      <c r="AD88" s="452">
        <f t="shared" si="6"/>
        <v>143119</v>
      </c>
      <c r="AE88" s="450">
        <f>AD88/VPI!R88</f>
        <v>3.87071251837768</v>
      </c>
      <c r="AF88" s="446">
        <v>186468</v>
      </c>
      <c r="AG88" s="446">
        <v>32620</v>
      </c>
      <c r="AH88" s="446">
        <v>91701</v>
      </c>
      <c r="AI88" s="272"/>
      <c r="AJ88" s="446">
        <v>0</v>
      </c>
      <c r="AK88" s="450">
        <f>AJ88/VPI!R88</f>
        <v>0</v>
      </c>
      <c r="AL88" s="452">
        <f t="shared" si="7"/>
        <v>40602</v>
      </c>
      <c r="AM88" s="450">
        <f>AL88/VPI!R88</f>
        <v>1.0980978742946119</v>
      </c>
      <c r="AN88" s="446">
        <v>40602</v>
      </c>
      <c r="AO88" s="272"/>
      <c r="AP88" s="541">
        <v>20.779277832455087</v>
      </c>
      <c r="AR88" s="178">
        <v>0</v>
      </c>
    </row>
    <row r="89" spans="1:44" x14ac:dyDescent="0.25">
      <c r="A89" s="193">
        <v>5551</v>
      </c>
      <c r="B89" s="454" t="s">
        <v>32</v>
      </c>
      <c r="C89" s="446">
        <v>786824.99</v>
      </c>
      <c r="D89" s="446">
        <v>133990.73000000001</v>
      </c>
      <c r="E89" s="446"/>
      <c r="F89" s="446">
        <v>0</v>
      </c>
      <c r="G89" s="446">
        <v>8216.35</v>
      </c>
      <c r="H89" s="446">
        <v>2729.55</v>
      </c>
      <c r="I89" s="446">
        <v>0</v>
      </c>
      <c r="J89" s="446">
        <v>-2026.29</v>
      </c>
      <c r="K89" s="446">
        <v>16988.400000000001</v>
      </c>
      <c r="L89" s="446">
        <v>113115.6</v>
      </c>
      <c r="M89" s="506">
        <f t="shared" si="4"/>
        <v>1059839.33</v>
      </c>
      <c r="N89" s="446">
        <v>30909.3</v>
      </c>
      <c r="O89" s="446">
        <v>120.5</v>
      </c>
      <c r="P89" s="446">
        <v>15785</v>
      </c>
      <c r="Q89" s="446">
        <v>0</v>
      </c>
      <c r="R89" s="446">
        <v>15577.45</v>
      </c>
      <c r="S89" s="446">
        <v>1073.8937377591185</v>
      </c>
      <c r="T89" s="506">
        <f t="shared" si="5"/>
        <v>1123305.4737377593</v>
      </c>
      <c r="U89" s="446">
        <v>-5687.44</v>
      </c>
      <c r="V89" s="446"/>
      <c r="W89" s="446">
        <v>-1849.91</v>
      </c>
      <c r="X89" s="448">
        <v>55</v>
      </c>
      <c r="Y89" s="448">
        <v>1</v>
      </c>
      <c r="Z89" s="446">
        <v>489</v>
      </c>
      <c r="AA89" s="269"/>
      <c r="AB89" s="446">
        <v>74672</v>
      </c>
      <c r="AC89" s="450">
        <f>AB89/VPI!R89</f>
        <v>3.8988551972687757</v>
      </c>
      <c r="AD89" s="452">
        <f t="shared" si="6"/>
        <v>58689</v>
      </c>
      <c r="AE89" s="450">
        <f>AD89/VPI!R89</f>
        <v>3.064333520898157</v>
      </c>
      <c r="AF89" s="446">
        <v>133361</v>
      </c>
      <c r="AG89" s="446">
        <v>32672</v>
      </c>
      <c r="AH89" s="446">
        <v>58000</v>
      </c>
      <c r="AI89" s="272"/>
      <c r="AJ89" s="446">
        <v>0</v>
      </c>
      <c r="AK89" s="450">
        <f>AJ89/VPI!R89</f>
        <v>0</v>
      </c>
      <c r="AL89" s="452">
        <f t="shared" si="7"/>
        <v>22184</v>
      </c>
      <c r="AM89" s="450">
        <f>AL89/VPI!R89</f>
        <v>1.1582949927176254</v>
      </c>
      <c r="AN89" s="446">
        <v>22184</v>
      </c>
      <c r="AO89" s="272"/>
      <c r="AP89" s="541">
        <v>28.818322847405348</v>
      </c>
      <c r="AR89" s="178">
        <v>0</v>
      </c>
    </row>
    <row r="90" spans="1:44" x14ac:dyDescent="0.25">
      <c r="A90" s="193">
        <v>5552</v>
      </c>
      <c r="B90" s="454" t="s">
        <v>33</v>
      </c>
      <c r="C90" s="446">
        <v>950916.19</v>
      </c>
      <c r="D90" s="446">
        <v>176423.96</v>
      </c>
      <c r="E90" s="446"/>
      <c r="F90" s="446">
        <v>0</v>
      </c>
      <c r="G90" s="446">
        <v>-5547.7</v>
      </c>
      <c r="H90" s="446">
        <v>1950.05</v>
      </c>
      <c r="I90" s="446">
        <v>0</v>
      </c>
      <c r="J90" s="446">
        <v>15639.79</v>
      </c>
      <c r="K90" s="446">
        <v>-502.9</v>
      </c>
      <c r="L90" s="446">
        <v>122528.45</v>
      </c>
      <c r="M90" s="506">
        <f t="shared" si="4"/>
        <v>1261407.8400000001</v>
      </c>
      <c r="N90" s="446">
        <v>65482.45</v>
      </c>
      <c r="O90" s="446">
        <v>3247.6</v>
      </c>
      <c r="P90" s="446">
        <v>49797</v>
      </c>
      <c r="Q90" s="446">
        <v>1394.42</v>
      </c>
      <c r="R90" s="446">
        <v>51954.95</v>
      </c>
      <c r="S90" s="446">
        <v>0</v>
      </c>
      <c r="T90" s="506">
        <f t="shared" si="5"/>
        <v>1433284.26</v>
      </c>
      <c r="U90" s="446">
        <v>-6720.92</v>
      </c>
      <c r="V90" s="446"/>
      <c r="W90" s="446">
        <v>-365.96</v>
      </c>
      <c r="X90" s="448">
        <v>71.5</v>
      </c>
      <c r="Y90" s="448">
        <v>1</v>
      </c>
      <c r="Z90" s="446">
        <v>657</v>
      </c>
      <c r="AA90" s="269"/>
      <c r="AB90" s="446">
        <v>0</v>
      </c>
      <c r="AC90" s="450">
        <f>AB90/VPI!R90</f>
        <v>0</v>
      </c>
      <c r="AD90" s="452">
        <f t="shared" si="6"/>
        <v>258455</v>
      </c>
      <c r="AE90" s="450">
        <f>AD90/VPI!R90</f>
        <v>14.716338426945123</v>
      </c>
      <c r="AF90" s="446">
        <v>258455</v>
      </c>
      <c r="AG90" s="446">
        <v>43806</v>
      </c>
      <c r="AH90" s="446">
        <v>50093</v>
      </c>
      <c r="AI90" s="272"/>
      <c r="AJ90" s="446">
        <v>0</v>
      </c>
      <c r="AK90" s="450">
        <f>AJ90/VPI!R90</f>
        <v>0</v>
      </c>
      <c r="AL90" s="452">
        <f t="shared" si="7"/>
        <v>51675</v>
      </c>
      <c r="AM90" s="450">
        <f>AL90/VPI!R90</f>
        <v>2.9423566509155914</v>
      </c>
      <c r="AN90" s="446">
        <v>51675</v>
      </c>
      <c r="AO90" s="272"/>
      <c r="AP90" s="541">
        <v>16.913661786763303</v>
      </c>
      <c r="AR90" s="178">
        <v>0</v>
      </c>
    </row>
    <row r="91" spans="1:44" x14ac:dyDescent="0.25">
      <c r="A91" s="193">
        <v>5553</v>
      </c>
      <c r="B91" s="454" t="s">
        <v>34</v>
      </c>
      <c r="C91" s="446">
        <v>1743747.65</v>
      </c>
      <c r="D91" s="446">
        <v>245397.49</v>
      </c>
      <c r="E91" s="446"/>
      <c r="F91" s="446">
        <v>0</v>
      </c>
      <c r="G91" s="446">
        <v>135210.1</v>
      </c>
      <c r="H91" s="446">
        <v>41707.300000000003</v>
      </c>
      <c r="I91" s="446">
        <v>0</v>
      </c>
      <c r="J91" s="446">
        <v>75757.75</v>
      </c>
      <c r="K91" s="446">
        <v>27799.65</v>
      </c>
      <c r="L91" s="446">
        <v>231568.6</v>
      </c>
      <c r="M91" s="506">
        <f t="shared" si="4"/>
        <v>2501188.5399999996</v>
      </c>
      <c r="N91" s="446">
        <v>172905.8</v>
      </c>
      <c r="O91" s="446">
        <v>157011.4</v>
      </c>
      <c r="P91" s="446">
        <v>34246.300000000003</v>
      </c>
      <c r="Q91" s="446">
        <v>1474.94</v>
      </c>
      <c r="R91" s="446">
        <v>19029.7</v>
      </c>
      <c r="S91" s="446">
        <v>17357.228547732491</v>
      </c>
      <c r="T91" s="506">
        <f t="shared" si="5"/>
        <v>2903213.9085477316</v>
      </c>
      <c r="U91" s="446">
        <v>-9025.49</v>
      </c>
      <c r="V91" s="446"/>
      <c r="W91" s="446">
        <v>-569.12</v>
      </c>
      <c r="X91" s="448">
        <v>65</v>
      </c>
      <c r="Y91" s="448">
        <v>1</v>
      </c>
      <c r="Z91" s="446">
        <v>1061</v>
      </c>
      <c r="AA91" s="269"/>
      <c r="AB91" s="446">
        <v>101383</v>
      </c>
      <c r="AC91" s="450">
        <f>AB91/VPI!R91</f>
        <v>2.6250105525162519</v>
      </c>
      <c r="AD91" s="452">
        <f t="shared" si="6"/>
        <v>201151</v>
      </c>
      <c r="AE91" s="450">
        <f>AD91/VPI!R91</f>
        <v>5.2082054945029892</v>
      </c>
      <c r="AF91" s="446">
        <v>302534</v>
      </c>
      <c r="AG91" s="446">
        <v>70610</v>
      </c>
      <c r="AH91" s="446">
        <v>129442</v>
      </c>
      <c r="AI91" s="272"/>
      <c r="AJ91" s="446">
        <v>0</v>
      </c>
      <c r="AK91" s="450">
        <f>AJ91/VPI!R91</f>
        <v>0</v>
      </c>
      <c r="AL91" s="452">
        <f t="shared" si="7"/>
        <v>35731</v>
      </c>
      <c r="AM91" s="450">
        <f>AL91/VPI!R91</f>
        <v>0.92514772744896279</v>
      </c>
      <c r="AN91" s="446">
        <v>35731</v>
      </c>
      <c r="AO91" s="272"/>
      <c r="AP91" s="541">
        <v>26.24384783643756</v>
      </c>
      <c r="AR91" s="178">
        <v>0</v>
      </c>
    </row>
    <row r="92" spans="1:44" x14ac:dyDescent="0.25">
      <c r="A92" s="193">
        <v>5554</v>
      </c>
      <c r="B92" s="454" t="s">
        <v>35</v>
      </c>
      <c r="C92" s="446">
        <v>1769610.28</v>
      </c>
      <c r="D92" s="446">
        <v>446440.39</v>
      </c>
      <c r="E92" s="446"/>
      <c r="F92" s="446">
        <v>0</v>
      </c>
      <c r="G92" s="446">
        <v>22460.7</v>
      </c>
      <c r="H92" s="446">
        <v>422.15</v>
      </c>
      <c r="I92" s="446">
        <v>0</v>
      </c>
      <c r="J92" s="446">
        <v>36519.08</v>
      </c>
      <c r="K92" s="446">
        <v>-11415.05</v>
      </c>
      <c r="L92" s="446">
        <v>182402.2</v>
      </c>
      <c r="M92" s="506">
        <f t="shared" si="4"/>
        <v>2446439.7500000005</v>
      </c>
      <c r="N92" s="446">
        <v>2598.0500000000002</v>
      </c>
      <c r="O92" s="446">
        <v>106619.5</v>
      </c>
      <c r="P92" s="446">
        <v>86010.05</v>
      </c>
      <c r="Q92" s="446">
        <v>8111.93</v>
      </c>
      <c r="R92" s="446">
        <v>55126.95</v>
      </c>
      <c r="S92" s="446">
        <v>2245.0186204041006</v>
      </c>
      <c r="T92" s="506">
        <f t="shared" si="5"/>
        <v>2707151.2486204044</v>
      </c>
      <c r="U92" s="446">
        <v>-27154.080000000002</v>
      </c>
      <c r="V92" s="446"/>
      <c r="W92" s="446">
        <v>-5552</v>
      </c>
      <c r="X92" s="448">
        <v>75</v>
      </c>
      <c r="Y92" s="448">
        <v>1</v>
      </c>
      <c r="Z92" s="446">
        <v>1001</v>
      </c>
      <c r="AA92" s="269"/>
      <c r="AB92" s="446">
        <v>109697</v>
      </c>
      <c r="AC92" s="450">
        <f>AB92/VPI!R92</f>
        <v>3.3939634668782706</v>
      </c>
      <c r="AD92" s="452">
        <f t="shared" si="6"/>
        <v>180063</v>
      </c>
      <c r="AE92" s="450">
        <f>AD92/VPI!R92</f>
        <v>5.5710479205128856</v>
      </c>
      <c r="AF92" s="446">
        <v>289760</v>
      </c>
      <c r="AG92" s="446">
        <v>91125</v>
      </c>
      <c r="AH92" s="446">
        <v>122366</v>
      </c>
      <c r="AI92" s="272"/>
      <c r="AJ92" s="446">
        <v>0</v>
      </c>
      <c r="AK92" s="450">
        <f>AJ92/VPI!R92</f>
        <v>0</v>
      </c>
      <c r="AL92" s="452">
        <f t="shared" si="7"/>
        <v>50185</v>
      </c>
      <c r="AM92" s="450">
        <f>AL92/VPI!R92</f>
        <v>1.55269566702176</v>
      </c>
      <c r="AN92" s="446">
        <v>50185</v>
      </c>
      <c r="AO92" s="272"/>
      <c r="AP92" s="541">
        <v>21.679088574887206</v>
      </c>
      <c r="AR92" s="178">
        <v>0</v>
      </c>
    </row>
    <row r="93" spans="1:44" x14ac:dyDescent="0.25">
      <c r="A93" s="193">
        <v>5555</v>
      </c>
      <c r="B93" s="454" t="s">
        <v>36</v>
      </c>
      <c r="C93" s="446">
        <v>638521.05000000005</v>
      </c>
      <c r="D93" s="446">
        <v>161554.32</v>
      </c>
      <c r="E93" s="446"/>
      <c r="F93" s="446">
        <v>0</v>
      </c>
      <c r="G93" s="446">
        <v>24744.1</v>
      </c>
      <c r="H93" s="446">
        <v>2261.6999999999998</v>
      </c>
      <c r="I93" s="446">
        <v>0</v>
      </c>
      <c r="J93" s="446">
        <v>17711.75</v>
      </c>
      <c r="K93" s="446">
        <v>2094.9</v>
      </c>
      <c r="L93" s="446">
        <v>92071.4</v>
      </c>
      <c r="M93" s="506">
        <f t="shared" si="4"/>
        <v>938959.22000000009</v>
      </c>
      <c r="N93" s="446">
        <v>8366.85</v>
      </c>
      <c r="O93" s="446">
        <v>100965</v>
      </c>
      <c r="P93" s="446">
        <v>46866.6</v>
      </c>
      <c r="Q93" s="446">
        <v>0</v>
      </c>
      <c r="R93" s="446">
        <v>29391.599999999999</v>
      </c>
      <c r="S93" s="446">
        <v>2649.5180390077749</v>
      </c>
      <c r="T93" s="506">
        <f t="shared" si="5"/>
        <v>1127198.7880390079</v>
      </c>
      <c r="U93" s="446">
        <v>-3578.72</v>
      </c>
      <c r="V93" s="446"/>
      <c r="W93" s="446">
        <v>-252.22</v>
      </c>
      <c r="X93" s="448">
        <v>69</v>
      </c>
      <c r="Y93" s="448">
        <v>1</v>
      </c>
      <c r="Z93" s="446">
        <v>419</v>
      </c>
      <c r="AA93" s="269"/>
      <c r="AB93" s="446">
        <v>112807</v>
      </c>
      <c r="AC93" s="450">
        <f>AB93/VPI!R93</f>
        <v>8.3001357211447111</v>
      </c>
      <c r="AD93" s="452">
        <f t="shared" si="6"/>
        <v>136264</v>
      </c>
      <c r="AE93" s="450">
        <f>AD93/VPI!R93</f>
        <v>10.026059499021008</v>
      </c>
      <c r="AF93" s="446">
        <v>249071</v>
      </c>
      <c r="AG93" s="446">
        <v>26737</v>
      </c>
      <c r="AH93" s="446">
        <v>50553</v>
      </c>
      <c r="AI93" s="272"/>
      <c r="AJ93" s="446">
        <v>0</v>
      </c>
      <c r="AK93" s="450">
        <f>AJ93/VPI!R93</f>
        <v>0</v>
      </c>
      <c r="AL93" s="452">
        <f t="shared" si="7"/>
        <v>21080</v>
      </c>
      <c r="AM93" s="450">
        <f>AL93/VPI!R93</f>
        <v>1.5510284025080936</v>
      </c>
      <c r="AN93" s="446">
        <v>21080</v>
      </c>
      <c r="AO93" s="272"/>
      <c r="AP93" s="541">
        <v>24.032729679698445</v>
      </c>
      <c r="AR93" s="178">
        <v>0</v>
      </c>
    </row>
    <row r="94" spans="1:44" x14ac:dyDescent="0.25">
      <c r="A94" s="193">
        <v>5556</v>
      </c>
      <c r="B94" s="454" t="s">
        <v>37</v>
      </c>
      <c r="C94" s="446">
        <v>801630.2</v>
      </c>
      <c r="D94" s="446">
        <v>83009.83</v>
      </c>
      <c r="E94" s="446"/>
      <c r="F94" s="446">
        <v>2420</v>
      </c>
      <c r="G94" s="446">
        <v>15836.05</v>
      </c>
      <c r="H94" s="446">
        <v>142.05000000000001</v>
      </c>
      <c r="I94" s="446">
        <v>0</v>
      </c>
      <c r="J94" s="446">
        <v>14914.82</v>
      </c>
      <c r="K94" s="446">
        <v>1271.6500000000001</v>
      </c>
      <c r="L94" s="446">
        <v>87296.85</v>
      </c>
      <c r="M94" s="506">
        <f t="shared" si="4"/>
        <v>1006521.45</v>
      </c>
      <c r="N94" s="446">
        <v>0</v>
      </c>
      <c r="O94" s="446">
        <v>0</v>
      </c>
      <c r="P94" s="446">
        <v>58162.5</v>
      </c>
      <c r="Q94" s="446">
        <v>0</v>
      </c>
      <c r="R94" s="446">
        <v>32570.45</v>
      </c>
      <c r="S94" s="446">
        <v>1567.598966854162</v>
      </c>
      <c r="T94" s="506">
        <f t="shared" si="5"/>
        <v>1098821.9989668541</v>
      </c>
      <c r="U94" s="446">
        <v>-40554.980000000003</v>
      </c>
      <c r="V94" s="446"/>
      <c r="W94" s="446">
        <v>0</v>
      </c>
      <c r="X94" s="448">
        <v>69</v>
      </c>
      <c r="Y94" s="448">
        <v>1.2</v>
      </c>
      <c r="Z94" s="446">
        <v>451</v>
      </c>
      <c r="AA94" s="269"/>
      <c r="AB94" s="446">
        <v>0</v>
      </c>
      <c r="AC94" s="450">
        <f>AB94/VPI!R94</f>
        <v>0</v>
      </c>
      <c r="AD94" s="452">
        <f t="shared" si="6"/>
        <v>32415</v>
      </c>
      <c r="AE94" s="450">
        <f>AD94/VPI!R94</f>
        <v>2.3469791790545913</v>
      </c>
      <c r="AF94" s="446">
        <v>32415</v>
      </c>
      <c r="AG94" s="446">
        <v>19780</v>
      </c>
      <c r="AH94" s="446">
        <v>62374</v>
      </c>
      <c r="AI94" s="272"/>
      <c r="AJ94" s="446">
        <v>0</v>
      </c>
      <c r="AK94" s="450">
        <f>AJ94/VPI!R94</f>
        <v>0</v>
      </c>
      <c r="AL94" s="452">
        <f t="shared" si="7"/>
        <v>34820</v>
      </c>
      <c r="AM94" s="450">
        <f>AL94/VPI!R94</f>
        <v>2.5211110601474891</v>
      </c>
      <c r="AN94" s="446">
        <v>34820</v>
      </c>
      <c r="AO94" s="272"/>
      <c r="AP94" s="541">
        <v>20.048818529544199</v>
      </c>
      <c r="AR94" s="178">
        <v>0</v>
      </c>
    </row>
    <row r="95" spans="1:44" x14ac:dyDescent="0.25">
      <c r="A95" s="193">
        <v>5557</v>
      </c>
      <c r="B95" s="454" t="s">
        <v>38</v>
      </c>
      <c r="C95" s="446">
        <v>341351.41</v>
      </c>
      <c r="D95" s="446">
        <v>41149.370000000003</v>
      </c>
      <c r="E95" s="446"/>
      <c r="F95" s="446">
        <v>1040</v>
      </c>
      <c r="G95" s="446">
        <v>-10515.55</v>
      </c>
      <c r="H95" s="446">
        <v>92.1</v>
      </c>
      <c r="I95" s="446">
        <v>0</v>
      </c>
      <c r="J95" s="446">
        <v>229.55</v>
      </c>
      <c r="K95" s="446">
        <v>1136.45</v>
      </c>
      <c r="L95" s="446">
        <v>36690.800000000003</v>
      </c>
      <c r="M95" s="506">
        <f t="shared" si="4"/>
        <v>411174.12999999995</v>
      </c>
      <c r="N95" s="446">
        <v>0</v>
      </c>
      <c r="O95" s="446">
        <v>58410</v>
      </c>
      <c r="P95" s="446">
        <v>6329.6</v>
      </c>
      <c r="Q95" s="446">
        <v>3338.97</v>
      </c>
      <c r="R95" s="446">
        <v>170.15</v>
      </c>
      <c r="S95" s="446">
        <v>0</v>
      </c>
      <c r="T95" s="506">
        <f t="shared" si="5"/>
        <v>479422.84999999992</v>
      </c>
      <c r="U95" s="446">
        <v>-7520.21</v>
      </c>
      <c r="V95" s="446"/>
      <c r="W95" s="446">
        <v>-0.03</v>
      </c>
      <c r="X95" s="448">
        <v>69</v>
      </c>
      <c r="Y95" s="448">
        <v>1</v>
      </c>
      <c r="Z95" s="446">
        <v>219</v>
      </c>
      <c r="AA95" s="269"/>
      <c r="AB95" s="446">
        <v>1867</v>
      </c>
      <c r="AC95" s="450">
        <f>AB95/VPI!R95</f>
        <v>0.31652398029783629</v>
      </c>
      <c r="AD95" s="452">
        <f t="shared" si="6"/>
        <v>11876</v>
      </c>
      <c r="AE95" s="450">
        <f>AD95/VPI!R95</f>
        <v>2.0134112426444046</v>
      </c>
      <c r="AF95" s="446">
        <v>13743</v>
      </c>
      <c r="AG95" s="446">
        <v>9556</v>
      </c>
      <c r="AH95" s="446">
        <v>30000</v>
      </c>
      <c r="AI95" s="272"/>
      <c r="AJ95" s="446">
        <v>0</v>
      </c>
      <c r="AK95" s="450">
        <f>AJ95/VPI!R95</f>
        <v>0</v>
      </c>
      <c r="AL95" s="452">
        <f t="shared" si="7"/>
        <v>8704</v>
      </c>
      <c r="AM95" s="450">
        <f>AL95/VPI!R95</f>
        <v>1.4756425948111231</v>
      </c>
      <c r="AN95" s="446">
        <v>8704</v>
      </c>
      <c r="AO95" s="272"/>
      <c r="AP95" s="541">
        <v>21.16364252007202</v>
      </c>
      <c r="AR95" s="178">
        <v>0</v>
      </c>
    </row>
    <row r="96" spans="1:44" x14ac:dyDescent="0.25">
      <c r="A96" s="193">
        <v>5559</v>
      </c>
      <c r="B96" s="454" t="s">
        <v>39</v>
      </c>
      <c r="C96" s="446">
        <v>881002.26</v>
      </c>
      <c r="D96" s="446">
        <v>257424.1</v>
      </c>
      <c r="E96" s="446"/>
      <c r="F96" s="446">
        <v>0</v>
      </c>
      <c r="G96" s="446">
        <v>-132533.9</v>
      </c>
      <c r="H96" s="446">
        <v>16530.650000000001</v>
      </c>
      <c r="I96" s="446">
        <v>0</v>
      </c>
      <c r="J96" s="446">
        <v>21462.39</v>
      </c>
      <c r="K96" s="446">
        <v>4011.5</v>
      </c>
      <c r="L96" s="446">
        <v>89093.1</v>
      </c>
      <c r="M96" s="506">
        <f t="shared" si="4"/>
        <v>1136990.1000000001</v>
      </c>
      <c r="N96" s="446">
        <v>15752.1</v>
      </c>
      <c r="O96" s="446">
        <v>1179.0999999999999</v>
      </c>
      <c r="P96" s="446">
        <v>60948.3</v>
      </c>
      <c r="Q96" s="446">
        <v>2580.88</v>
      </c>
      <c r="R96" s="446">
        <v>48456.75</v>
      </c>
      <c r="S96" s="446">
        <v>0</v>
      </c>
      <c r="T96" s="506">
        <f t="shared" si="5"/>
        <v>1265907.2300000002</v>
      </c>
      <c r="U96" s="446">
        <v>-10216.77</v>
      </c>
      <c r="V96" s="446"/>
      <c r="W96" s="446">
        <v>-197.15</v>
      </c>
      <c r="X96" s="448">
        <v>66</v>
      </c>
      <c r="Y96" s="448">
        <v>1</v>
      </c>
      <c r="Z96" s="446">
        <v>414</v>
      </c>
      <c r="AA96" s="269"/>
      <c r="AB96" s="446">
        <v>20481</v>
      </c>
      <c r="AC96" s="450">
        <f>AB96/VPI!R96</f>
        <v>1.1971284136504445</v>
      </c>
      <c r="AD96" s="452">
        <f t="shared" si="6"/>
        <v>70098</v>
      </c>
      <c r="AE96" s="450">
        <f>AD96/VPI!R96</f>
        <v>4.0972758918055208</v>
      </c>
      <c r="AF96" s="446">
        <v>90579</v>
      </c>
      <c r="AG96" s="446">
        <v>18402</v>
      </c>
      <c r="AH96" s="446">
        <v>42966</v>
      </c>
      <c r="AI96" s="272"/>
      <c r="AJ96" s="446">
        <v>0</v>
      </c>
      <c r="AK96" s="450">
        <f>AJ96/VPI!R96</f>
        <v>0</v>
      </c>
      <c r="AL96" s="452">
        <f t="shared" si="7"/>
        <v>10641</v>
      </c>
      <c r="AM96" s="450">
        <f>AL96/VPI!R96</f>
        <v>0.62197370488034676</v>
      </c>
      <c r="AN96" s="446">
        <v>10641</v>
      </c>
      <c r="AO96" s="272"/>
      <c r="AP96" s="541">
        <v>33.685594924563468</v>
      </c>
      <c r="AR96" s="178">
        <v>0</v>
      </c>
    </row>
    <row r="97" spans="1:44" x14ac:dyDescent="0.25">
      <c r="A97" s="193">
        <v>5560</v>
      </c>
      <c r="B97" s="454" t="s">
        <v>40</v>
      </c>
      <c r="C97" s="446">
        <v>328216.59000000003</v>
      </c>
      <c r="D97" s="446">
        <v>42596.61</v>
      </c>
      <c r="E97" s="446"/>
      <c r="F97" s="446">
        <v>0</v>
      </c>
      <c r="G97" s="446">
        <v>1000.8</v>
      </c>
      <c r="H97" s="446">
        <v>120.95</v>
      </c>
      <c r="I97" s="446">
        <v>0</v>
      </c>
      <c r="J97" s="446">
        <v>4056.5</v>
      </c>
      <c r="K97" s="446">
        <v>624.20000000000005</v>
      </c>
      <c r="L97" s="446">
        <v>42727.75</v>
      </c>
      <c r="M97" s="506">
        <f t="shared" si="4"/>
        <v>419343.4</v>
      </c>
      <c r="N97" s="446">
        <v>0</v>
      </c>
      <c r="O97" s="446">
        <v>0</v>
      </c>
      <c r="P97" s="446">
        <v>15838.9</v>
      </c>
      <c r="Q97" s="446">
        <v>0</v>
      </c>
      <c r="R97" s="446">
        <v>12286.6</v>
      </c>
      <c r="S97" s="446">
        <v>110.05402025701781</v>
      </c>
      <c r="T97" s="506">
        <f t="shared" si="5"/>
        <v>447578.95402025705</v>
      </c>
      <c r="U97" s="446">
        <v>-61.04</v>
      </c>
      <c r="V97" s="446"/>
      <c r="W97" s="446">
        <v>0</v>
      </c>
      <c r="X97" s="448">
        <v>68</v>
      </c>
      <c r="Y97" s="448">
        <v>1</v>
      </c>
      <c r="Z97" s="446">
        <v>226</v>
      </c>
      <c r="AA97" s="269"/>
      <c r="AB97" s="446">
        <v>0</v>
      </c>
      <c r="AC97" s="450">
        <f>AB97/VPI!R97</f>
        <v>0</v>
      </c>
      <c r="AD97" s="452">
        <f t="shared" si="6"/>
        <v>20683</v>
      </c>
      <c r="AE97" s="450">
        <f>AD97/VPI!R97</f>
        <v>3.3535275150018986</v>
      </c>
      <c r="AF97" s="446">
        <v>20683</v>
      </c>
      <c r="AG97" s="446">
        <v>9868</v>
      </c>
      <c r="AH97" s="446">
        <v>25823</v>
      </c>
      <c r="AI97" s="272"/>
      <c r="AJ97" s="446">
        <v>0</v>
      </c>
      <c r="AK97" s="450">
        <f>AJ97/VPI!R97</f>
        <v>0</v>
      </c>
      <c r="AL97" s="452">
        <f t="shared" si="7"/>
        <v>11648</v>
      </c>
      <c r="AM97" s="450">
        <f>AL97/VPI!R97</f>
        <v>1.8885987765189824</v>
      </c>
      <c r="AN97" s="446">
        <v>11648</v>
      </c>
      <c r="AO97" s="272"/>
      <c r="AP97" s="541">
        <v>24.340518688169407</v>
      </c>
      <c r="AR97" s="178">
        <v>0</v>
      </c>
    </row>
    <row r="98" spans="1:44" x14ac:dyDescent="0.25">
      <c r="A98" s="193">
        <v>5561</v>
      </c>
      <c r="B98" s="454" t="s">
        <v>41</v>
      </c>
      <c r="C98" s="446">
        <v>6014263.3700000001</v>
      </c>
      <c r="D98" s="446">
        <v>1018397.71</v>
      </c>
      <c r="E98" s="446"/>
      <c r="F98" s="446">
        <v>0</v>
      </c>
      <c r="G98" s="446">
        <v>155758.65</v>
      </c>
      <c r="H98" s="446">
        <v>15841.35</v>
      </c>
      <c r="I98" s="446">
        <v>0</v>
      </c>
      <c r="J98" s="446">
        <v>98024.05</v>
      </c>
      <c r="K98" s="446">
        <v>39938</v>
      </c>
      <c r="L98" s="446">
        <v>625231.19999999995</v>
      </c>
      <c r="M98" s="506">
        <f t="shared" si="4"/>
        <v>7967454.3300000001</v>
      </c>
      <c r="N98" s="446">
        <v>401465.1</v>
      </c>
      <c r="O98" s="446">
        <v>33786.199999999997</v>
      </c>
      <c r="P98" s="446">
        <v>302638.40000000002</v>
      </c>
      <c r="Q98" s="446">
        <v>24183.27</v>
      </c>
      <c r="R98" s="446">
        <v>332812.2</v>
      </c>
      <c r="S98" s="446">
        <v>16835.542568401386</v>
      </c>
      <c r="T98" s="506">
        <f t="shared" si="5"/>
        <v>9079175.0425683986</v>
      </c>
      <c r="U98" s="446">
        <v>-92039.66</v>
      </c>
      <c r="V98" s="446"/>
      <c r="W98" s="446">
        <v>-2215.56</v>
      </c>
      <c r="X98" s="448">
        <v>69</v>
      </c>
      <c r="Y98" s="448">
        <v>1</v>
      </c>
      <c r="Z98" s="446">
        <v>3356</v>
      </c>
      <c r="AA98" s="269"/>
      <c r="AB98" s="446">
        <v>483024</v>
      </c>
      <c r="AC98" s="450">
        <f>AB98/VPI!R98</f>
        <v>4.2112380940331562</v>
      </c>
      <c r="AD98" s="452">
        <f t="shared" si="6"/>
        <v>1053863</v>
      </c>
      <c r="AE98" s="450">
        <f>AD98/VPI!R98</f>
        <v>9.1880900565853132</v>
      </c>
      <c r="AF98" s="446">
        <v>1536887</v>
      </c>
      <c r="AG98" s="446">
        <v>371166</v>
      </c>
      <c r="AH98" s="446">
        <v>365698</v>
      </c>
      <c r="AI98" s="272"/>
      <c r="AJ98" s="446">
        <v>0</v>
      </c>
      <c r="AK98" s="450">
        <f>AJ98/VPI!R98</f>
        <v>0</v>
      </c>
      <c r="AL98" s="452">
        <f t="shared" si="7"/>
        <v>62863</v>
      </c>
      <c r="AM98" s="450">
        <f>AL98/VPI!R98</f>
        <v>0.54807020004224694</v>
      </c>
      <c r="AN98" s="446">
        <v>62863</v>
      </c>
      <c r="AO98" s="272"/>
      <c r="AP98" s="541">
        <v>19.454108449817419</v>
      </c>
      <c r="AR98" s="178">
        <v>0</v>
      </c>
    </row>
    <row r="99" spans="1:44" x14ac:dyDescent="0.25">
      <c r="A99" s="193">
        <v>5562</v>
      </c>
      <c r="B99" s="454" t="s">
        <v>42</v>
      </c>
      <c r="C99" s="446">
        <v>204964.7</v>
      </c>
      <c r="D99" s="446">
        <v>182366.21</v>
      </c>
      <c r="E99" s="446"/>
      <c r="F99" s="446">
        <v>870</v>
      </c>
      <c r="G99" s="446">
        <v>2247.9</v>
      </c>
      <c r="H99" s="446">
        <v>34.35</v>
      </c>
      <c r="I99" s="446">
        <v>0</v>
      </c>
      <c r="J99" s="446">
        <v>6319.65</v>
      </c>
      <c r="K99" s="446">
        <v>1974.5</v>
      </c>
      <c r="L99" s="446">
        <v>36562.800000000003</v>
      </c>
      <c r="M99" s="506">
        <f t="shared" si="4"/>
        <v>435340.11000000004</v>
      </c>
      <c r="N99" s="446">
        <v>0</v>
      </c>
      <c r="O99" s="446">
        <v>7790.6</v>
      </c>
      <c r="P99" s="446">
        <v>5830</v>
      </c>
      <c r="Q99" s="446">
        <v>0</v>
      </c>
      <c r="R99" s="446">
        <v>11765.3</v>
      </c>
      <c r="S99" s="446">
        <v>223.90977288306564</v>
      </c>
      <c r="T99" s="506">
        <f t="shared" si="5"/>
        <v>460949.91977288306</v>
      </c>
      <c r="U99" s="446">
        <v>-6905.78</v>
      </c>
      <c r="V99" s="446"/>
      <c r="W99" s="446">
        <v>-13.26</v>
      </c>
      <c r="X99" s="448">
        <v>70</v>
      </c>
      <c r="Y99" s="448">
        <v>1.2</v>
      </c>
      <c r="Z99" s="446">
        <v>128</v>
      </c>
      <c r="AA99" s="269"/>
      <c r="AB99" s="446">
        <v>2000</v>
      </c>
      <c r="AC99" s="450">
        <f>AB99/VPI!R99</f>
        <v>0.33132081201441338</v>
      </c>
      <c r="AD99" s="452">
        <f t="shared" si="6"/>
        <v>38058</v>
      </c>
      <c r="AE99" s="450">
        <f>AD99/VPI!R99</f>
        <v>6.3047037318222721</v>
      </c>
      <c r="AF99" s="446">
        <v>40058</v>
      </c>
      <c r="AG99" s="446">
        <v>5334</v>
      </c>
      <c r="AH99" s="446">
        <v>8650</v>
      </c>
      <c r="AI99" s="272"/>
      <c r="AJ99" s="446">
        <v>0</v>
      </c>
      <c r="AK99" s="450">
        <f>AJ99/VPI!R99</f>
        <v>0</v>
      </c>
      <c r="AL99" s="452">
        <f t="shared" si="7"/>
        <v>7737</v>
      </c>
      <c r="AM99" s="450">
        <f>AL99/VPI!R99</f>
        <v>1.2817145612777583</v>
      </c>
      <c r="AN99" s="446">
        <v>7737</v>
      </c>
      <c r="AO99" s="272"/>
      <c r="AP99" s="541">
        <v>32.096739066383343</v>
      </c>
      <c r="AR99" s="178">
        <v>0</v>
      </c>
    </row>
    <row r="100" spans="1:44" x14ac:dyDescent="0.25">
      <c r="A100" s="193">
        <v>5563</v>
      </c>
      <c r="B100" s="454" t="s">
        <v>245</v>
      </c>
      <c r="C100" s="446">
        <v>286534.48</v>
      </c>
      <c r="D100" s="446">
        <v>20985.02</v>
      </c>
      <c r="E100" s="446"/>
      <c r="F100" s="446">
        <v>546</v>
      </c>
      <c r="G100" s="446">
        <v>427.35</v>
      </c>
      <c r="H100" s="446">
        <v>27.55</v>
      </c>
      <c r="I100" s="446">
        <v>0</v>
      </c>
      <c r="J100" s="446">
        <v>0</v>
      </c>
      <c r="K100" s="446">
        <v>0</v>
      </c>
      <c r="L100" s="446">
        <v>21812.55</v>
      </c>
      <c r="M100" s="506">
        <f t="shared" si="4"/>
        <v>330332.94999999995</v>
      </c>
      <c r="N100" s="446">
        <v>0</v>
      </c>
      <c r="O100" s="446">
        <v>3229.2</v>
      </c>
      <c r="P100" s="446">
        <v>19949.599999999999</v>
      </c>
      <c r="Q100" s="446">
        <v>0</v>
      </c>
      <c r="R100" s="446">
        <v>449.15</v>
      </c>
      <c r="S100" s="446">
        <v>44.629885281851934</v>
      </c>
      <c r="T100" s="506">
        <f t="shared" si="5"/>
        <v>354005.52988528181</v>
      </c>
      <c r="U100" s="446">
        <v>-4499.96</v>
      </c>
      <c r="V100" s="446"/>
      <c r="W100" s="446">
        <v>-0.95</v>
      </c>
      <c r="X100" s="448">
        <v>80</v>
      </c>
      <c r="Y100" s="448">
        <v>1</v>
      </c>
      <c r="Z100" s="446">
        <v>149</v>
      </c>
      <c r="AA100" s="269"/>
      <c r="AB100" s="446">
        <v>12164</v>
      </c>
      <c r="AC100" s="450">
        <f>AB100/VPI!R100</f>
        <v>2.9861603788407649</v>
      </c>
      <c r="AD100" s="452">
        <f t="shared" si="6"/>
        <v>58284</v>
      </c>
      <c r="AE100" s="450">
        <f>AD100/VPI!R100</f>
        <v>14.3082350805948</v>
      </c>
      <c r="AF100" s="446">
        <v>70448</v>
      </c>
      <c r="AG100" s="446">
        <v>6801</v>
      </c>
      <c r="AH100" s="446">
        <v>17191</v>
      </c>
      <c r="AI100" s="272"/>
      <c r="AJ100" s="446">
        <v>0</v>
      </c>
      <c r="AK100" s="450">
        <f>AJ100/VPI!R100</f>
        <v>0</v>
      </c>
      <c r="AL100" s="452">
        <f t="shared" si="7"/>
        <v>5871</v>
      </c>
      <c r="AM100" s="450">
        <f>AL100/VPI!R100</f>
        <v>1.441281452168212</v>
      </c>
      <c r="AN100" s="446">
        <v>5871</v>
      </c>
      <c r="AO100" s="272"/>
      <c r="AP100" s="541">
        <v>11.279306133153975</v>
      </c>
      <c r="AR100" s="178">
        <v>0</v>
      </c>
    </row>
    <row r="101" spans="1:44" x14ac:dyDescent="0.25">
      <c r="A101" s="193">
        <v>5564</v>
      </c>
      <c r="B101" s="454" t="s">
        <v>246</v>
      </c>
      <c r="C101" s="446">
        <v>132869.46</v>
      </c>
      <c r="D101" s="446">
        <v>12607.81</v>
      </c>
      <c r="E101" s="446"/>
      <c r="F101" s="446">
        <v>0</v>
      </c>
      <c r="G101" s="446">
        <v>-38.549999999999997</v>
      </c>
      <c r="H101" s="446">
        <v>23.75</v>
      </c>
      <c r="I101" s="446">
        <v>0</v>
      </c>
      <c r="J101" s="446">
        <v>0</v>
      </c>
      <c r="K101" s="446">
        <v>0</v>
      </c>
      <c r="L101" s="446">
        <v>10945.95</v>
      </c>
      <c r="M101" s="506">
        <f t="shared" si="4"/>
        <v>156408.42000000001</v>
      </c>
      <c r="N101" s="446">
        <v>0</v>
      </c>
      <c r="O101" s="446">
        <v>0</v>
      </c>
      <c r="P101" s="446">
        <v>13948</v>
      </c>
      <c r="Q101" s="446">
        <v>0</v>
      </c>
      <c r="R101" s="446">
        <v>12895.3</v>
      </c>
      <c r="S101" s="446">
        <v>0</v>
      </c>
      <c r="T101" s="506">
        <f t="shared" si="5"/>
        <v>183251.72</v>
      </c>
      <c r="U101" s="446">
        <v>-188.79</v>
      </c>
      <c r="V101" s="446"/>
      <c r="W101" s="446">
        <v>0</v>
      </c>
      <c r="X101" s="448">
        <v>76</v>
      </c>
      <c r="Y101" s="448">
        <v>0.8</v>
      </c>
      <c r="Z101" s="446">
        <v>99</v>
      </c>
      <c r="AA101" s="269"/>
      <c r="AB101" s="446">
        <v>0</v>
      </c>
      <c r="AC101" s="450">
        <f>AB101/VPI!R101</f>
        <v>0</v>
      </c>
      <c r="AD101" s="452">
        <f t="shared" si="6"/>
        <v>2698</v>
      </c>
      <c r="AE101" s="450">
        <f>AD101/VPI!R101</f>
        <v>1.2899660813620464</v>
      </c>
      <c r="AF101" s="446">
        <v>2698</v>
      </c>
      <c r="AG101" s="446">
        <v>4445</v>
      </c>
      <c r="AH101" s="446">
        <v>12738</v>
      </c>
      <c r="AI101" s="272"/>
      <c r="AJ101" s="446">
        <v>0</v>
      </c>
      <c r="AK101" s="450">
        <f>AJ101/VPI!R101</f>
        <v>0</v>
      </c>
      <c r="AL101" s="452">
        <f t="shared" si="7"/>
        <v>3062</v>
      </c>
      <c r="AM101" s="450">
        <f>AL101/VPI!R101</f>
        <v>1.4640015348890236</v>
      </c>
      <c r="AN101" s="446">
        <v>3062</v>
      </c>
      <c r="AO101" s="272"/>
      <c r="AP101" s="541">
        <v>5.8760928257012734</v>
      </c>
      <c r="AR101" s="178">
        <v>0</v>
      </c>
    </row>
    <row r="102" spans="1:44" x14ac:dyDescent="0.25">
      <c r="A102" s="193">
        <v>5565</v>
      </c>
      <c r="B102" s="454" t="s">
        <v>247</v>
      </c>
      <c r="C102" s="446">
        <v>769737.31</v>
      </c>
      <c r="D102" s="446">
        <v>95749.2</v>
      </c>
      <c r="E102" s="446"/>
      <c r="F102" s="446">
        <v>0</v>
      </c>
      <c r="G102" s="446">
        <v>62768.5</v>
      </c>
      <c r="H102" s="446">
        <v>157657.20000000001</v>
      </c>
      <c r="I102" s="446">
        <v>0</v>
      </c>
      <c r="J102" s="446">
        <v>7621.6</v>
      </c>
      <c r="K102" s="446">
        <v>26852.5</v>
      </c>
      <c r="L102" s="446">
        <v>129580.95</v>
      </c>
      <c r="M102" s="506">
        <f t="shared" si="4"/>
        <v>1249967.26</v>
      </c>
      <c r="N102" s="446">
        <v>40728.550000000003</v>
      </c>
      <c r="O102" s="446">
        <v>0</v>
      </c>
      <c r="P102" s="446">
        <v>23569.200000000001</v>
      </c>
      <c r="Q102" s="446">
        <v>1733.33</v>
      </c>
      <c r="R102" s="446">
        <v>17554.599999999999</v>
      </c>
      <c r="S102" s="446">
        <v>21625.794029834931</v>
      </c>
      <c r="T102" s="506">
        <f t="shared" si="5"/>
        <v>1355178.7340298351</v>
      </c>
      <c r="U102" s="446">
        <v>-27776.720000000001</v>
      </c>
      <c r="V102" s="446"/>
      <c r="W102" s="446">
        <v>-11.29</v>
      </c>
      <c r="X102" s="448">
        <v>63.5</v>
      </c>
      <c r="Y102" s="448">
        <v>1</v>
      </c>
      <c r="Z102" s="446">
        <v>505</v>
      </c>
      <c r="AA102" s="269"/>
      <c r="AB102" s="446">
        <v>69047</v>
      </c>
      <c r="AC102" s="450">
        <f>AB102/VPI!R102</f>
        <v>3.520152081556803</v>
      </c>
      <c r="AD102" s="452">
        <f t="shared" si="6"/>
        <v>59973</v>
      </c>
      <c r="AE102" s="450">
        <f>AD102/VPI!R102</f>
        <v>3.0575416859125837</v>
      </c>
      <c r="AF102" s="446">
        <v>129020</v>
      </c>
      <c r="AG102" s="446">
        <v>33138</v>
      </c>
      <c r="AH102" s="446">
        <v>54728</v>
      </c>
      <c r="AI102" s="272"/>
      <c r="AJ102" s="446">
        <v>4100</v>
      </c>
      <c r="AK102" s="450">
        <f>AJ102/VPI!R102</f>
        <v>0.20902607693864894</v>
      </c>
      <c r="AL102" s="452">
        <f t="shared" si="7"/>
        <v>14312</v>
      </c>
      <c r="AM102" s="450">
        <f>AL102/VPI!R102</f>
        <v>0.72965395442583991</v>
      </c>
      <c r="AN102" s="446">
        <v>18412</v>
      </c>
      <c r="AO102" s="272"/>
      <c r="AP102" s="541">
        <v>27.882026238896088</v>
      </c>
      <c r="AR102" s="178">
        <v>0</v>
      </c>
    </row>
    <row r="103" spans="1:44" x14ac:dyDescent="0.25">
      <c r="A103" s="193">
        <v>5566</v>
      </c>
      <c r="B103" s="454" t="s">
        <v>248</v>
      </c>
      <c r="C103" s="446">
        <v>479374.21</v>
      </c>
      <c r="D103" s="446">
        <v>71057.25</v>
      </c>
      <c r="E103" s="446"/>
      <c r="F103" s="446">
        <v>2560</v>
      </c>
      <c r="G103" s="446">
        <v>19094.900000000001</v>
      </c>
      <c r="H103" s="446">
        <v>4592.3500000000004</v>
      </c>
      <c r="I103" s="446">
        <v>0</v>
      </c>
      <c r="J103" s="446">
        <v>-2241.41</v>
      </c>
      <c r="K103" s="446">
        <v>2992.35</v>
      </c>
      <c r="L103" s="446">
        <v>77257.7</v>
      </c>
      <c r="M103" s="506">
        <f t="shared" si="4"/>
        <v>654687.34999999986</v>
      </c>
      <c r="N103" s="446">
        <v>28034.799999999999</v>
      </c>
      <c r="O103" s="446">
        <v>89681.5</v>
      </c>
      <c r="P103" s="446">
        <v>39065.35</v>
      </c>
      <c r="Q103" s="446">
        <v>695.42</v>
      </c>
      <c r="R103" s="446">
        <v>9511.7999999999993</v>
      </c>
      <c r="S103" s="446">
        <v>2323.9376789240423</v>
      </c>
      <c r="T103" s="506">
        <f t="shared" si="5"/>
        <v>824000.15767892404</v>
      </c>
      <c r="U103" s="446">
        <v>-16973.87</v>
      </c>
      <c r="V103" s="446"/>
      <c r="W103" s="446">
        <v>0</v>
      </c>
      <c r="X103" s="448">
        <v>81</v>
      </c>
      <c r="Y103" s="448">
        <v>1.5</v>
      </c>
      <c r="Z103" s="446">
        <v>392</v>
      </c>
      <c r="AA103" s="269"/>
      <c r="AB103" s="446">
        <v>40326</v>
      </c>
      <c r="AC103" s="450">
        <f>AB103/VPI!R103</f>
        <v>5.3113996561605088</v>
      </c>
      <c r="AD103" s="452">
        <f t="shared" si="6"/>
        <v>378198</v>
      </c>
      <c r="AE103" s="450">
        <f>AD103/VPI!R103</f>
        <v>49.813041887630611</v>
      </c>
      <c r="AF103" s="446">
        <v>418524</v>
      </c>
      <c r="AG103" s="446">
        <v>16847</v>
      </c>
      <c r="AH103" s="446">
        <v>33022</v>
      </c>
      <c r="AI103" s="272"/>
      <c r="AJ103" s="446">
        <v>0</v>
      </c>
      <c r="AK103" s="450">
        <f>AJ103/VPI!R103</f>
        <v>0</v>
      </c>
      <c r="AL103" s="452">
        <f t="shared" si="7"/>
        <v>33815</v>
      </c>
      <c r="AM103" s="450">
        <f>AL103/VPI!R103</f>
        <v>4.4538258040238947</v>
      </c>
      <c r="AN103" s="446">
        <v>33815</v>
      </c>
      <c r="AO103" s="272"/>
      <c r="AP103" s="541">
        <v>2.2037264116239652</v>
      </c>
      <c r="AR103" s="178">
        <v>0</v>
      </c>
    </row>
    <row r="104" spans="1:44" x14ac:dyDescent="0.25">
      <c r="A104" s="193">
        <v>5568</v>
      </c>
      <c r="B104" s="454" t="s">
        <v>107</v>
      </c>
      <c r="C104" s="446">
        <v>5579599.8300000001</v>
      </c>
      <c r="D104" s="446">
        <v>861719.05</v>
      </c>
      <c r="E104" s="446"/>
      <c r="F104" s="446">
        <v>0</v>
      </c>
      <c r="G104" s="446">
        <v>271059.3</v>
      </c>
      <c r="H104" s="446">
        <v>73231.8</v>
      </c>
      <c r="I104" s="446">
        <v>34735.050000000003</v>
      </c>
      <c r="J104" s="446">
        <v>124726.16</v>
      </c>
      <c r="K104" s="446">
        <v>42009.7</v>
      </c>
      <c r="L104" s="446">
        <v>638478.94999999995</v>
      </c>
      <c r="M104" s="506">
        <f t="shared" si="4"/>
        <v>7625559.8399999999</v>
      </c>
      <c r="N104" s="446">
        <v>1941083.25</v>
      </c>
      <c r="O104" s="446">
        <v>397671.2</v>
      </c>
      <c r="P104" s="446">
        <v>272858.75</v>
      </c>
      <c r="Q104" s="446">
        <v>73754.06</v>
      </c>
      <c r="R104" s="446">
        <v>275736.40000000002</v>
      </c>
      <c r="S104" s="446">
        <v>33778.132109392405</v>
      </c>
      <c r="T104" s="506">
        <f t="shared" si="5"/>
        <v>10620441.632109392</v>
      </c>
      <c r="U104" s="446">
        <v>-276995.33</v>
      </c>
      <c r="V104" s="446"/>
      <c r="W104" s="446">
        <v>-7531.87</v>
      </c>
      <c r="X104" s="448">
        <v>70</v>
      </c>
      <c r="Y104" s="448">
        <v>1</v>
      </c>
      <c r="Z104" s="446">
        <v>4917</v>
      </c>
      <c r="AA104" s="269"/>
      <c r="AB104" s="446">
        <v>280265</v>
      </c>
      <c r="AC104" s="450">
        <f>AB104/VPI!R104</f>
        <v>2.6338698047478948</v>
      </c>
      <c r="AD104" s="452">
        <f t="shared" si="6"/>
        <v>1701624</v>
      </c>
      <c r="AE104" s="450">
        <f>AD104/VPI!R104</f>
        <v>15.991494023992763</v>
      </c>
      <c r="AF104" s="446">
        <v>1981889</v>
      </c>
      <c r="AG104" s="446">
        <v>543191</v>
      </c>
      <c r="AH104" s="446">
        <v>160372</v>
      </c>
      <c r="AI104" s="272"/>
      <c r="AJ104" s="446">
        <v>0</v>
      </c>
      <c r="AK104" s="450">
        <f>AJ104/VPI!R104</f>
        <v>0</v>
      </c>
      <c r="AL104" s="452">
        <f t="shared" si="7"/>
        <v>247521</v>
      </c>
      <c r="AM104" s="450">
        <f>AL104/VPI!R104</f>
        <v>2.3261487804078413</v>
      </c>
      <c r="AN104" s="446">
        <v>247521</v>
      </c>
      <c r="AO104" s="272"/>
      <c r="AP104" s="541">
        <v>-1.6647916766544759</v>
      </c>
      <c r="AR104" s="178">
        <v>0</v>
      </c>
    </row>
    <row r="105" spans="1:44" x14ac:dyDescent="0.25">
      <c r="A105" s="193">
        <v>5571</v>
      </c>
      <c r="B105" s="454" t="s">
        <v>344</v>
      </c>
      <c r="C105" s="446">
        <v>1209284.0900000001</v>
      </c>
      <c r="D105" s="446">
        <v>140747.29999999999</v>
      </c>
      <c r="E105" s="446"/>
      <c r="F105" s="446">
        <v>0</v>
      </c>
      <c r="G105" s="446">
        <v>14503.55</v>
      </c>
      <c r="H105" s="446">
        <v>191.8</v>
      </c>
      <c r="I105" s="446">
        <v>0</v>
      </c>
      <c r="J105" s="446">
        <v>12529.03</v>
      </c>
      <c r="K105" s="446">
        <v>8767.2000000000007</v>
      </c>
      <c r="L105" s="446">
        <v>199766.6</v>
      </c>
      <c r="M105" s="506">
        <f t="shared" si="4"/>
        <v>1585789.5700000003</v>
      </c>
      <c r="N105" s="446">
        <v>43934.400000000001</v>
      </c>
      <c r="O105" s="446">
        <v>21402.799999999999</v>
      </c>
      <c r="P105" s="446">
        <v>70205.5</v>
      </c>
      <c r="Q105" s="446">
        <v>-21.02</v>
      </c>
      <c r="R105" s="446">
        <v>32604.15</v>
      </c>
      <c r="S105" s="446">
        <v>1441.7493617864645</v>
      </c>
      <c r="T105" s="506">
        <f t="shared" si="5"/>
        <v>1755357.1493617867</v>
      </c>
      <c r="U105" s="446">
        <v>-25560.43</v>
      </c>
      <c r="V105" s="446"/>
      <c r="W105" s="446">
        <v>-0.11</v>
      </c>
      <c r="X105" s="448">
        <v>71.5</v>
      </c>
      <c r="Y105" s="448">
        <v>1.2</v>
      </c>
      <c r="Z105" s="446">
        <v>894</v>
      </c>
      <c r="AA105" s="269"/>
      <c r="AB105" s="446">
        <v>29817</v>
      </c>
      <c r="AC105" s="450">
        <f>AB105/VPI!R105</f>
        <v>1.3949082806155708</v>
      </c>
      <c r="AD105" s="452">
        <f t="shared" si="6"/>
        <v>171129</v>
      </c>
      <c r="AE105" s="450">
        <f>AD105/VPI!R105</f>
        <v>8.0058107506946374</v>
      </c>
      <c r="AF105" s="446">
        <v>200946</v>
      </c>
      <c r="AG105" s="446">
        <v>39828</v>
      </c>
      <c r="AH105" s="446">
        <v>111197</v>
      </c>
      <c r="AI105" s="272"/>
      <c r="AJ105" s="446">
        <v>0</v>
      </c>
      <c r="AK105" s="450">
        <f>AJ105/VPI!R105</f>
        <v>0</v>
      </c>
      <c r="AL105" s="452">
        <f t="shared" si="7"/>
        <v>52207</v>
      </c>
      <c r="AM105" s="450">
        <f>AL105/VPI!R105</f>
        <v>2.4423643091557539</v>
      </c>
      <c r="AN105" s="446">
        <v>52207</v>
      </c>
      <c r="AO105" s="272"/>
      <c r="AP105" s="541">
        <v>16.538308505557119</v>
      </c>
      <c r="AR105" s="178">
        <v>0</v>
      </c>
    </row>
    <row r="106" spans="1:44" x14ac:dyDescent="0.25">
      <c r="A106" s="193">
        <v>5581</v>
      </c>
      <c r="B106" s="454" t="s">
        <v>318</v>
      </c>
      <c r="C106" s="446">
        <v>12060090.109999999</v>
      </c>
      <c r="D106" s="446">
        <v>1890860.16</v>
      </c>
      <c r="E106" s="446"/>
      <c r="F106" s="446">
        <v>0</v>
      </c>
      <c r="G106" s="446">
        <v>139260.54999999999</v>
      </c>
      <c r="H106" s="446">
        <v>14484.9</v>
      </c>
      <c r="I106" s="446">
        <v>131942.20000000001</v>
      </c>
      <c r="J106" s="446">
        <v>188125.99</v>
      </c>
      <c r="K106" s="446">
        <v>46451.95</v>
      </c>
      <c r="L106" s="446">
        <v>1404786.75</v>
      </c>
      <c r="M106" s="506">
        <f t="shared" si="4"/>
        <v>15876002.609999999</v>
      </c>
      <c r="N106" s="446">
        <v>6504.65</v>
      </c>
      <c r="O106" s="446">
        <v>403696.7</v>
      </c>
      <c r="P106" s="446">
        <v>817770.75</v>
      </c>
      <c r="Q106" s="446">
        <v>2457.84</v>
      </c>
      <c r="R106" s="446">
        <v>404928.55</v>
      </c>
      <c r="S106" s="446">
        <v>15083.846551124867</v>
      </c>
      <c r="T106" s="506">
        <f t="shared" si="5"/>
        <v>17526444.946551125</v>
      </c>
      <c r="U106" s="446">
        <v>-119092.76</v>
      </c>
      <c r="V106" s="446"/>
      <c r="W106" s="446">
        <v>-13459.88</v>
      </c>
      <c r="X106" s="448">
        <v>72</v>
      </c>
      <c r="Y106" s="448">
        <v>1.5</v>
      </c>
      <c r="Z106" s="446">
        <v>3756</v>
      </c>
      <c r="AA106" s="269"/>
      <c r="AB106" s="446">
        <v>660487</v>
      </c>
      <c r="AC106" s="450">
        <f>AB106/VPI!R106</f>
        <v>3.1096518309954724</v>
      </c>
      <c r="AD106" s="452">
        <f t="shared" si="6"/>
        <v>524189</v>
      </c>
      <c r="AE106" s="450">
        <f>AD106/VPI!R106</f>
        <v>2.4679445373454523</v>
      </c>
      <c r="AF106" s="446">
        <v>1184676</v>
      </c>
      <c r="AG106" s="446">
        <v>1255890</v>
      </c>
      <c r="AH106" s="446">
        <v>227149</v>
      </c>
      <c r="AI106" s="272"/>
      <c r="AJ106" s="446">
        <v>0</v>
      </c>
      <c r="AK106" s="450">
        <f>AJ106/VPI!R106</f>
        <v>0</v>
      </c>
      <c r="AL106" s="452">
        <f t="shared" si="7"/>
        <v>18402</v>
      </c>
      <c r="AM106" s="450">
        <f>AL106/VPI!R106</f>
        <v>8.6638818014553934E-2</v>
      </c>
      <c r="AN106" s="446">
        <v>18402</v>
      </c>
      <c r="AO106" s="272"/>
      <c r="AP106" s="541">
        <v>29.546808011178491</v>
      </c>
      <c r="AR106" s="178">
        <v>1</v>
      </c>
    </row>
    <row r="107" spans="1:44" x14ac:dyDescent="0.25">
      <c r="A107" s="193">
        <v>5582</v>
      </c>
      <c r="B107" s="454" t="s">
        <v>319</v>
      </c>
      <c r="C107" s="446">
        <v>9121701.8399999999</v>
      </c>
      <c r="D107" s="446">
        <v>1065704.1100000001</v>
      </c>
      <c r="E107" s="446"/>
      <c r="F107" s="446">
        <v>0</v>
      </c>
      <c r="G107" s="446">
        <v>230560.75</v>
      </c>
      <c r="H107" s="446">
        <v>165497.95000000001</v>
      </c>
      <c r="I107" s="446">
        <v>69493.399999999994</v>
      </c>
      <c r="J107" s="446">
        <v>325747.37</v>
      </c>
      <c r="K107" s="446">
        <v>81995.5</v>
      </c>
      <c r="L107" s="446">
        <v>921147.6</v>
      </c>
      <c r="M107" s="506">
        <f t="shared" si="4"/>
        <v>11981848.519999998</v>
      </c>
      <c r="N107" s="446">
        <v>472098.15</v>
      </c>
      <c r="O107" s="446">
        <v>121067</v>
      </c>
      <c r="P107" s="446">
        <v>279093.84999999998</v>
      </c>
      <c r="Q107" s="446">
        <v>39706.730000000003</v>
      </c>
      <c r="R107" s="446">
        <v>197899.8</v>
      </c>
      <c r="S107" s="446">
        <v>38857.011092282723</v>
      </c>
      <c r="T107" s="506">
        <f t="shared" si="5"/>
        <v>13130571.061092282</v>
      </c>
      <c r="U107" s="446">
        <v>-110947.42</v>
      </c>
      <c r="V107" s="446"/>
      <c r="W107" s="446">
        <v>-2152.39</v>
      </c>
      <c r="X107" s="448">
        <v>73</v>
      </c>
      <c r="Y107" s="448">
        <v>1</v>
      </c>
      <c r="Z107" s="446">
        <v>4367</v>
      </c>
      <c r="AA107" s="269"/>
      <c r="AB107" s="446">
        <v>231020</v>
      </c>
      <c r="AC107" s="450">
        <f>AB107/VPI!R107</f>
        <v>1.4115693440710317</v>
      </c>
      <c r="AD107" s="452">
        <f t="shared" si="6"/>
        <v>1048085</v>
      </c>
      <c r="AE107" s="450">
        <f>AD107/VPI!R107</f>
        <v>6.4039678641705793</v>
      </c>
      <c r="AF107" s="446">
        <v>1279105</v>
      </c>
      <c r="AG107" s="446">
        <v>390781</v>
      </c>
      <c r="AH107" s="446">
        <v>188372</v>
      </c>
      <c r="AI107" s="272"/>
      <c r="AJ107" s="446">
        <v>0</v>
      </c>
      <c r="AK107" s="450">
        <f>AJ107/VPI!R107</f>
        <v>0</v>
      </c>
      <c r="AL107" s="452">
        <f t="shared" si="7"/>
        <v>69630</v>
      </c>
      <c r="AM107" s="450">
        <f>AL107/VPI!R107</f>
        <v>0.42545049531497681</v>
      </c>
      <c r="AN107" s="446">
        <v>69630</v>
      </c>
      <c r="AO107" s="272"/>
      <c r="AP107" s="541">
        <v>21.411870250200796</v>
      </c>
      <c r="AR107" s="178">
        <v>0</v>
      </c>
    </row>
    <row r="108" spans="1:44" x14ac:dyDescent="0.25">
      <c r="A108" s="193">
        <v>5583</v>
      </c>
      <c r="B108" s="454" t="s">
        <v>320</v>
      </c>
      <c r="C108" s="446">
        <v>12547638.689999999</v>
      </c>
      <c r="D108" s="446">
        <v>1846426.18</v>
      </c>
      <c r="E108" s="446"/>
      <c r="F108" s="446">
        <v>0</v>
      </c>
      <c r="G108" s="446">
        <v>4564226.3</v>
      </c>
      <c r="H108" s="446">
        <v>250947.65</v>
      </c>
      <c r="I108" s="446">
        <v>0</v>
      </c>
      <c r="J108" s="446">
        <v>1042296.27</v>
      </c>
      <c r="K108" s="446">
        <v>354891.75</v>
      </c>
      <c r="L108" s="446">
        <v>2476289.65</v>
      </c>
      <c r="M108" s="506">
        <f t="shared" si="4"/>
        <v>23082716.489999995</v>
      </c>
      <c r="N108" s="446">
        <v>2295455.25</v>
      </c>
      <c r="O108" s="446">
        <v>134944.04999999999</v>
      </c>
      <c r="P108" s="446">
        <v>967869.6</v>
      </c>
      <c r="Q108" s="446">
        <v>49453.58</v>
      </c>
      <c r="R108" s="446">
        <v>407895.5</v>
      </c>
      <c r="S108" s="446">
        <v>472412.97208323103</v>
      </c>
      <c r="T108" s="506">
        <f t="shared" si="5"/>
        <v>27410747.442083225</v>
      </c>
      <c r="U108" s="446">
        <v>-331383.8</v>
      </c>
      <c r="V108" s="446"/>
      <c r="W108" s="446">
        <v>-4299.21</v>
      </c>
      <c r="X108" s="448">
        <v>63.5</v>
      </c>
      <c r="Y108" s="448">
        <v>1</v>
      </c>
      <c r="Z108" s="446">
        <v>8700</v>
      </c>
      <c r="AA108" s="269"/>
      <c r="AB108" s="446">
        <v>463329</v>
      </c>
      <c r="AC108" s="450">
        <f>AB108/VPI!R108</f>
        <v>1.2644083501770047</v>
      </c>
      <c r="AD108" s="452">
        <f t="shared" si="6"/>
        <v>1886365</v>
      </c>
      <c r="AE108" s="450">
        <f>AD108/VPI!R108</f>
        <v>5.1478229454267819</v>
      </c>
      <c r="AF108" s="446">
        <v>2349694</v>
      </c>
      <c r="AG108" s="446">
        <v>3954133</v>
      </c>
      <c r="AH108" s="446">
        <v>279889</v>
      </c>
      <c r="AI108" s="272"/>
      <c r="AJ108" s="446">
        <v>0</v>
      </c>
      <c r="AK108" s="450">
        <f>AJ108/VPI!R108</f>
        <v>0</v>
      </c>
      <c r="AL108" s="452">
        <f t="shared" si="7"/>
        <v>104841</v>
      </c>
      <c r="AM108" s="450">
        <f>AL108/VPI!R108</f>
        <v>0.28610735749522981</v>
      </c>
      <c r="AN108" s="446">
        <v>104841</v>
      </c>
      <c r="AO108" s="272"/>
      <c r="AP108" s="541">
        <v>20.08928801424355</v>
      </c>
      <c r="AR108" s="178">
        <v>1</v>
      </c>
    </row>
    <row r="109" spans="1:44" x14ac:dyDescent="0.25">
      <c r="A109" s="193">
        <v>5584</v>
      </c>
      <c r="B109" s="454" t="s">
        <v>321</v>
      </c>
      <c r="C109" s="446">
        <v>23013193.100000001</v>
      </c>
      <c r="D109" s="446">
        <v>4159910.18</v>
      </c>
      <c r="E109" s="446"/>
      <c r="F109" s="446">
        <v>0</v>
      </c>
      <c r="G109" s="446">
        <v>504337.95</v>
      </c>
      <c r="H109" s="446">
        <v>345897.95</v>
      </c>
      <c r="I109" s="446">
        <v>285041.2</v>
      </c>
      <c r="J109" s="446">
        <v>398882.56</v>
      </c>
      <c r="K109" s="446">
        <v>272356.65000000002</v>
      </c>
      <c r="L109" s="446">
        <v>2300043.75</v>
      </c>
      <c r="M109" s="506">
        <f t="shared" si="4"/>
        <v>31279663.339999996</v>
      </c>
      <c r="N109" s="446">
        <v>308569.90000000002</v>
      </c>
      <c r="O109" s="446">
        <v>801108.5</v>
      </c>
      <c r="P109" s="446">
        <v>1422716.85</v>
      </c>
      <c r="Q109" s="446">
        <v>93414.96</v>
      </c>
      <c r="R109" s="446">
        <v>1316494.45</v>
      </c>
      <c r="S109" s="446">
        <v>83415.983028164716</v>
      </c>
      <c r="T109" s="506">
        <f t="shared" si="5"/>
        <v>35305383.983028166</v>
      </c>
      <c r="U109" s="446">
        <v>-297070.43</v>
      </c>
      <c r="V109" s="446"/>
      <c r="W109" s="446">
        <v>-81514.34</v>
      </c>
      <c r="X109" s="448">
        <v>64.5</v>
      </c>
      <c r="Y109" s="448">
        <v>1</v>
      </c>
      <c r="Z109" s="446">
        <v>9755</v>
      </c>
      <c r="AA109" s="269"/>
      <c r="AB109" s="446">
        <v>1048997</v>
      </c>
      <c r="AC109" s="450">
        <f>AB109/VPI!R109</f>
        <v>2.1771189748665734</v>
      </c>
      <c r="AD109" s="452">
        <f t="shared" si="6"/>
        <v>3006294</v>
      </c>
      <c r="AE109" s="450">
        <f>AD109/VPI!R109</f>
        <v>6.2393502664235747</v>
      </c>
      <c r="AF109" s="446">
        <v>4055291</v>
      </c>
      <c r="AG109" s="446">
        <v>3613685</v>
      </c>
      <c r="AH109" s="446">
        <v>691300</v>
      </c>
      <c r="AI109" s="272"/>
      <c r="AJ109" s="446">
        <v>12209</v>
      </c>
      <c r="AK109" s="450">
        <f>AJ109/VPI!R109</f>
        <v>2.5338914757760025E-2</v>
      </c>
      <c r="AL109" s="452">
        <f t="shared" si="7"/>
        <v>281393</v>
      </c>
      <c r="AM109" s="450">
        <f>AL109/VPI!R109</f>
        <v>0.58401124092311962</v>
      </c>
      <c r="AN109" s="446">
        <v>293602</v>
      </c>
      <c r="AO109" s="272"/>
      <c r="AP109" s="541">
        <v>25.542707623145265</v>
      </c>
      <c r="AR109" s="178">
        <v>0</v>
      </c>
    </row>
    <row r="110" spans="1:44" x14ac:dyDescent="0.25">
      <c r="A110" s="193">
        <v>5585</v>
      </c>
      <c r="B110" s="454" t="s">
        <v>322</v>
      </c>
      <c r="C110" s="446">
        <v>7349240.29</v>
      </c>
      <c r="D110" s="446">
        <v>3606876.94</v>
      </c>
      <c r="E110" s="446"/>
      <c r="F110" s="446">
        <v>0</v>
      </c>
      <c r="G110" s="446">
        <v>80921.2</v>
      </c>
      <c r="H110" s="446">
        <v>3264.05</v>
      </c>
      <c r="I110" s="446">
        <v>296758.96000000002</v>
      </c>
      <c r="J110" s="446">
        <v>48157.27</v>
      </c>
      <c r="K110" s="446">
        <v>8097.1</v>
      </c>
      <c r="L110" s="446">
        <v>569301.85</v>
      </c>
      <c r="M110" s="506">
        <f t="shared" si="4"/>
        <v>11962617.66</v>
      </c>
      <c r="N110" s="446">
        <v>1302.3</v>
      </c>
      <c r="O110" s="446">
        <v>435141.9</v>
      </c>
      <c r="P110" s="446">
        <v>291775.95</v>
      </c>
      <c r="Q110" s="446">
        <v>0</v>
      </c>
      <c r="R110" s="446">
        <v>369624.65</v>
      </c>
      <c r="S110" s="446">
        <v>8259.3494172873707</v>
      </c>
      <c r="T110" s="506">
        <f t="shared" si="5"/>
        <v>13068721.809417289</v>
      </c>
      <c r="U110" s="446">
        <v>-10146.69</v>
      </c>
      <c r="V110" s="446"/>
      <c r="W110" s="446">
        <v>-15778.42</v>
      </c>
      <c r="X110" s="448">
        <v>59</v>
      </c>
      <c r="Y110" s="448">
        <v>1</v>
      </c>
      <c r="Z110" s="446">
        <v>1411</v>
      </c>
      <c r="AA110" s="269"/>
      <c r="AB110" s="446">
        <v>40021</v>
      </c>
      <c r="AC110" s="450">
        <f>AB110/VPI!R110</f>
        <v>0.19767672736423395</v>
      </c>
      <c r="AD110" s="452">
        <f t="shared" si="6"/>
        <v>378751</v>
      </c>
      <c r="AE110" s="450">
        <f>AD110/VPI!R110</f>
        <v>1.8707742976420123</v>
      </c>
      <c r="AF110" s="446">
        <v>418772</v>
      </c>
      <c r="AG110" s="446">
        <v>101795</v>
      </c>
      <c r="AH110" s="446">
        <v>43376</v>
      </c>
      <c r="AI110" s="272"/>
      <c r="AJ110" s="446">
        <v>0</v>
      </c>
      <c r="AK110" s="450">
        <f>AJ110/VPI!R110</f>
        <v>0</v>
      </c>
      <c r="AL110" s="452">
        <f t="shared" si="7"/>
        <v>41246</v>
      </c>
      <c r="AM110" s="450">
        <f>AL110/VPI!R110</f>
        <v>0.20372740053634825</v>
      </c>
      <c r="AN110" s="446">
        <v>41246</v>
      </c>
      <c r="AO110" s="272"/>
      <c r="AP110" s="541">
        <v>47.999999999999993</v>
      </c>
      <c r="AR110" s="178">
        <v>0</v>
      </c>
    </row>
    <row r="111" spans="1:44" x14ac:dyDescent="0.25">
      <c r="A111" s="193">
        <v>5586</v>
      </c>
      <c r="B111" s="454" t="s">
        <v>108</v>
      </c>
      <c r="C111" s="446">
        <v>302465903.94</v>
      </c>
      <c r="D111" s="446">
        <v>39572236.310000002</v>
      </c>
      <c r="E111" s="446"/>
      <c r="F111" s="446">
        <v>0</v>
      </c>
      <c r="G111" s="446">
        <v>66432498.200000003</v>
      </c>
      <c r="H111" s="446">
        <v>6762092.75</v>
      </c>
      <c r="I111" s="446">
        <v>5562328.7800000003</v>
      </c>
      <c r="J111" s="446">
        <v>24474697.559999999</v>
      </c>
      <c r="K111" s="446">
        <v>6699861.25</v>
      </c>
      <c r="L111" s="446">
        <v>42927610.149999999</v>
      </c>
      <c r="M111" s="506">
        <f t="shared" si="4"/>
        <v>494897228.93999994</v>
      </c>
      <c r="N111" s="446">
        <v>13812872.5</v>
      </c>
      <c r="O111" s="446">
        <v>12289230.4</v>
      </c>
      <c r="P111" s="446">
        <v>11894547.550000001</v>
      </c>
      <c r="Q111" s="446">
        <v>1648272.55</v>
      </c>
      <c r="R111" s="446">
        <v>12773118.1</v>
      </c>
      <c r="S111" s="446">
        <v>7965938.1234778827</v>
      </c>
      <c r="T111" s="506">
        <f t="shared" si="5"/>
        <v>555281208.1634779</v>
      </c>
      <c r="U111" s="446">
        <v>-6854187.4400000004</v>
      </c>
      <c r="V111" s="446"/>
      <c r="W111" s="446">
        <v>-740552.9</v>
      </c>
      <c r="X111" s="448">
        <v>78.5</v>
      </c>
      <c r="Y111" s="448">
        <v>1.5</v>
      </c>
      <c r="Z111" s="446">
        <v>140430</v>
      </c>
      <c r="AA111" s="269"/>
      <c r="AB111" s="446">
        <v>2672029</v>
      </c>
      <c r="AC111" s="450">
        <f>AB111/VPI!R111</f>
        <v>0.43462705881333052</v>
      </c>
      <c r="AD111" s="452">
        <f t="shared" si="6"/>
        <v>46965188</v>
      </c>
      <c r="AE111" s="450">
        <f>AD111/VPI!R111</f>
        <v>7.6392664626974947</v>
      </c>
      <c r="AF111" s="446">
        <v>49637217</v>
      </c>
      <c r="AG111" s="446">
        <v>58165191</v>
      </c>
      <c r="AH111" s="446">
        <v>2207810</v>
      </c>
      <c r="AI111" s="272"/>
      <c r="AJ111" s="446">
        <v>0</v>
      </c>
      <c r="AK111" s="450">
        <f>AJ111/VPI!R111</f>
        <v>0</v>
      </c>
      <c r="AL111" s="452">
        <f t="shared" si="7"/>
        <v>2119471</v>
      </c>
      <c r="AM111" s="450">
        <f>AL111/VPI!R111</f>
        <v>0.34474904537718282</v>
      </c>
      <c r="AN111" s="446">
        <v>2119471</v>
      </c>
      <c r="AO111" s="272"/>
      <c r="AP111" s="541">
        <v>8.9863927748101169</v>
      </c>
      <c r="AR111" s="178">
        <v>1</v>
      </c>
    </row>
    <row r="112" spans="1:44" x14ac:dyDescent="0.25">
      <c r="A112" s="193">
        <v>5587</v>
      </c>
      <c r="B112" s="454" t="s">
        <v>109</v>
      </c>
      <c r="C112" s="446">
        <v>24657213.68</v>
      </c>
      <c r="D112" s="446">
        <v>3694286.73</v>
      </c>
      <c r="E112" s="446"/>
      <c r="F112" s="446">
        <v>0</v>
      </c>
      <c r="G112" s="446">
        <v>1450822.15</v>
      </c>
      <c r="H112" s="446">
        <v>491937.3</v>
      </c>
      <c r="I112" s="446">
        <v>303939.15000000002</v>
      </c>
      <c r="J112" s="446">
        <v>487004.75</v>
      </c>
      <c r="K112" s="446">
        <v>327992.5</v>
      </c>
      <c r="L112" s="446">
        <v>3059841.6</v>
      </c>
      <c r="M112" s="506">
        <f t="shared" si="4"/>
        <v>34473037.859999999</v>
      </c>
      <c r="N112" s="446">
        <v>522589.6</v>
      </c>
      <c r="O112" s="446">
        <v>1395734.6</v>
      </c>
      <c r="P112" s="446">
        <v>1269317.8</v>
      </c>
      <c r="Q112" s="446">
        <v>57226.67</v>
      </c>
      <c r="R112" s="446">
        <v>506246</v>
      </c>
      <c r="S112" s="446">
        <v>190602.61900139315</v>
      </c>
      <c r="T112" s="506">
        <f t="shared" si="5"/>
        <v>38414755.149001397</v>
      </c>
      <c r="U112" s="446">
        <v>-1660558.52</v>
      </c>
      <c r="V112" s="446"/>
      <c r="W112" s="446">
        <v>-42495.95</v>
      </c>
      <c r="X112" s="448">
        <v>73.5</v>
      </c>
      <c r="Y112" s="448">
        <v>1.2</v>
      </c>
      <c r="Z112" s="446">
        <v>9136</v>
      </c>
      <c r="AA112" s="269"/>
      <c r="AB112" s="446">
        <v>603365</v>
      </c>
      <c r="AC112" s="450">
        <f>AB112/VPI!R112</f>
        <v>1.3642041045000246</v>
      </c>
      <c r="AD112" s="452">
        <f t="shared" si="6"/>
        <v>2691582</v>
      </c>
      <c r="AE112" s="450">
        <f>AD112/VPI!R112</f>
        <v>6.0856483422114058</v>
      </c>
      <c r="AF112" s="446">
        <v>3294947</v>
      </c>
      <c r="AG112" s="446">
        <v>2452529</v>
      </c>
      <c r="AH112" s="446">
        <v>673107</v>
      </c>
      <c r="AI112" s="272"/>
      <c r="AJ112" s="446">
        <v>0</v>
      </c>
      <c r="AK112" s="450">
        <f>AJ112/VPI!R112</f>
        <v>0</v>
      </c>
      <c r="AL112" s="452">
        <f t="shared" si="7"/>
        <v>47469</v>
      </c>
      <c r="AM112" s="450">
        <f>AL112/VPI!R112</f>
        <v>0.10732708167777658</v>
      </c>
      <c r="AN112" s="446">
        <v>47469</v>
      </c>
      <c r="AO112" s="272"/>
      <c r="AP112" s="541">
        <v>25.988839394642717</v>
      </c>
      <c r="AR112" s="178">
        <v>0</v>
      </c>
    </row>
    <row r="113" spans="1:44" x14ac:dyDescent="0.25">
      <c r="A113" s="193">
        <v>5588</v>
      </c>
      <c r="B113" s="454" t="s">
        <v>110</v>
      </c>
      <c r="C113" s="446">
        <v>4286190.13</v>
      </c>
      <c r="D113" s="446">
        <v>1662128.17</v>
      </c>
      <c r="E113" s="446"/>
      <c r="F113" s="446">
        <v>0</v>
      </c>
      <c r="G113" s="446">
        <v>25736.7</v>
      </c>
      <c r="H113" s="446">
        <v>349341.1</v>
      </c>
      <c r="I113" s="446">
        <v>1773887.12</v>
      </c>
      <c r="J113" s="446">
        <v>312946.12</v>
      </c>
      <c r="K113" s="446">
        <v>53488.55</v>
      </c>
      <c r="L113" s="446">
        <v>398367.05</v>
      </c>
      <c r="M113" s="506">
        <f t="shared" si="4"/>
        <v>8862084.9400000013</v>
      </c>
      <c r="N113" s="446">
        <v>18272.150000000001</v>
      </c>
      <c r="O113" s="446">
        <v>0</v>
      </c>
      <c r="P113" s="446">
        <v>324217.90000000002</v>
      </c>
      <c r="Q113" s="446">
        <v>4490.5600000000004</v>
      </c>
      <c r="R113" s="446">
        <v>210737.25</v>
      </c>
      <c r="S113" s="446">
        <v>36798.591307472852</v>
      </c>
      <c r="T113" s="506">
        <f t="shared" si="5"/>
        <v>9456601.391307475</v>
      </c>
      <c r="U113" s="446">
        <v>-21713.48</v>
      </c>
      <c r="V113" s="446"/>
      <c r="W113" s="446">
        <v>-53249.09</v>
      </c>
      <c r="X113" s="448">
        <v>66.5</v>
      </c>
      <c r="Y113" s="448">
        <v>0.7</v>
      </c>
      <c r="Z113" s="446">
        <v>1538</v>
      </c>
      <c r="AA113" s="269"/>
      <c r="AB113" s="446">
        <v>115981</v>
      </c>
      <c r="AC113" s="450">
        <f>AB113/VPI!R113</f>
        <v>0.85705259388328614</v>
      </c>
      <c r="AD113" s="452">
        <f t="shared" si="6"/>
        <v>122493</v>
      </c>
      <c r="AE113" s="450">
        <f>AD113/VPI!R113</f>
        <v>0.90517363518632687</v>
      </c>
      <c r="AF113" s="446">
        <v>238474</v>
      </c>
      <c r="AG113" s="446">
        <v>509099</v>
      </c>
      <c r="AH113" s="446">
        <v>39909</v>
      </c>
      <c r="AI113" s="272"/>
      <c r="AJ113" s="446">
        <v>0</v>
      </c>
      <c r="AK113" s="450">
        <f>AJ113/VPI!R113</f>
        <v>0</v>
      </c>
      <c r="AL113" s="452">
        <f t="shared" si="7"/>
        <v>0</v>
      </c>
      <c r="AM113" s="450">
        <f>AL113/VPI!R113</f>
        <v>0</v>
      </c>
      <c r="AN113" s="446">
        <v>0</v>
      </c>
      <c r="AO113" s="272"/>
      <c r="AP113" s="541">
        <v>42.922975253247955</v>
      </c>
      <c r="AR113" s="178">
        <v>1</v>
      </c>
    </row>
    <row r="114" spans="1:44" x14ac:dyDescent="0.25">
      <c r="A114" s="193">
        <v>5589</v>
      </c>
      <c r="B114" s="454" t="s">
        <v>111</v>
      </c>
      <c r="C114" s="446">
        <v>19630511.370000001</v>
      </c>
      <c r="D114" s="446">
        <v>2177063.62</v>
      </c>
      <c r="E114" s="446"/>
      <c r="F114" s="446">
        <v>0</v>
      </c>
      <c r="G114" s="446">
        <v>5851512.4500000002</v>
      </c>
      <c r="H114" s="446">
        <v>316150.2</v>
      </c>
      <c r="I114" s="446">
        <v>194742.55</v>
      </c>
      <c r="J114" s="446">
        <v>1577734.95</v>
      </c>
      <c r="K114" s="446">
        <v>476420.1</v>
      </c>
      <c r="L114" s="446">
        <v>3009539.35</v>
      </c>
      <c r="M114" s="506">
        <f t="shared" si="4"/>
        <v>33233674.590000004</v>
      </c>
      <c r="N114" s="446">
        <v>1167452.6499999999</v>
      </c>
      <c r="O114" s="446">
        <v>710258.8</v>
      </c>
      <c r="P114" s="446">
        <v>666016.44999999995</v>
      </c>
      <c r="Q114" s="446">
        <v>64448.13</v>
      </c>
      <c r="R114" s="446">
        <v>566627.85</v>
      </c>
      <c r="S114" s="446">
        <v>605104.58678096917</v>
      </c>
      <c r="T114" s="506">
        <f t="shared" si="5"/>
        <v>37013583.056780979</v>
      </c>
      <c r="U114" s="446">
        <v>-335813.23</v>
      </c>
      <c r="V114" s="446"/>
      <c r="W114" s="446">
        <v>-18843.54</v>
      </c>
      <c r="X114" s="448">
        <v>72.5</v>
      </c>
      <c r="Y114" s="448">
        <v>1.3</v>
      </c>
      <c r="Z114" s="446">
        <v>12383</v>
      </c>
      <c r="AA114" s="269"/>
      <c r="AB114" s="446">
        <v>1154400</v>
      </c>
      <c r="AC114" s="450">
        <f>AB114/VPI!R114</f>
        <v>2.5474475998061239</v>
      </c>
      <c r="AD114" s="452">
        <f t="shared" si="6"/>
        <v>2151303</v>
      </c>
      <c r="AE114" s="450">
        <f>AD114/VPI!R114</f>
        <v>4.7473420511137503</v>
      </c>
      <c r="AF114" s="446">
        <v>3305703</v>
      </c>
      <c r="AG114" s="446">
        <v>3656392</v>
      </c>
      <c r="AH114" s="446">
        <v>145135</v>
      </c>
      <c r="AI114" s="272"/>
      <c r="AJ114" s="446">
        <v>0</v>
      </c>
      <c r="AK114" s="450">
        <f>AJ114/VPI!R114</f>
        <v>0</v>
      </c>
      <c r="AL114" s="452">
        <f t="shared" si="7"/>
        <v>21738</v>
      </c>
      <c r="AM114" s="450">
        <f>AL114/VPI!R114</f>
        <v>4.7969868264540472E-2</v>
      </c>
      <c r="AN114" s="446">
        <v>21738</v>
      </c>
      <c r="AO114" s="272"/>
      <c r="AP114" s="541">
        <v>8.5299151233412847</v>
      </c>
      <c r="AR114" s="178">
        <v>1</v>
      </c>
    </row>
    <row r="115" spans="1:44" x14ac:dyDescent="0.25">
      <c r="A115" s="193">
        <v>5590</v>
      </c>
      <c r="B115" s="454" t="s">
        <v>112</v>
      </c>
      <c r="C115" s="446">
        <v>56258078.600000001</v>
      </c>
      <c r="D115" s="446">
        <v>16689820.6</v>
      </c>
      <c r="E115" s="446"/>
      <c r="F115" s="446">
        <v>0</v>
      </c>
      <c r="G115" s="446">
        <v>3618676.8</v>
      </c>
      <c r="H115" s="446">
        <v>4055683.6</v>
      </c>
      <c r="I115" s="446">
        <v>2885824.78</v>
      </c>
      <c r="J115" s="446">
        <v>1229871.8899999999</v>
      </c>
      <c r="K115" s="446">
        <v>372675.2</v>
      </c>
      <c r="L115" s="446">
        <v>3696803.45</v>
      </c>
      <c r="M115" s="506">
        <f t="shared" si="4"/>
        <v>88807434.920000002</v>
      </c>
      <c r="N115" s="446">
        <v>153086.15</v>
      </c>
      <c r="O115" s="446">
        <v>1762846</v>
      </c>
      <c r="P115" s="446">
        <v>4021807.65</v>
      </c>
      <c r="Q115" s="446">
        <v>97237.75</v>
      </c>
      <c r="R115" s="446">
        <v>3175239.05</v>
      </c>
      <c r="S115" s="446">
        <v>752925.53146534914</v>
      </c>
      <c r="T115" s="506">
        <f t="shared" si="5"/>
        <v>98770577.051465362</v>
      </c>
      <c r="U115" s="446">
        <v>-425355.01</v>
      </c>
      <c r="V115" s="446"/>
      <c r="W115" s="446">
        <v>-766422.94</v>
      </c>
      <c r="X115" s="448">
        <v>61</v>
      </c>
      <c r="Y115" s="448">
        <v>0.7</v>
      </c>
      <c r="Z115" s="446">
        <v>18688</v>
      </c>
      <c r="AA115" s="269"/>
      <c r="AB115" s="446">
        <v>1826565</v>
      </c>
      <c r="AC115" s="450">
        <f>AB115/VPI!R115</f>
        <v>1.2373155064267682</v>
      </c>
      <c r="AD115" s="452">
        <f t="shared" si="6"/>
        <v>3985693</v>
      </c>
      <c r="AE115" s="450">
        <f>AD115/VPI!R115</f>
        <v>2.6999092574075521</v>
      </c>
      <c r="AF115" s="446">
        <v>5812258</v>
      </c>
      <c r="AG115" s="446">
        <v>8791749</v>
      </c>
      <c r="AH115" s="446">
        <v>350758</v>
      </c>
      <c r="AI115" s="272"/>
      <c r="AJ115" s="446">
        <v>78102</v>
      </c>
      <c r="AK115" s="450">
        <f>AJ115/VPI!R115</f>
        <v>5.2906310852854105E-2</v>
      </c>
      <c r="AL115" s="452">
        <f t="shared" si="7"/>
        <v>521895</v>
      </c>
      <c r="AM115" s="450">
        <f>AL115/VPI!R115</f>
        <v>0.35353178026875487</v>
      </c>
      <c r="AN115" s="446">
        <v>599997</v>
      </c>
      <c r="AO115" s="272"/>
      <c r="AP115" s="541">
        <v>34.52865095015013</v>
      </c>
      <c r="AR115" s="178">
        <v>1</v>
      </c>
    </row>
    <row r="116" spans="1:44" x14ac:dyDescent="0.25">
      <c r="A116" s="193">
        <v>5591</v>
      </c>
      <c r="B116" s="454" t="s">
        <v>325</v>
      </c>
      <c r="C116" s="446">
        <v>29655035.82</v>
      </c>
      <c r="D116" s="446">
        <v>3120595.88</v>
      </c>
      <c r="E116" s="446"/>
      <c r="F116" s="446">
        <v>0</v>
      </c>
      <c r="G116" s="446">
        <v>6210346.4000000004</v>
      </c>
      <c r="H116" s="446">
        <v>384973.7</v>
      </c>
      <c r="I116" s="446">
        <v>0</v>
      </c>
      <c r="J116" s="446">
        <v>2464233.13</v>
      </c>
      <c r="K116" s="446">
        <v>728905.4</v>
      </c>
      <c r="L116" s="446">
        <v>5014400.55</v>
      </c>
      <c r="M116" s="506">
        <f t="shared" si="4"/>
        <v>47578490.880000003</v>
      </c>
      <c r="N116" s="446">
        <v>2364789</v>
      </c>
      <c r="O116" s="446">
        <v>1102475.1000000001</v>
      </c>
      <c r="P116" s="446">
        <v>2169137.5</v>
      </c>
      <c r="Q116" s="446">
        <v>329854.67</v>
      </c>
      <c r="R116" s="446">
        <v>1117007.05</v>
      </c>
      <c r="S116" s="446">
        <v>647061.72666540369</v>
      </c>
      <c r="T116" s="506">
        <f t="shared" si="5"/>
        <v>55308815.92666541</v>
      </c>
      <c r="U116" s="446">
        <v>-1308350.45</v>
      </c>
      <c r="V116" s="446"/>
      <c r="W116" s="446">
        <v>-8754.91</v>
      </c>
      <c r="X116" s="448">
        <v>77</v>
      </c>
      <c r="Y116" s="448">
        <v>1.4</v>
      </c>
      <c r="Z116" s="446">
        <v>20863</v>
      </c>
      <c r="AA116" s="269"/>
      <c r="AB116" s="446">
        <v>730641</v>
      </c>
      <c r="AC116" s="450">
        <f>AB116/VPI!R116</f>
        <v>1.2282196345626972</v>
      </c>
      <c r="AD116" s="452">
        <f t="shared" si="6"/>
        <v>3514561</v>
      </c>
      <c r="AE116" s="450">
        <f>AD116/VPI!R116</f>
        <v>5.9080353101842187</v>
      </c>
      <c r="AF116" s="446">
        <v>4245202</v>
      </c>
      <c r="AG116" s="446">
        <v>7993256</v>
      </c>
      <c r="AH116" s="446">
        <v>189487</v>
      </c>
      <c r="AI116" s="272"/>
      <c r="AJ116" s="446">
        <v>0</v>
      </c>
      <c r="AK116" s="450">
        <f>AJ116/VPI!R116</f>
        <v>0</v>
      </c>
      <c r="AL116" s="452">
        <f t="shared" si="7"/>
        <v>38153</v>
      </c>
      <c r="AM116" s="450">
        <f>AL116/VPI!R116</f>
        <v>6.4135825552454062E-2</v>
      </c>
      <c r="AN116" s="446">
        <v>38153</v>
      </c>
      <c r="AO116" s="272"/>
      <c r="AP116" s="541">
        <v>-11.116140422997647</v>
      </c>
      <c r="AR116" s="178">
        <v>1</v>
      </c>
    </row>
    <row r="117" spans="1:44" x14ac:dyDescent="0.25">
      <c r="A117" s="193">
        <v>5592</v>
      </c>
      <c r="B117" s="454" t="s">
        <v>191</v>
      </c>
      <c r="C117" s="446">
        <v>6087510.3099999996</v>
      </c>
      <c r="D117" s="446">
        <v>783894.22</v>
      </c>
      <c r="E117" s="446"/>
      <c r="F117" s="446">
        <v>0</v>
      </c>
      <c r="G117" s="446">
        <v>559962.4</v>
      </c>
      <c r="H117" s="446">
        <v>75994.75</v>
      </c>
      <c r="I117" s="446">
        <v>45581.35</v>
      </c>
      <c r="J117" s="446">
        <v>186916.63</v>
      </c>
      <c r="K117" s="446">
        <v>141567.75</v>
      </c>
      <c r="L117" s="446">
        <v>845890.95</v>
      </c>
      <c r="M117" s="506">
        <f t="shared" si="4"/>
        <v>8727318.3599999994</v>
      </c>
      <c r="N117" s="446">
        <v>220475.4</v>
      </c>
      <c r="O117" s="446">
        <v>83.5</v>
      </c>
      <c r="P117" s="446">
        <v>301143.25</v>
      </c>
      <c r="Q117" s="446">
        <v>50808.95</v>
      </c>
      <c r="R117" s="446">
        <v>112571.65</v>
      </c>
      <c r="S117" s="446">
        <v>58477.889201758109</v>
      </c>
      <c r="T117" s="506">
        <f t="shared" si="5"/>
        <v>9470878.9992017578</v>
      </c>
      <c r="U117" s="446">
        <v>-117204.62</v>
      </c>
      <c r="V117" s="446"/>
      <c r="W117" s="446">
        <v>-12135.29</v>
      </c>
      <c r="X117" s="448">
        <v>70.5</v>
      </c>
      <c r="Y117" s="448">
        <v>1.25</v>
      </c>
      <c r="Z117" s="446">
        <v>3247</v>
      </c>
      <c r="AA117" s="269"/>
      <c r="AB117" s="446">
        <v>155302</v>
      </c>
      <c r="AC117" s="450">
        <f>AB117/VPI!R117</f>
        <v>1.2823470729203061</v>
      </c>
      <c r="AD117" s="452">
        <f t="shared" si="6"/>
        <v>823588</v>
      </c>
      <c r="AE117" s="450">
        <f>AD117/VPI!R117</f>
        <v>6.8004640062091219</v>
      </c>
      <c r="AF117" s="446">
        <v>978890</v>
      </c>
      <c r="AG117" s="446">
        <v>240061</v>
      </c>
      <c r="AH117" s="446">
        <v>21869</v>
      </c>
      <c r="AI117" s="272"/>
      <c r="AJ117" s="446">
        <v>0</v>
      </c>
      <c r="AK117" s="450">
        <f>AJ117/VPI!R117</f>
        <v>0</v>
      </c>
      <c r="AL117" s="452">
        <f t="shared" si="7"/>
        <v>9229</v>
      </c>
      <c r="AM117" s="450">
        <f>AL117/VPI!R117</f>
        <v>7.6204949942573208E-2</v>
      </c>
      <c r="AN117" s="446">
        <v>9229</v>
      </c>
      <c r="AO117" s="272"/>
      <c r="AP117" s="541">
        <v>19.227085765610887</v>
      </c>
      <c r="AR117" s="178">
        <v>0</v>
      </c>
    </row>
    <row r="118" spans="1:44" x14ac:dyDescent="0.25">
      <c r="A118" s="193">
        <v>5601</v>
      </c>
      <c r="B118" s="454" t="s">
        <v>254</v>
      </c>
      <c r="C118" s="446">
        <v>4878850.43</v>
      </c>
      <c r="D118" s="446">
        <v>1060518.8799999999</v>
      </c>
      <c r="E118" s="446"/>
      <c r="F118" s="446">
        <v>0</v>
      </c>
      <c r="G118" s="446">
        <v>47216.1</v>
      </c>
      <c r="H118" s="446">
        <v>12717.25</v>
      </c>
      <c r="I118" s="446">
        <v>13068.55</v>
      </c>
      <c r="J118" s="446">
        <v>121037.52</v>
      </c>
      <c r="K118" s="446">
        <v>7556.7</v>
      </c>
      <c r="L118" s="446">
        <v>490552.9</v>
      </c>
      <c r="M118" s="506">
        <f t="shared" si="4"/>
        <v>6631518.3299999991</v>
      </c>
      <c r="N118" s="446">
        <v>47732.35</v>
      </c>
      <c r="O118" s="446">
        <v>310583.40000000002</v>
      </c>
      <c r="P118" s="446">
        <v>590638.19999999995</v>
      </c>
      <c r="Q118" s="446">
        <v>1536.82</v>
      </c>
      <c r="R118" s="446">
        <v>763633.75</v>
      </c>
      <c r="S118" s="446">
        <v>5880.0143659201594</v>
      </c>
      <c r="T118" s="506">
        <f t="shared" si="5"/>
        <v>8351522.8643659195</v>
      </c>
      <c r="U118" s="446">
        <v>-12673.96</v>
      </c>
      <c r="V118" s="446"/>
      <c r="W118" s="446">
        <v>-7708.02</v>
      </c>
      <c r="X118" s="448">
        <v>67.5</v>
      </c>
      <c r="Y118" s="448">
        <v>1</v>
      </c>
      <c r="Z118" s="446">
        <v>2251</v>
      </c>
      <c r="AA118" s="269"/>
      <c r="AB118" s="446">
        <v>206870</v>
      </c>
      <c r="AC118" s="450">
        <f>AB118/VPI!R118</f>
        <v>2.1097851163279233</v>
      </c>
      <c r="AD118" s="452">
        <f t="shared" si="6"/>
        <v>584037</v>
      </c>
      <c r="AE118" s="450">
        <f>AD118/VPI!R118</f>
        <v>5.9563618213603293</v>
      </c>
      <c r="AF118" s="446">
        <v>790907</v>
      </c>
      <c r="AG118" s="446">
        <v>192223</v>
      </c>
      <c r="AH118" s="446">
        <v>284548</v>
      </c>
      <c r="AI118" s="272"/>
      <c r="AJ118" s="446">
        <v>0</v>
      </c>
      <c r="AK118" s="450">
        <f>AJ118/VPI!R118</f>
        <v>0</v>
      </c>
      <c r="AL118" s="452">
        <f t="shared" si="7"/>
        <v>34556</v>
      </c>
      <c r="AM118" s="450">
        <f>AL118/VPI!R118</f>
        <v>0.35242294426368115</v>
      </c>
      <c r="AN118" s="446">
        <v>34556</v>
      </c>
      <c r="AO118" s="272"/>
      <c r="AP118" s="541">
        <v>29.622356685718625</v>
      </c>
      <c r="AR118" s="178">
        <v>1</v>
      </c>
    </row>
    <row r="119" spans="1:44" x14ac:dyDescent="0.25">
      <c r="A119" s="193">
        <v>5604</v>
      </c>
      <c r="B119" s="454" t="s">
        <v>128</v>
      </c>
      <c r="C119" s="446">
        <v>3713769.34</v>
      </c>
      <c r="D119" s="446">
        <v>567698.43999999994</v>
      </c>
      <c r="E119" s="446"/>
      <c r="F119" s="446">
        <v>0</v>
      </c>
      <c r="G119" s="446">
        <v>117455.5</v>
      </c>
      <c r="H119" s="446">
        <v>20763.3</v>
      </c>
      <c r="I119" s="446">
        <v>0</v>
      </c>
      <c r="J119" s="446">
        <v>86748.479999999996</v>
      </c>
      <c r="K119" s="446">
        <v>20348.599999999999</v>
      </c>
      <c r="L119" s="446">
        <v>405290.4</v>
      </c>
      <c r="M119" s="506">
        <f t="shared" si="4"/>
        <v>4932074.0599999996</v>
      </c>
      <c r="N119" s="446">
        <v>105948.3</v>
      </c>
      <c r="O119" s="446">
        <v>-54.75</v>
      </c>
      <c r="P119" s="446">
        <v>210749.5</v>
      </c>
      <c r="Q119" s="446">
        <v>16420.169999999998</v>
      </c>
      <c r="R119" s="446">
        <v>103810.7</v>
      </c>
      <c r="S119" s="446">
        <v>13560.538992735183</v>
      </c>
      <c r="T119" s="506">
        <f t="shared" si="5"/>
        <v>5382508.5189927351</v>
      </c>
      <c r="U119" s="446">
        <v>-43233.91</v>
      </c>
      <c r="V119" s="446"/>
      <c r="W119" s="446">
        <v>-1455.11</v>
      </c>
      <c r="X119" s="448">
        <v>69</v>
      </c>
      <c r="Y119" s="448">
        <v>1</v>
      </c>
      <c r="Z119" s="446">
        <v>2105</v>
      </c>
      <c r="AA119" s="269"/>
      <c r="AB119" s="446">
        <v>85234</v>
      </c>
      <c r="AC119" s="450">
        <f>AB119/VPI!R119</f>
        <v>1.1959952340752127</v>
      </c>
      <c r="AD119" s="452">
        <f t="shared" si="6"/>
        <v>501575</v>
      </c>
      <c r="AE119" s="450">
        <f>AD119/VPI!R119</f>
        <v>7.0380518282759796</v>
      </c>
      <c r="AF119" s="446">
        <v>586809</v>
      </c>
      <c r="AG119" s="446">
        <v>88590</v>
      </c>
      <c r="AH119" s="446">
        <v>284746</v>
      </c>
      <c r="AI119" s="272"/>
      <c r="AJ119" s="446">
        <v>0</v>
      </c>
      <c r="AK119" s="450">
        <f>AJ119/VPI!R119</f>
        <v>0</v>
      </c>
      <c r="AL119" s="452">
        <f t="shared" si="7"/>
        <v>36482</v>
      </c>
      <c r="AM119" s="450">
        <f>AL119/VPI!R119</f>
        <v>0.5119118911412337</v>
      </c>
      <c r="AN119" s="446">
        <v>36482</v>
      </c>
      <c r="AO119" s="272"/>
      <c r="AP119" s="541">
        <v>22.605610461843529</v>
      </c>
      <c r="AR119" s="178">
        <v>0</v>
      </c>
    </row>
    <row r="120" spans="1:44" x14ac:dyDescent="0.25">
      <c r="A120" s="193">
        <v>5606</v>
      </c>
      <c r="B120" s="454" t="s">
        <v>129</v>
      </c>
      <c r="C120" s="446">
        <v>32329769.07</v>
      </c>
      <c r="D120" s="446">
        <v>7421290.46</v>
      </c>
      <c r="E120" s="446"/>
      <c r="F120" s="446">
        <v>0</v>
      </c>
      <c r="G120" s="446">
        <v>2477250.5499999998</v>
      </c>
      <c r="H120" s="446">
        <v>88295.6</v>
      </c>
      <c r="I120" s="446">
        <v>1361832.33</v>
      </c>
      <c r="J120" s="446">
        <v>271196.74</v>
      </c>
      <c r="K120" s="446">
        <v>139267.6</v>
      </c>
      <c r="L120" s="446">
        <v>2236909.9500000002</v>
      </c>
      <c r="M120" s="506">
        <f t="shared" si="4"/>
        <v>46325812.300000004</v>
      </c>
      <c r="N120" s="446">
        <v>149368.25</v>
      </c>
      <c r="O120" s="446">
        <v>1698280.7</v>
      </c>
      <c r="P120" s="446">
        <v>2307429.0499999998</v>
      </c>
      <c r="Q120" s="446">
        <v>-90098.94</v>
      </c>
      <c r="R120" s="446">
        <v>1525779.6</v>
      </c>
      <c r="S120" s="446">
        <v>251703.73787600984</v>
      </c>
      <c r="T120" s="506">
        <f t="shared" si="5"/>
        <v>52168274.697876021</v>
      </c>
      <c r="U120" s="446">
        <v>-128103.74</v>
      </c>
      <c r="V120" s="446"/>
      <c r="W120" s="446">
        <v>-111574.46</v>
      </c>
      <c r="X120" s="448">
        <v>54</v>
      </c>
      <c r="Y120" s="448">
        <v>0.7</v>
      </c>
      <c r="Z120" s="446">
        <v>10455</v>
      </c>
      <c r="AA120" s="269"/>
      <c r="AB120" s="446">
        <v>911448</v>
      </c>
      <c r="AC120" s="450">
        <f>AB120/VPI!R120</f>
        <v>1.0426166110412833</v>
      </c>
      <c r="AD120" s="452">
        <f t="shared" si="6"/>
        <v>3688909</v>
      </c>
      <c r="AE120" s="450">
        <f>AD120/VPI!R120</f>
        <v>4.2197885123667946</v>
      </c>
      <c r="AF120" s="446">
        <v>4600357</v>
      </c>
      <c r="AG120" s="446">
        <v>3643608</v>
      </c>
      <c r="AH120" s="446">
        <v>1616999</v>
      </c>
      <c r="AI120" s="272"/>
      <c r="AJ120" s="446">
        <v>0</v>
      </c>
      <c r="AK120" s="450">
        <f>AJ120/VPI!R120</f>
        <v>0</v>
      </c>
      <c r="AL120" s="452">
        <f t="shared" si="7"/>
        <v>245737</v>
      </c>
      <c r="AM120" s="450">
        <f>AL120/VPI!R120</f>
        <v>0.28110158577061101</v>
      </c>
      <c r="AN120" s="446">
        <v>245737</v>
      </c>
      <c r="AO120" s="272"/>
      <c r="AP120" s="541">
        <v>35.109160784295092</v>
      </c>
      <c r="AR120" s="178">
        <v>1</v>
      </c>
    </row>
    <row r="121" spans="1:44" x14ac:dyDescent="0.25">
      <c r="A121" s="193">
        <v>5607</v>
      </c>
      <c r="B121" s="454" t="s">
        <v>256</v>
      </c>
      <c r="C121" s="446">
        <v>4743377.83</v>
      </c>
      <c r="D121" s="446">
        <v>695095.51</v>
      </c>
      <c r="E121" s="446"/>
      <c r="F121" s="446">
        <v>0</v>
      </c>
      <c r="G121" s="446">
        <v>470589.95</v>
      </c>
      <c r="H121" s="446">
        <v>146403</v>
      </c>
      <c r="I121" s="446">
        <v>-135.85</v>
      </c>
      <c r="J121" s="446">
        <v>211359.3</v>
      </c>
      <c r="K121" s="446">
        <v>119887.6</v>
      </c>
      <c r="L121" s="446">
        <v>812063.85</v>
      </c>
      <c r="M121" s="506">
        <f t="shared" si="4"/>
        <v>7198641.1899999995</v>
      </c>
      <c r="N121" s="446">
        <v>241469.15</v>
      </c>
      <c r="O121" s="446">
        <v>22786.7</v>
      </c>
      <c r="P121" s="446">
        <v>644550.9</v>
      </c>
      <c r="Q121" s="446">
        <v>-2283.14</v>
      </c>
      <c r="R121" s="446">
        <v>478937.4</v>
      </c>
      <c r="S121" s="446">
        <v>60532.69856718267</v>
      </c>
      <c r="T121" s="506">
        <f t="shared" si="5"/>
        <v>8644634.8985671829</v>
      </c>
      <c r="U121" s="446">
        <v>-109442.74</v>
      </c>
      <c r="V121" s="446"/>
      <c r="W121" s="446">
        <v>-3269.53</v>
      </c>
      <c r="X121" s="448">
        <v>68.5</v>
      </c>
      <c r="Y121" s="448">
        <v>1.1499999999999999</v>
      </c>
      <c r="Z121" s="446">
        <v>2894</v>
      </c>
      <c r="AA121" s="269"/>
      <c r="AB121" s="446">
        <v>271912</v>
      </c>
      <c r="AC121" s="450">
        <f>AB121/VPI!R121</f>
        <v>2.6463898259599397</v>
      </c>
      <c r="AD121" s="452">
        <f t="shared" si="6"/>
        <v>999319</v>
      </c>
      <c r="AE121" s="450">
        <f>AD121/VPI!R121</f>
        <v>9.725895269382967</v>
      </c>
      <c r="AF121" s="446">
        <v>1271231</v>
      </c>
      <c r="AG121" s="446">
        <v>309728</v>
      </c>
      <c r="AH121" s="446">
        <v>382109</v>
      </c>
      <c r="AI121" s="272"/>
      <c r="AJ121" s="446">
        <v>0</v>
      </c>
      <c r="AK121" s="450">
        <f>AJ121/VPI!R121</f>
        <v>0</v>
      </c>
      <c r="AL121" s="452">
        <f t="shared" si="7"/>
        <v>-2029</v>
      </c>
      <c r="AM121" s="450">
        <f>AL121/VPI!R121</f>
        <v>-1.9747289405663296E-2</v>
      </c>
      <c r="AN121" s="446">
        <v>-2029</v>
      </c>
      <c r="AO121" s="272"/>
      <c r="AP121" s="541">
        <v>20.792310650406538</v>
      </c>
      <c r="AR121" s="178">
        <v>1</v>
      </c>
    </row>
    <row r="122" spans="1:44" x14ac:dyDescent="0.25">
      <c r="A122" s="193">
        <v>5609</v>
      </c>
      <c r="B122" s="454" t="s">
        <v>114</v>
      </c>
      <c r="C122" s="446">
        <v>710367.19</v>
      </c>
      <c r="D122" s="446">
        <v>161320.57999999999</v>
      </c>
      <c r="E122" s="446"/>
      <c r="F122" s="446">
        <v>0</v>
      </c>
      <c r="G122" s="446">
        <v>8251</v>
      </c>
      <c r="H122" s="446">
        <v>720.9</v>
      </c>
      <c r="I122" s="446">
        <v>0</v>
      </c>
      <c r="J122" s="446">
        <v>59004.01</v>
      </c>
      <c r="K122" s="446">
        <v>185.9</v>
      </c>
      <c r="L122" s="446">
        <v>59111.8</v>
      </c>
      <c r="M122" s="506">
        <f t="shared" si="4"/>
        <v>998961.38</v>
      </c>
      <c r="N122" s="446">
        <v>0</v>
      </c>
      <c r="O122" s="446">
        <v>0</v>
      </c>
      <c r="P122" s="446">
        <v>22715</v>
      </c>
      <c r="Q122" s="446">
        <v>2003.79</v>
      </c>
      <c r="R122" s="446">
        <v>42729.15</v>
      </c>
      <c r="S122" s="446">
        <v>880.22613268904661</v>
      </c>
      <c r="T122" s="506">
        <f t="shared" si="5"/>
        <v>1067289.5461326891</v>
      </c>
      <c r="U122" s="446">
        <v>-6552.11</v>
      </c>
      <c r="V122" s="446"/>
      <c r="W122" s="446">
        <v>-460.48</v>
      </c>
      <c r="X122" s="448">
        <v>62</v>
      </c>
      <c r="Y122" s="448">
        <v>1</v>
      </c>
      <c r="Z122" s="446">
        <v>337</v>
      </c>
      <c r="AA122" s="269"/>
      <c r="AB122" s="446">
        <v>5052</v>
      </c>
      <c r="AC122" s="450">
        <f>AB122/VPI!R122</f>
        <v>0.31485089561694923</v>
      </c>
      <c r="AD122" s="452">
        <f t="shared" si="6"/>
        <v>78893</v>
      </c>
      <c r="AE122" s="450">
        <f>AD122/VPI!R122</f>
        <v>4.9167719136793302</v>
      </c>
      <c r="AF122" s="446">
        <v>83945</v>
      </c>
      <c r="AG122" s="446">
        <v>36768</v>
      </c>
      <c r="AH122" s="446">
        <v>34755</v>
      </c>
      <c r="AI122" s="272"/>
      <c r="AJ122" s="446">
        <v>0</v>
      </c>
      <c r="AK122" s="450">
        <f>AJ122/VPI!R122</f>
        <v>0</v>
      </c>
      <c r="AL122" s="452">
        <f t="shared" si="7"/>
        <v>21288</v>
      </c>
      <c r="AM122" s="450">
        <f>AL122/VPI!R122</f>
        <v>1.3267113748799713</v>
      </c>
      <c r="AN122" s="446">
        <v>21288</v>
      </c>
      <c r="AO122" s="272"/>
      <c r="AP122" s="541">
        <v>29.438728118485578</v>
      </c>
      <c r="AR122" s="178">
        <v>1</v>
      </c>
    </row>
    <row r="123" spans="1:44" x14ac:dyDescent="0.25">
      <c r="A123" s="193">
        <v>5610</v>
      </c>
      <c r="B123" s="454" t="s">
        <v>115</v>
      </c>
      <c r="C123" s="446">
        <v>1003929.85</v>
      </c>
      <c r="D123" s="446">
        <v>221693.26</v>
      </c>
      <c r="E123" s="446"/>
      <c r="F123" s="446">
        <v>0</v>
      </c>
      <c r="G123" s="446">
        <v>1155.1500000000001</v>
      </c>
      <c r="H123" s="446">
        <v>4309.1000000000004</v>
      </c>
      <c r="I123" s="446">
        <v>42593.15</v>
      </c>
      <c r="J123" s="446">
        <v>26916.85</v>
      </c>
      <c r="K123" s="446">
        <v>6697.85</v>
      </c>
      <c r="L123" s="446">
        <v>120309.2</v>
      </c>
      <c r="M123" s="506">
        <f t="shared" si="4"/>
        <v>1427604.41</v>
      </c>
      <c r="N123" s="446">
        <v>1817.85</v>
      </c>
      <c r="O123" s="446">
        <v>5785.2</v>
      </c>
      <c r="P123" s="446">
        <v>55309.1</v>
      </c>
      <c r="Q123" s="446">
        <v>-13472.35</v>
      </c>
      <c r="R123" s="446">
        <v>65663</v>
      </c>
      <c r="S123" s="446">
        <v>536.093318644448</v>
      </c>
      <c r="T123" s="506">
        <f t="shared" si="5"/>
        <v>1543243.3033186444</v>
      </c>
      <c r="U123" s="446">
        <v>-6131.57</v>
      </c>
      <c r="V123" s="446"/>
      <c r="W123" s="446">
        <v>-5216.2700000000004</v>
      </c>
      <c r="X123" s="448">
        <v>72</v>
      </c>
      <c r="Y123" s="448">
        <v>1.2</v>
      </c>
      <c r="Z123" s="446">
        <v>388</v>
      </c>
      <c r="AA123" s="269"/>
      <c r="AB123" s="446">
        <v>37015</v>
      </c>
      <c r="AC123" s="450">
        <f>AB123/VPI!R123</f>
        <v>1.9266537628560523</v>
      </c>
      <c r="AD123" s="452">
        <f t="shared" si="6"/>
        <v>34603</v>
      </c>
      <c r="AE123" s="450">
        <f>AD123/VPI!R123</f>
        <v>1.8011076632745637</v>
      </c>
      <c r="AF123" s="446">
        <v>71618</v>
      </c>
      <c r="AG123" s="446">
        <v>41283</v>
      </c>
      <c r="AH123" s="446">
        <v>48800</v>
      </c>
      <c r="AI123" s="272"/>
      <c r="AJ123" s="446">
        <v>0</v>
      </c>
      <c r="AK123" s="450">
        <f>AJ123/VPI!R123</f>
        <v>0</v>
      </c>
      <c r="AL123" s="452">
        <f t="shared" si="7"/>
        <v>-2371</v>
      </c>
      <c r="AM123" s="450">
        <f>AL123/VPI!R123</f>
        <v>-0.12341202409109009</v>
      </c>
      <c r="AN123" s="446">
        <v>-2371</v>
      </c>
      <c r="AO123" s="272"/>
      <c r="AP123" s="541">
        <v>36.050904534857175</v>
      </c>
      <c r="AR123" s="178">
        <v>1</v>
      </c>
    </row>
    <row r="124" spans="1:44" x14ac:dyDescent="0.25">
      <c r="A124" s="193">
        <v>5611</v>
      </c>
      <c r="B124" s="454" t="s">
        <v>253</v>
      </c>
      <c r="C124" s="446">
        <v>7096638.0499999998</v>
      </c>
      <c r="D124" s="446">
        <v>1083196.49</v>
      </c>
      <c r="E124" s="446"/>
      <c r="F124" s="446">
        <v>0</v>
      </c>
      <c r="G124" s="446">
        <v>338381.35</v>
      </c>
      <c r="H124" s="446">
        <v>22265.05</v>
      </c>
      <c r="I124" s="446">
        <v>90726.6</v>
      </c>
      <c r="J124" s="446">
        <v>106210.31</v>
      </c>
      <c r="K124" s="446">
        <v>18582.650000000001</v>
      </c>
      <c r="L124" s="446">
        <v>802625.45</v>
      </c>
      <c r="M124" s="506">
        <f t="shared" si="4"/>
        <v>9558625.9500000011</v>
      </c>
      <c r="N124" s="446">
        <v>108590.3</v>
      </c>
      <c r="O124" s="446">
        <v>360273.6</v>
      </c>
      <c r="P124" s="446">
        <v>433066.7</v>
      </c>
      <c r="Q124" s="446">
        <v>21308.07</v>
      </c>
      <c r="R124" s="446">
        <v>195452.3</v>
      </c>
      <c r="S124" s="446">
        <v>35382.737874945888</v>
      </c>
      <c r="T124" s="506">
        <f t="shared" si="5"/>
        <v>10712699.657874947</v>
      </c>
      <c r="U124" s="446">
        <v>-49490.14</v>
      </c>
      <c r="V124" s="446"/>
      <c r="W124" s="446">
        <v>-6573</v>
      </c>
      <c r="X124" s="448">
        <v>69</v>
      </c>
      <c r="Y124" s="448">
        <v>1.2</v>
      </c>
      <c r="Z124" s="446">
        <v>3348</v>
      </c>
      <c r="AA124" s="269"/>
      <c r="AB124" s="446">
        <v>296860</v>
      </c>
      <c r="AC124" s="450">
        <f>AB124/VPI!R124</f>
        <v>2.1731873720657608</v>
      </c>
      <c r="AD124" s="452">
        <f t="shared" si="6"/>
        <v>892473</v>
      </c>
      <c r="AE124" s="450">
        <f>AD124/VPI!R124</f>
        <v>6.5334199740943397</v>
      </c>
      <c r="AF124" s="446">
        <v>1189333</v>
      </c>
      <c r="AG124" s="446">
        <v>144173</v>
      </c>
      <c r="AH124" s="446">
        <v>443158</v>
      </c>
      <c r="AI124" s="272"/>
      <c r="AJ124" s="446">
        <v>58220</v>
      </c>
      <c r="AK124" s="450">
        <f>AJ124/VPI!R124</f>
        <v>0.42620416627928515</v>
      </c>
      <c r="AL124" s="452">
        <f t="shared" si="7"/>
        <v>37542</v>
      </c>
      <c r="AM124" s="450">
        <f>AL124/VPI!R124</f>
        <v>0.27482921350836348</v>
      </c>
      <c r="AN124" s="446">
        <v>95762</v>
      </c>
      <c r="AO124" s="272"/>
      <c r="AP124" s="541">
        <v>24.680803873565662</v>
      </c>
      <c r="AR124" s="178">
        <v>1</v>
      </c>
    </row>
    <row r="125" spans="1:44" x14ac:dyDescent="0.25">
      <c r="A125" s="193">
        <v>5613</v>
      </c>
      <c r="B125" s="454" t="s">
        <v>343</v>
      </c>
      <c r="C125" s="446">
        <v>15371354.609999999</v>
      </c>
      <c r="D125" s="446">
        <v>3572285.72</v>
      </c>
      <c r="E125" s="446"/>
      <c r="F125" s="446">
        <v>0</v>
      </c>
      <c r="G125" s="446">
        <v>203162.45</v>
      </c>
      <c r="H125" s="446">
        <v>38116.050000000003</v>
      </c>
      <c r="I125" s="446">
        <v>247378.1</v>
      </c>
      <c r="J125" s="446">
        <v>527617.93000000005</v>
      </c>
      <c r="K125" s="446">
        <v>38012.449999999997</v>
      </c>
      <c r="L125" s="446">
        <v>2203648.5</v>
      </c>
      <c r="M125" s="506">
        <f t="shared" si="4"/>
        <v>22201575.809999999</v>
      </c>
      <c r="N125" s="446">
        <v>31370.7</v>
      </c>
      <c r="O125" s="446">
        <v>124049.9</v>
      </c>
      <c r="P125" s="446">
        <v>749989.65</v>
      </c>
      <c r="Q125" s="446">
        <v>70473.53</v>
      </c>
      <c r="R125" s="446">
        <v>817678.05</v>
      </c>
      <c r="S125" s="446">
        <v>23671.646023251946</v>
      </c>
      <c r="T125" s="506">
        <f t="shared" si="5"/>
        <v>24018809.286023248</v>
      </c>
      <c r="U125" s="446">
        <v>-40257.919999999998</v>
      </c>
      <c r="V125" s="446"/>
      <c r="W125" s="446">
        <v>-36921.5</v>
      </c>
      <c r="X125" s="448">
        <v>62.5</v>
      </c>
      <c r="Y125" s="448">
        <v>1.5</v>
      </c>
      <c r="Z125" s="446">
        <v>5389</v>
      </c>
      <c r="AA125" s="269"/>
      <c r="AB125" s="446">
        <v>213528</v>
      </c>
      <c r="AC125" s="450">
        <f>AB125/VPI!R125</f>
        <v>0.62118343550804944</v>
      </c>
      <c r="AD125" s="452">
        <f t="shared" si="6"/>
        <v>1335733</v>
      </c>
      <c r="AE125" s="450">
        <f>AD125/VPI!R125</f>
        <v>3.8858379878117786</v>
      </c>
      <c r="AF125" s="446">
        <v>1549261</v>
      </c>
      <c r="AG125" s="446">
        <v>382357</v>
      </c>
      <c r="AH125" s="446">
        <v>623387</v>
      </c>
      <c r="AI125" s="272"/>
      <c r="AJ125" s="446">
        <v>0</v>
      </c>
      <c r="AK125" s="450">
        <f>AJ125/VPI!R125</f>
        <v>0</v>
      </c>
      <c r="AL125" s="452">
        <f t="shared" si="7"/>
        <v>145215</v>
      </c>
      <c r="AM125" s="450">
        <f>AL125/VPI!R125</f>
        <v>0.42245116606394201</v>
      </c>
      <c r="AN125" s="446">
        <v>145215</v>
      </c>
      <c r="AO125" s="272"/>
      <c r="AP125" s="541">
        <v>32.922991542335566</v>
      </c>
      <c r="AR125" s="178">
        <v>1</v>
      </c>
    </row>
    <row r="126" spans="1:44" x14ac:dyDescent="0.25">
      <c r="A126" s="193">
        <v>5621</v>
      </c>
      <c r="B126" s="454" t="s">
        <v>334</v>
      </c>
      <c r="C126" s="446">
        <v>1022471.12</v>
      </c>
      <c r="D126" s="446">
        <v>128981.38</v>
      </c>
      <c r="E126" s="446"/>
      <c r="F126" s="446">
        <v>0</v>
      </c>
      <c r="G126" s="446">
        <v>419399.6</v>
      </c>
      <c r="H126" s="446">
        <v>2787.6</v>
      </c>
      <c r="I126" s="446">
        <v>0</v>
      </c>
      <c r="J126" s="446">
        <v>69241.11</v>
      </c>
      <c r="K126" s="446">
        <v>28236.75</v>
      </c>
      <c r="L126" s="446">
        <v>321936.59999999998</v>
      </c>
      <c r="M126" s="506">
        <f t="shared" si="4"/>
        <v>1993054.1600000001</v>
      </c>
      <c r="N126" s="446">
        <v>292461.5</v>
      </c>
      <c r="O126" s="446">
        <v>0.2</v>
      </c>
      <c r="P126" s="446">
        <v>82032.5</v>
      </c>
      <c r="Q126" s="446">
        <v>4629.88</v>
      </c>
      <c r="R126" s="446">
        <v>34672.9</v>
      </c>
      <c r="S126" s="446">
        <v>41420.457910455654</v>
      </c>
      <c r="T126" s="506">
        <f t="shared" si="5"/>
        <v>2448271.5979104559</v>
      </c>
      <c r="U126" s="446">
        <v>-9314.2800000000007</v>
      </c>
      <c r="V126" s="446"/>
      <c r="W126" s="446">
        <v>-204.26</v>
      </c>
      <c r="X126" s="448">
        <v>62</v>
      </c>
      <c r="Y126" s="448">
        <v>1.1000000000000001</v>
      </c>
      <c r="Z126" s="446">
        <v>528</v>
      </c>
      <c r="AA126" s="269"/>
      <c r="AB126" s="446">
        <v>67577</v>
      </c>
      <c r="AC126" s="450">
        <f>AB126/VPI!R126</f>
        <v>2.0945529248051025</v>
      </c>
      <c r="AD126" s="452">
        <f t="shared" si="6"/>
        <v>171615</v>
      </c>
      <c r="AE126" s="450">
        <f>AD126/VPI!R126</f>
        <v>5.3192166001809449</v>
      </c>
      <c r="AF126" s="446">
        <v>239192</v>
      </c>
      <c r="AG126" s="446">
        <v>21460</v>
      </c>
      <c r="AH126" s="446">
        <v>50400</v>
      </c>
      <c r="AI126" s="272"/>
      <c r="AJ126" s="446">
        <v>0</v>
      </c>
      <c r="AK126" s="450">
        <f>AJ126/VPI!R126</f>
        <v>0</v>
      </c>
      <c r="AL126" s="452">
        <f t="shared" si="7"/>
        <v>11253</v>
      </c>
      <c r="AM126" s="450">
        <f>AL126/VPI!R126</f>
        <v>0.34878736941314087</v>
      </c>
      <c r="AN126" s="446">
        <v>11253</v>
      </c>
      <c r="AO126" s="272"/>
      <c r="AP126" s="541">
        <v>33.492600495635187</v>
      </c>
      <c r="AR126" s="178">
        <v>0</v>
      </c>
    </row>
    <row r="127" spans="1:44" x14ac:dyDescent="0.25">
      <c r="A127" s="193">
        <v>5622</v>
      </c>
      <c r="B127" s="454" t="s">
        <v>130</v>
      </c>
      <c r="C127" s="446">
        <v>1460371.93</v>
      </c>
      <c r="D127" s="446">
        <v>247561.17</v>
      </c>
      <c r="E127" s="446"/>
      <c r="F127" s="446">
        <v>0</v>
      </c>
      <c r="G127" s="446">
        <v>10945.85</v>
      </c>
      <c r="H127" s="446">
        <v>2624.95</v>
      </c>
      <c r="I127" s="446">
        <v>0</v>
      </c>
      <c r="J127" s="446">
        <v>14665.45</v>
      </c>
      <c r="K127" s="446">
        <v>3690.5</v>
      </c>
      <c r="L127" s="446">
        <v>151065.4</v>
      </c>
      <c r="M127" s="506">
        <f t="shared" si="4"/>
        <v>1890925.2499999998</v>
      </c>
      <c r="N127" s="446">
        <v>26810.25</v>
      </c>
      <c r="O127" s="446">
        <v>0</v>
      </c>
      <c r="P127" s="446">
        <v>54697.5</v>
      </c>
      <c r="Q127" s="446">
        <v>0</v>
      </c>
      <c r="R127" s="446">
        <v>39404.65</v>
      </c>
      <c r="S127" s="446">
        <v>1331.4206357066523</v>
      </c>
      <c r="T127" s="506">
        <f t="shared" si="5"/>
        <v>2013169.0706357064</v>
      </c>
      <c r="U127" s="446">
        <v>-1602.49</v>
      </c>
      <c r="V127" s="446"/>
      <c r="W127" s="446">
        <v>-332.81</v>
      </c>
      <c r="X127" s="448">
        <v>68</v>
      </c>
      <c r="Y127" s="448">
        <v>1</v>
      </c>
      <c r="Z127" s="446">
        <v>583</v>
      </c>
      <c r="AA127" s="269"/>
      <c r="AB127" s="446">
        <v>7185</v>
      </c>
      <c r="AC127" s="450">
        <f>AB127/VPI!R127</f>
        <v>0.25846398797030623</v>
      </c>
      <c r="AD127" s="452">
        <f t="shared" si="6"/>
        <v>83206</v>
      </c>
      <c r="AE127" s="450">
        <f>AD127/VPI!R127</f>
        <v>2.9931460797574529</v>
      </c>
      <c r="AF127" s="446">
        <v>90391</v>
      </c>
      <c r="AG127" s="446">
        <v>22974</v>
      </c>
      <c r="AH127" s="446">
        <v>61470</v>
      </c>
      <c r="AI127" s="272"/>
      <c r="AJ127" s="446">
        <v>0</v>
      </c>
      <c r="AK127" s="450">
        <f>AJ127/VPI!R127</f>
        <v>0</v>
      </c>
      <c r="AL127" s="452">
        <f t="shared" si="7"/>
        <v>2400</v>
      </c>
      <c r="AM127" s="450">
        <f>AL127/VPI!R127</f>
        <v>8.6334526253129429E-2</v>
      </c>
      <c r="AN127" s="446">
        <v>2400</v>
      </c>
      <c r="AO127" s="272"/>
      <c r="AP127" s="541">
        <v>32.484258291122757</v>
      </c>
      <c r="AR127" s="178">
        <v>0</v>
      </c>
    </row>
    <row r="128" spans="1:44" x14ac:dyDescent="0.25">
      <c r="A128" s="193">
        <v>5623</v>
      </c>
      <c r="B128" s="454" t="s">
        <v>131</v>
      </c>
      <c r="C128" s="446">
        <v>3166423.62</v>
      </c>
      <c r="D128" s="446">
        <v>1287103</v>
      </c>
      <c r="E128" s="446"/>
      <c r="F128" s="446">
        <v>0</v>
      </c>
      <c r="G128" s="446">
        <v>-37222.6</v>
      </c>
      <c r="H128" s="446">
        <v>-10993.85</v>
      </c>
      <c r="I128" s="446">
        <v>172845.75</v>
      </c>
      <c r="J128" s="446">
        <v>55295.25</v>
      </c>
      <c r="K128" s="446">
        <v>-987</v>
      </c>
      <c r="L128" s="446">
        <v>353857.95</v>
      </c>
      <c r="M128" s="506">
        <f t="shared" ref="M128:M190" si="8">SUM(C128:L128)</f>
        <v>4986322.120000001</v>
      </c>
      <c r="N128" s="446">
        <v>2588.25</v>
      </c>
      <c r="O128" s="446">
        <v>0</v>
      </c>
      <c r="P128" s="446">
        <v>67045</v>
      </c>
      <c r="Q128" s="446">
        <v>14447.47</v>
      </c>
      <c r="R128" s="446">
        <v>181888.8</v>
      </c>
      <c r="S128" s="446">
        <v>0</v>
      </c>
      <c r="T128" s="506">
        <f t="shared" si="5"/>
        <v>5252291.6400000006</v>
      </c>
      <c r="U128" s="446">
        <v>-22779.51</v>
      </c>
      <c r="V128" s="446"/>
      <c r="W128" s="446">
        <v>-63718.03</v>
      </c>
      <c r="X128" s="448">
        <v>52</v>
      </c>
      <c r="Y128" s="448">
        <v>1</v>
      </c>
      <c r="Z128" s="446">
        <v>686</v>
      </c>
      <c r="AA128" s="269"/>
      <c r="AB128" s="446">
        <v>0</v>
      </c>
      <c r="AC128" s="450">
        <f>AB128/VPI!R128</f>
        <v>0</v>
      </c>
      <c r="AD128" s="452">
        <f t="shared" si="6"/>
        <v>80511</v>
      </c>
      <c r="AE128" s="450">
        <f>AD128/VPI!R128</f>
        <v>0.85192108971663461</v>
      </c>
      <c r="AF128" s="446">
        <v>80511</v>
      </c>
      <c r="AG128" s="446">
        <v>71367</v>
      </c>
      <c r="AH128" s="446">
        <v>62757</v>
      </c>
      <c r="AI128" s="272"/>
      <c r="AJ128" s="446">
        <v>0</v>
      </c>
      <c r="AK128" s="450">
        <f>AJ128/VPI!R128</f>
        <v>0</v>
      </c>
      <c r="AL128" s="452">
        <f t="shared" si="7"/>
        <v>12926</v>
      </c>
      <c r="AM128" s="450">
        <f>AL128/VPI!R128</f>
        <v>0.13677549658651886</v>
      </c>
      <c r="AN128" s="446">
        <v>12926</v>
      </c>
      <c r="AO128" s="272"/>
      <c r="AP128" s="541">
        <v>47.992695629519602</v>
      </c>
      <c r="AR128" s="178">
        <v>1</v>
      </c>
    </row>
    <row r="129" spans="1:44" x14ac:dyDescent="0.25">
      <c r="A129" s="193">
        <v>5624</v>
      </c>
      <c r="B129" s="454" t="s">
        <v>352</v>
      </c>
      <c r="C129" s="446">
        <v>14540905.33</v>
      </c>
      <c r="D129" s="446">
        <v>1407611.75</v>
      </c>
      <c r="E129" s="446"/>
      <c r="F129" s="446">
        <v>0</v>
      </c>
      <c r="G129" s="446">
        <v>2591301.62</v>
      </c>
      <c r="H129" s="446">
        <v>157895.29999999999</v>
      </c>
      <c r="I129" s="446">
        <v>0</v>
      </c>
      <c r="J129" s="446">
        <v>827180.89</v>
      </c>
      <c r="K129" s="446">
        <v>388139.95</v>
      </c>
      <c r="L129" s="446">
        <v>2741244.25</v>
      </c>
      <c r="M129" s="506">
        <f t="shared" si="8"/>
        <v>22654279.09</v>
      </c>
      <c r="N129" s="446">
        <v>1067420.95</v>
      </c>
      <c r="O129" s="446">
        <v>5816</v>
      </c>
      <c r="P129" s="446">
        <v>1752239.15</v>
      </c>
      <c r="Q129" s="446">
        <v>23694.2</v>
      </c>
      <c r="R129" s="446">
        <v>1002009.7</v>
      </c>
      <c r="S129" s="446">
        <v>269741.16747374804</v>
      </c>
      <c r="T129" s="506">
        <f t="shared" si="5"/>
        <v>26775200.257473744</v>
      </c>
      <c r="U129" s="446">
        <v>-467050.49</v>
      </c>
      <c r="V129" s="446"/>
      <c r="W129" s="446">
        <v>-199.73</v>
      </c>
      <c r="X129" s="448">
        <v>62.5</v>
      </c>
      <c r="Y129" s="448">
        <v>1.25</v>
      </c>
      <c r="Z129" s="446">
        <v>9614</v>
      </c>
      <c r="AA129" s="269"/>
      <c r="AB129" s="446">
        <v>-5614.3</v>
      </c>
      <c r="AC129" s="450">
        <f>AB129/VPI!R129</f>
        <v>-1.5999010761147625E-2</v>
      </c>
      <c r="AD129" s="452">
        <f t="shared" si="6"/>
        <v>1366231.6500000001</v>
      </c>
      <c r="AE129" s="450">
        <f>AD129/VPI!R129</f>
        <v>3.8933357445399204</v>
      </c>
      <c r="AF129" s="446">
        <v>1360617.35</v>
      </c>
      <c r="AG129" s="446">
        <v>2981287.4</v>
      </c>
      <c r="AH129" s="446">
        <v>259647.7</v>
      </c>
      <c r="AI129" s="272"/>
      <c r="AJ129" s="446">
        <v>0</v>
      </c>
      <c r="AK129" s="450">
        <f>AJ129/VPI!R129</f>
        <v>0</v>
      </c>
      <c r="AL129" s="452">
        <f t="shared" si="7"/>
        <v>208419.82</v>
      </c>
      <c r="AM129" s="450">
        <f>AL129/VPI!R129</f>
        <v>0.59393173557103307</v>
      </c>
      <c r="AN129" s="446">
        <v>208419.82</v>
      </c>
      <c r="AO129" s="272"/>
      <c r="AP129" s="541">
        <v>23.954283553883652</v>
      </c>
      <c r="AR129" s="178">
        <v>1</v>
      </c>
    </row>
    <row r="130" spans="1:44" x14ac:dyDescent="0.25">
      <c r="A130" s="193">
        <v>5627</v>
      </c>
      <c r="B130" s="454" t="s">
        <v>221</v>
      </c>
      <c r="C130" s="446">
        <v>10304498.880000001</v>
      </c>
      <c r="D130" s="446">
        <v>741408.26</v>
      </c>
      <c r="E130" s="446"/>
      <c r="F130" s="446">
        <v>0</v>
      </c>
      <c r="G130" s="446">
        <v>-507466</v>
      </c>
      <c r="H130" s="446">
        <v>168642.1</v>
      </c>
      <c r="I130" s="446">
        <v>0</v>
      </c>
      <c r="J130" s="446">
        <v>811299.64</v>
      </c>
      <c r="K130" s="446">
        <v>226072.5</v>
      </c>
      <c r="L130" s="446">
        <v>1626382.6</v>
      </c>
      <c r="M130" s="506">
        <f t="shared" si="8"/>
        <v>13370837.98</v>
      </c>
      <c r="N130" s="446">
        <v>351553.85</v>
      </c>
      <c r="O130" s="446">
        <v>26414.2</v>
      </c>
      <c r="P130" s="446">
        <v>663135.1</v>
      </c>
      <c r="Q130" s="446">
        <v>116725.81</v>
      </c>
      <c r="R130" s="446">
        <v>129165</v>
      </c>
      <c r="S130" s="446">
        <v>0</v>
      </c>
      <c r="T130" s="506">
        <f t="shared" si="5"/>
        <v>14657831.939999999</v>
      </c>
      <c r="U130" s="446">
        <v>-355491.9</v>
      </c>
      <c r="V130" s="446"/>
      <c r="W130" s="446">
        <v>-1921.6</v>
      </c>
      <c r="X130" s="448">
        <v>77.5</v>
      </c>
      <c r="Y130" s="448">
        <v>1.5</v>
      </c>
      <c r="Z130" s="446">
        <v>8487</v>
      </c>
      <c r="AA130" s="269"/>
      <c r="AB130" s="446">
        <v>18675</v>
      </c>
      <c r="AC130" s="450">
        <f>AB130/VPI!R130</f>
        <v>0.1149753641201115</v>
      </c>
      <c r="AD130" s="452">
        <f t="shared" si="6"/>
        <v>780691</v>
      </c>
      <c r="AE130" s="450">
        <f>AD130/VPI!R130</f>
        <v>4.8064381253169461</v>
      </c>
      <c r="AF130" s="446">
        <v>799366</v>
      </c>
      <c r="AG130" s="446">
        <v>2480530</v>
      </c>
      <c r="AH130" s="446">
        <v>2340</v>
      </c>
      <c r="AI130" s="272"/>
      <c r="AJ130" s="446">
        <v>0</v>
      </c>
      <c r="AK130" s="450">
        <f>AJ130/VPI!R130</f>
        <v>0</v>
      </c>
      <c r="AL130" s="452">
        <f t="shared" si="7"/>
        <v>11150</v>
      </c>
      <c r="AM130" s="450">
        <f>AL130/VPI!R130</f>
        <v>6.8646602941860424E-2</v>
      </c>
      <c r="AN130" s="446">
        <v>11150</v>
      </c>
      <c r="AO130" s="272"/>
      <c r="AP130" s="541">
        <v>1.2333955158192706</v>
      </c>
      <c r="AR130" s="178">
        <v>1</v>
      </c>
    </row>
    <row r="131" spans="1:44" x14ac:dyDescent="0.25">
      <c r="A131" s="193">
        <v>5628</v>
      </c>
      <c r="B131" s="454" t="s">
        <v>222</v>
      </c>
      <c r="C131" s="446">
        <v>1368519.47</v>
      </c>
      <c r="D131" s="446">
        <v>0</v>
      </c>
      <c r="E131" s="446"/>
      <c r="F131" s="446">
        <v>0</v>
      </c>
      <c r="G131" s="446">
        <v>4818.1499999999996</v>
      </c>
      <c r="H131" s="446">
        <v>923.75</v>
      </c>
      <c r="I131" s="446">
        <v>0</v>
      </c>
      <c r="J131" s="446">
        <v>62499.47</v>
      </c>
      <c r="K131" s="446">
        <v>859.5</v>
      </c>
      <c r="L131" s="446">
        <v>99101.3</v>
      </c>
      <c r="M131" s="506">
        <f t="shared" si="8"/>
        <v>1536721.64</v>
      </c>
      <c r="N131" s="446">
        <v>9088.4500000000007</v>
      </c>
      <c r="O131" s="446">
        <v>0</v>
      </c>
      <c r="P131" s="446">
        <v>61502.9</v>
      </c>
      <c r="Q131" s="446">
        <v>0</v>
      </c>
      <c r="R131" s="446">
        <v>62570.9</v>
      </c>
      <c r="S131" s="446">
        <v>563.33334425118835</v>
      </c>
      <c r="T131" s="506">
        <f t="shared" si="5"/>
        <v>1670447.2233442508</v>
      </c>
      <c r="U131" s="446">
        <v>-10689.49</v>
      </c>
      <c r="V131" s="446"/>
      <c r="W131" s="446">
        <v>0</v>
      </c>
      <c r="X131" s="448">
        <v>62</v>
      </c>
      <c r="Y131" s="448">
        <v>1</v>
      </c>
      <c r="Z131" s="446">
        <v>396</v>
      </c>
      <c r="AA131" s="269"/>
      <c r="AB131" s="446">
        <v>0</v>
      </c>
      <c r="AC131" s="450">
        <f>AB131/VPI!R131</f>
        <v>0</v>
      </c>
      <c r="AD131" s="452">
        <f t="shared" si="6"/>
        <v>17525</v>
      </c>
      <c r="AE131" s="450">
        <f>AD131/VPI!R131</f>
        <v>0.71174716017090434</v>
      </c>
      <c r="AF131" s="446">
        <v>17525</v>
      </c>
      <c r="AG131" s="446">
        <v>38024</v>
      </c>
      <c r="AH131" s="446">
        <v>35116</v>
      </c>
      <c r="AI131" s="272"/>
      <c r="AJ131" s="446">
        <v>0</v>
      </c>
      <c r="AK131" s="450">
        <f>AJ131/VPI!R131</f>
        <v>0</v>
      </c>
      <c r="AL131" s="452">
        <f t="shared" si="7"/>
        <v>-1121</v>
      </c>
      <c r="AM131" s="450">
        <f>AL131/VPI!R131</f>
        <v>-4.5527450302515475E-2</v>
      </c>
      <c r="AN131" s="446">
        <v>-1121</v>
      </c>
      <c r="AO131" s="272"/>
      <c r="AP131" s="541">
        <v>35.853139511004294</v>
      </c>
      <c r="AR131" s="178">
        <v>0</v>
      </c>
    </row>
    <row r="132" spans="1:44" x14ac:dyDescent="0.25">
      <c r="A132" s="193">
        <v>5629</v>
      </c>
      <c r="B132" s="454" t="s">
        <v>134</v>
      </c>
      <c r="C132" s="446">
        <v>537724.31999999995</v>
      </c>
      <c r="D132" s="446">
        <v>45029.75</v>
      </c>
      <c r="E132" s="446"/>
      <c r="F132" s="446">
        <v>0</v>
      </c>
      <c r="G132" s="446">
        <v>1804.15</v>
      </c>
      <c r="H132" s="446">
        <v>335.45</v>
      </c>
      <c r="I132" s="446">
        <v>0</v>
      </c>
      <c r="J132" s="446">
        <v>18243.009999999998</v>
      </c>
      <c r="K132" s="446">
        <v>715.55</v>
      </c>
      <c r="L132" s="446">
        <v>37549.25</v>
      </c>
      <c r="M132" s="506">
        <f t="shared" si="8"/>
        <v>641401.48</v>
      </c>
      <c r="N132" s="446">
        <v>0</v>
      </c>
      <c r="O132" s="446">
        <v>0</v>
      </c>
      <c r="P132" s="446">
        <v>2557.5</v>
      </c>
      <c r="Q132" s="446">
        <v>0</v>
      </c>
      <c r="R132" s="446">
        <v>1508.35</v>
      </c>
      <c r="S132" s="446">
        <v>209.91449230391376</v>
      </c>
      <c r="T132" s="506">
        <f t="shared" si="5"/>
        <v>645677.24449230393</v>
      </c>
      <c r="U132" s="446">
        <v>-15345.52</v>
      </c>
      <c r="V132" s="446"/>
      <c r="W132" s="446">
        <v>0</v>
      </c>
      <c r="X132" s="448">
        <v>73.5</v>
      </c>
      <c r="Y132" s="448">
        <v>1</v>
      </c>
      <c r="Z132" s="446">
        <v>201</v>
      </c>
      <c r="AA132" s="269"/>
      <c r="AB132" s="446">
        <v>63812</v>
      </c>
      <c r="AC132" s="450">
        <f>AB132/VPI!R132</f>
        <v>7.4891227368922157</v>
      </c>
      <c r="AD132" s="452">
        <f t="shared" si="6"/>
        <v>19610</v>
      </c>
      <c r="AE132" s="450">
        <f>AD132/VPI!R132</f>
        <v>2.3014745952243518</v>
      </c>
      <c r="AF132" s="446">
        <v>83422</v>
      </c>
      <c r="AG132" s="446">
        <v>7605</v>
      </c>
      <c r="AH132" s="446">
        <v>26045</v>
      </c>
      <c r="AI132" s="272"/>
      <c r="AJ132" s="446">
        <v>0</v>
      </c>
      <c r="AK132" s="450">
        <f>AJ132/VPI!R132</f>
        <v>0</v>
      </c>
      <c r="AL132" s="452">
        <f t="shared" si="7"/>
        <v>57</v>
      </c>
      <c r="AM132" s="450">
        <f>AL132/VPI!R132</f>
        <v>6.6896507867306504E-3</v>
      </c>
      <c r="AN132" s="446">
        <v>57</v>
      </c>
      <c r="AO132" s="272"/>
      <c r="AP132" s="541">
        <v>24.727083004251131</v>
      </c>
      <c r="AR132" s="178">
        <v>0</v>
      </c>
    </row>
    <row r="133" spans="1:44" x14ac:dyDescent="0.25">
      <c r="A133" s="193">
        <v>5631</v>
      </c>
      <c r="B133" s="454" t="s">
        <v>135</v>
      </c>
      <c r="C133" s="446">
        <v>2172048.31</v>
      </c>
      <c r="D133" s="446">
        <v>441423.05</v>
      </c>
      <c r="E133" s="446"/>
      <c r="F133" s="446">
        <v>0</v>
      </c>
      <c r="G133" s="446">
        <v>34084.050000000003</v>
      </c>
      <c r="H133" s="446">
        <v>1414.7</v>
      </c>
      <c r="I133" s="446">
        <v>78240</v>
      </c>
      <c r="J133" s="446">
        <v>69432.86</v>
      </c>
      <c r="K133" s="446">
        <v>3267.65</v>
      </c>
      <c r="L133" s="446">
        <v>207013.45</v>
      </c>
      <c r="M133" s="506">
        <f t="shared" si="8"/>
        <v>3006924.07</v>
      </c>
      <c r="N133" s="446">
        <v>1561.75</v>
      </c>
      <c r="O133" s="446">
        <v>209452.6</v>
      </c>
      <c r="P133" s="446">
        <v>103772.75</v>
      </c>
      <c r="Q133" s="446">
        <v>0</v>
      </c>
      <c r="R133" s="446">
        <v>66947</v>
      </c>
      <c r="S133" s="446">
        <v>3482.7547596156101</v>
      </c>
      <c r="T133" s="506">
        <f t="shared" si="5"/>
        <v>3392140.9247596157</v>
      </c>
      <c r="U133" s="446">
        <v>-45226</v>
      </c>
      <c r="V133" s="446"/>
      <c r="W133" s="446">
        <v>-11006.35</v>
      </c>
      <c r="X133" s="448">
        <v>68</v>
      </c>
      <c r="Y133" s="448">
        <v>1</v>
      </c>
      <c r="Z133" s="446">
        <v>742</v>
      </c>
      <c r="AA133" s="269"/>
      <c r="AB133" s="446">
        <v>0</v>
      </c>
      <c r="AC133" s="450">
        <f>AB133/VPI!R133</f>
        <v>0</v>
      </c>
      <c r="AD133" s="452">
        <f t="shared" si="6"/>
        <v>85183</v>
      </c>
      <c r="AE133" s="450">
        <f>AD133/VPI!R133</f>
        <v>1.9607657061187416</v>
      </c>
      <c r="AF133" s="446">
        <v>85183</v>
      </c>
      <c r="AG133" s="446">
        <v>29543</v>
      </c>
      <c r="AH133" s="446">
        <v>73700</v>
      </c>
      <c r="AI133" s="272"/>
      <c r="AJ133" s="446">
        <v>0</v>
      </c>
      <c r="AK133" s="450">
        <f>AJ133/VPI!R133</f>
        <v>0</v>
      </c>
      <c r="AL133" s="452">
        <f t="shared" si="7"/>
        <v>1804</v>
      </c>
      <c r="AM133" s="450">
        <f>AL133/VPI!R133</f>
        <v>4.1524967820318726E-2</v>
      </c>
      <c r="AN133" s="446">
        <v>1804</v>
      </c>
      <c r="AO133" s="272"/>
      <c r="AP133" s="541">
        <v>39.308775673363094</v>
      </c>
      <c r="AR133" s="178">
        <v>0</v>
      </c>
    </row>
    <row r="134" spans="1:44" x14ac:dyDescent="0.25">
      <c r="A134" s="193">
        <v>5632</v>
      </c>
      <c r="B134" s="454" t="s">
        <v>136</v>
      </c>
      <c r="C134" s="446">
        <v>3320177.82</v>
      </c>
      <c r="D134" s="446">
        <v>628662.04</v>
      </c>
      <c r="E134" s="446"/>
      <c r="F134" s="446">
        <v>0</v>
      </c>
      <c r="G134" s="446">
        <v>208779.05</v>
      </c>
      <c r="H134" s="446">
        <v>14689.65</v>
      </c>
      <c r="I134" s="446">
        <v>0</v>
      </c>
      <c r="J134" s="446">
        <v>210458.31</v>
      </c>
      <c r="K134" s="446">
        <v>23646.6</v>
      </c>
      <c r="L134" s="446">
        <v>348972.1</v>
      </c>
      <c r="M134" s="506">
        <f t="shared" si="8"/>
        <v>4755385.5699999984</v>
      </c>
      <c r="N134" s="446">
        <v>74620.800000000003</v>
      </c>
      <c r="O134" s="446">
        <v>0</v>
      </c>
      <c r="P134" s="446">
        <v>285035.40000000002</v>
      </c>
      <c r="Q134" s="446">
        <v>4195.5</v>
      </c>
      <c r="R134" s="446">
        <v>95165.3</v>
      </c>
      <c r="S134" s="446">
        <v>21924.266811762198</v>
      </c>
      <c r="T134" s="506">
        <f t="shared" ref="T134:T197" si="9">SUM(M134:S134)</f>
        <v>5236326.8368117604</v>
      </c>
      <c r="U134" s="446">
        <v>-43095.32</v>
      </c>
      <c r="V134" s="446"/>
      <c r="W134" s="446">
        <v>-1532.09</v>
      </c>
      <c r="X134" s="448">
        <v>62</v>
      </c>
      <c r="Y134" s="448">
        <v>1</v>
      </c>
      <c r="Z134" s="446">
        <v>1730</v>
      </c>
      <c r="AA134" s="269"/>
      <c r="AB134" s="446">
        <v>3105</v>
      </c>
      <c r="AC134" s="450">
        <f>AB134/VPI!R134</f>
        <v>4.0640692661795534E-2</v>
      </c>
      <c r="AD134" s="452">
        <f t="shared" si="6"/>
        <v>155148</v>
      </c>
      <c r="AE134" s="450">
        <f>AD134/VPI!R134</f>
        <v>2.0306995765192442</v>
      </c>
      <c r="AF134" s="446">
        <v>158253</v>
      </c>
      <c r="AG134" s="446">
        <v>534020</v>
      </c>
      <c r="AH134" s="446">
        <v>47894</v>
      </c>
      <c r="AI134" s="272"/>
      <c r="AJ134" s="446">
        <v>0</v>
      </c>
      <c r="AK134" s="450">
        <f>AJ134/VPI!R134</f>
        <v>0</v>
      </c>
      <c r="AL134" s="452">
        <f t="shared" si="7"/>
        <v>-1499</v>
      </c>
      <c r="AM134" s="450">
        <f>AL134/VPI!R134</f>
        <v>-1.962009607086361E-2</v>
      </c>
      <c r="AN134" s="446">
        <v>-1499</v>
      </c>
      <c r="AO134" s="272"/>
      <c r="AP134" s="541">
        <v>30.159055336664146</v>
      </c>
      <c r="AR134" s="178">
        <v>0</v>
      </c>
    </row>
    <row r="135" spans="1:44" x14ac:dyDescent="0.25">
      <c r="A135" s="193">
        <v>5633</v>
      </c>
      <c r="B135" s="454" t="s">
        <v>137</v>
      </c>
      <c r="C135" s="446">
        <v>6091931.9000000004</v>
      </c>
      <c r="D135" s="446">
        <v>1493796.8</v>
      </c>
      <c r="E135" s="446"/>
      <c r="F135" s="446">
        <v>0</v>
      </c>
      <c r="G135" s="446">
        <v>383187.35</v>
      </c>
      <c r="H135" s="446">
        <v>103637.4</v>
      </c>
      <c r="I135" s="446">
        <v>0</v>
      </c>
      <c r="J135" s="446">
        <v>204276.94</v>
      </c>
      <c r="K135" s="446">
        <v>32221.7</v>
      </c>
      <c r="L135" s="446">
        <v>654603.94999999995</v>
      </c>
      <c r="M135" s="506">
        <f t="shared" si="8"/>
        <v>8963656.040000001</v>
      </c>
      <c r="N135" s="446">
        <v>197742.25</v>
      </c>
      <c r="O135" s="446">
        <v>442498.3</v>
      </c>
      <c r="P135" s="446">
        <v>530269.5</v>
      </c>
      <c r="Q135" s="446">
        <v>2267.2600000000002</v>
      </c>
      <c r="R135" s="446">
        <v>476944.2</v>
      </c>
      <c r="S135" s="446">
        <v>47761.997680514934</v>
      </c>
      <c r="T135" s="506">
        <f t="shared" si="9"/>
        <v>10661139.547680516</v>
      </c>
      <c r="U135" s="446">
        <v>-40672.81</v>
      </c>
      <c r="V135" s="446"/>
      <c r="W135" s="446">
        <v>0</v>
      </c>
      <c r="X135" s="448">
        <v>60.5</v>
      </c>
      <c r="Y135" s="448">
        <v>1</v>
      </c>
      <c r="Z135" s="446">
        <v>2743</v>
      </c>
      <c r="AA135" s="269"/>
      <c r="AB135" s="446">
        <v>331181</v>
      </c>
      <c r="AC135" s="450">
        <f>AB135/VPI!R135</f>
        <v>2.2329680837409978</v>
      </c>
      <c r="AD135" s="452">
        <f t="shared" ref="AD135:AD198" si="10">AF135-AB135</f>
        <v>693951</v>
      </c>
      <c r="AE135" s="450">
        <f>AD135/VPI!R135</f>
        <v>4.6789231105653677</v>
      </c>
      <c r="AF135" s="446">
        <v>1025132</v>
      </c>
      <c r="AG135" s="446">
        <v>898284</v>
      </c>
      <c r="AH135" s="446">
        <v>103694</v>
      </c>
      <c r="AI135" s="272"/>
      <c r="AJ135" s="446">
        <v>0</v>
      </c>
      <c r="AK135" s="450">
        <f>AJ135/VPI!R135</f>
        <v>0</v>
      </c>
      <c r="AL135" s="452">
        <f t="shared" ref="AL135:AL198" si="11">AN135-AJ135</f>
        <v>-4989</v>
      </c>
      <c r="AM135" s="450">
        <f>AL135/VPI!R135</f>
        <v>-3.363803409550619E-2</v>
      </c>
      <c r="AN135" s="446">
        <v>-4989</v>
      </c>
      <c r="AO135" s="272"/>
      <c r="AP135" s="541">
        <v>33.364349742102291</v>
      </c>
      <c r="AR135" s="178">
        <v>0</v>
      </c>
    </row>
    <row r="136" spans="1:44" x14ac:dyDescent="0.25">
      <c r="A136" s="193">
        <v>5634</v>
      </c>
      <c r="B136" s="454" t="s">
        <v>138</v>
      </c>
      <c r="C136" s="446">
        <v>8120857.5800000001</v>
      </c>
      <c r="D136" s="446">
        <v>1419864.32</v>
      </c>
      <c r="E136" s="446"/>
      <c r="F136" s="446">
        <v>0</v>
      </c>
      <c r="G136" s="446">
        <v>330941.15000000002</v>
      </c>
      <c r="H136" s="446">
        <v>18026.2</v>
      </c>
      <c r="I136" s="446">
        <v>79996.100000000006</v>
      </c>
      <c r="J136" s="446">
        <v>114182.63</v>
      </c>
      <c r="K136" s="446">
        <v>30661.9</v>
      </c>
      <c r="L136" s="446">
        <v>717057.2</v>
      </c>
      <c r="M136" s="506">
        <f t="shared" si="8"/>
        <v>10831587.08</v>
      </c>
      <c r="N136" s="446">
        <v>34427.1</v>
      </c>
      <c r="O136" s="446">
        <v>110134.1</v>
      </c>
      <c r="P136" s="446">
        <v>419119.95</v>
      </c>
      <c r="Q136" s="446">
        <v>-22414.37</v>
      </c>
      <c r="R136" s="446">
        <v>301776.34999999998</v>
      </c>
      <c r="S136" s="446">
        <v>34236.915360764724</v>
      </c>
      <c r="T136" s="506">
        <f t="shared" si="9"/>
        <v>11708867.125360765</v>
      </c>
      <c r="U136" s="446">
        <v>1122.06</v>
      </c>
      <c r="V136" s="446"/>
      <c r="W136" s="446">
        <v>-16430.84</v>
      </c>
      <c r="X136" s="448">
        <v>66</v>
      </c>
      <c r="Y136" s="448">
        <v>1</v>
      </c>
      <c r="Z136" s="446">
        <v>3127</v>
      </c>
      <c r="AA136" s="269"/>
      <c r="AB136" s="446">
        <v>146675</v>
      </c>
      <c r="AC136" s="450">
        <f>AB136/VPI!R136</f>
        <v>0.89402104193992349</v>
      </c>
      <c r="AD136" s="452">
        <f t="shared" si="10"/>
        <v>258186</v>
      </c>
      <c r="AE136" s="450">
        <f>AD136/VPI!R136</f>
        <v>1.5737086533785654</v>
      </c>
      <c r="AF136" s="446">
        <v>404861</v>
      </c>
      <c r="AG136" s="446">
        <v>618354</v>
      </c>
      <c r="AH136" s="446">
        <v>254733</v>
      </c>
      <c r="AI136" s="272"/>
      <c r="AJ136" s="446">
        <v>0</v>
      </c>
      <c r="AK136" s="450">
        <f>AJ136/VPI!R136</f>
        <v>0</v>
      </c>
      <c r="AL136" s="452">
        <f t="shared" si="11"/>
        <v>12937</v>
      </c>
      <c r="AM136" s="450">
        <f>AL136/VPI!R136</f>
        <v>7.8854271140799653E-2</v>
      </c>
      <c r="AN136" s="446">
        <v>12937</v>
      </c>
      <c r="AO136" s="272"/>
      <c r="AP136" s="541">
        <v>32.678467736397003</v>
      </c>
      <c r="AR136" s="178">
        <v>0</v>
      </c>
    </row>
    <row r="137" spans="1:44" x14ac:dyDescent="0.25">
      <c r="A137" s="193">
        <v>5635</v>
      </c>
      <c r="B137" s="454" t="s">
        <v>139</v>
      </c>
      <c r="C137" s="446">
        <v>19560873.640000001</v>
      </c>
      <c r="D137" s="446">
        <v>2401276.71</v>
      </c>
      <c r="E137" s="446"/>
      <c r="F137" s="446">
        <v>0</v>
      </c>
      <c r="G137" s="446">
        <v>3105278</v>
      </c>
      <c r="H137" s="446">
        <v>806592.7</v>
      </c>
      <c r="I137" s="446">
        <v>0</v>
      </c>
      <c r="J137" s="446">
        <v>1749282.28</v>
      </c>
      <c r="K137" s="446">
        <v>453708.3</v>
      </c>
      <c r="L137" s="446">
        <v>2909270.35</v>
      </c>
      <c r="M137" s="506">
        <f t="shared" si="8"/>
        <v>30986281.980000004</v>
      </c>
      <c r="N137" s="446">
        <v>2487367.85</v>
      </c>
      <c r="O137" s="446">
        <v>328899.90000000002</v>
      </c>
      <c r="P137" s="446">
        <v>1907493.5</v>
      </c>
      <c r="Q137" s="446">
        <v>76637.2</v>
      </c>
      <c r="R137" s="446">
        <v>676244.1</v>
      </c>
      <c r="S137" s="446">
        <v>1453181.1170600653</v>
      </c>
      <c r="T137" s="506">
        <f t="shared" si="9"/>
        <v>37916105.647060074</v>
      </c>
      <c r="U137" s="446">
        <v>-620064.99</v>
      </c>
      <c r="V137" s="446"/>
      <c r="W137" s="446">
        <v>-25901.47</v>
      </c>
      <c r="X137" s="448">
        <v>62.5</v>
      </c>
      <c r="Y137" s="448">
        <v>1.2</v>
      </c>
      <c r="Z137" s="446">
        <v>13164</v>
      </c>
      <c r="AA137" s="269"/>
      <c r="AB137" s="446">
        <v>1114004</v>
      </c>
      <c r="AC137" s="450">
        <f>AB137/VPI!R137</f>
        <v>2.2184063507509002</v>
      </c>
      <c r="AD137" s="452">
        <f t="shared" si="10"/>
        <v>2590032</v>
      </c>
      <c r="AE137" s="450">
        <f>AD137/VPI!R137</f>
        <v>5.1577404007957384</v>
      </c>
      <c r="AF137" s="446">
        <v>3704036</v>
      </c>
      <c r="AG137" s="446">
        <v>4366357</v>
      </c>
      <c r="AH137" s="446">
        <v>108973</v>
      </c>
      <c r="AI137" s="272"/>
      <c r="AJ137" s="446">
        <v>0</v>
      </c>
      <c r="AK137" s="450">
        <f>AJ137/VPI!R137</f>
        <v>0</v>
      </c>
      <c r="AL137" s="452">
        <f t="shared" si="11"/>
        <v>165089</v>
      </c>
      <c r="AM137" s="450">
        <f>AL137/VPI!R137</f>
        <v>0.32875509068110653</v>
      </c>
      <c r="AN137" s="446">
        <v>165089</v>
      </c>
      <c r="AO137" s="272"/>
      <c r="AP137" s="541">
        <v>15.042094899818121</v>
      </c>
      <c r="AR137" s="178">
        <v>1</v>
      </c>
    </row>
    <row r="138" spans="1:44" x14ac:dyDescent="0.25">
      <c r="A138" s="193">
        <v>5636</v>
      </c>
      <c r="B138" s="454" t="s">
        <v>140</v>
      </c>
      <c r="C138" s="446">
        <v>5896847.8300000001</v>
      </c>
      <c r="D138" s="446">
        <v>961158.63</v>
      </c>
      <c r="E138" s="446"/>
      <c r="F138" s="446">
        <v>0</v>
      </c>
      <c r="G138" s="446">
        <v>1252000.3500000001</v>
      </c>
      <c r="H138" s="446">
        <v>207905.95</v>
      </c>
      <c r="I138" s="446">
        <v>0</v>
      </c>
      <c r="J138" s="446">
        <v>357527.27</v>
      </c>
      <c r="K138" s="446">
        <v>284447.09999999998</v>
      </c>
      <c r="L138" s="446">
        <v>1189901.8500000001</v>
      </c>
      <c r="M138" s="506">
        <f t="shared" si="8"/>
        <v>10149788.98</v>
      </c>
      <c r="N138" s="446">
        <v>619311.94999999995</v>
      </c>
      <c r="O138" s="446">
        <v>211610.6</v>
      </c>
      <c r="P138" s="446">
        <v>400593</v>
      </c>
      <c r="Q138" s="446">
        <v>728.49</v>
      </c>
      <c r="R138" s="446">
        <v>366210.85</v>
      </c>
      <c r="S138" s="446">
        <v>143230.27190866761</v>
      </c>
      <c r="T138" s="506">
        <f t="shared" si="9"/>
        <v>11891474.141908666</v>
      </c>
      <c r="U138" s="446">
        <v>-79322.78</v>
      </c>
      <c r="V138" s="446"/>
      <c r="W138" s="446">
        <v>-3378.24</v>
      </c>
      <c r="X138" s="448">
        <v>60</v>
      </c>
      <c r="Y138" s="448">
        <v>1</v>
      </c>
      <c r="Z138" s="446">
        <v>2909</v>
      </c>
      <c r="AA138" s="269"/>
      <c r="AB138" s="446">
        <v>93076</v>
      </c>
      <c r="AC138" s="450">
        <f>AB138/VPI!R138</f>
        <v>0.54691356842172234</v>
      </c>
      <c r="AD138" s="452">
        <f t="shared" si="10"/>
        <v>383530</v>
      </c>
      <c r="AE138" s="450">
        <f>AD138/VPI!R138</f>
        <v>2.2536181281617518</v>
      </c>
      <c r="AF138" s="446">
        <v>476606</v>
      </c>
      <c r="AG138" s="446">
        <v>363520</v>
      </c>
      <c r="AH138" s="446">
        <v>301318</v>
      </c>
      <c r="AI138" s="272"/>
      <c r="AJ138" s="446">
        <v>0</v>
      </c>
      <c r="AK138" s="450">
        <f>AJ138/VPI!R138</f>
        <v>0</v>
      </c>
      <c r="AL138" s="452">
        <f t="shared" si="11"/>
        <v>20069</v>
      </c>
      <c r="AM138" s="450">
        <f>AL138/VPI!R138</f>
        <v>0.11792522674648187</v>
      </c>
      <c r="AN138" s="446">
        <v>20069</v>
      </c>
      <c r="AO138" s="272"/>
      <c r="AP138" s="541">
        <v>33.832578416519446</v>
      </c>
      <c r="AR138" s="178">
        <v>0</v>
      </c>
    </row>
    <row r="139" spans="1:44" x14ac:dyDescent="0.25">
      <c r="A139" s="193">
        <v>5637</v>
      </c>
      <c r="B139" s="454" t="s">
        <v>141</v>
      </c>
      <c r="C139" s="446">
        <v>2534331.83</v>
      </c>
      <c r="D139" s="446">
        <v>215880.28</v>
      </c>
      <c r="E139" s="446"/>
      <c r="F139" s="446">
        <v>0</v>
      </c>
      <c r="G139" s="446">
        <v>11469.8</v>
      </c>
      <c r="H139" s="446">
        <v>583.35</v>
      </c>
      <c r="I139" s="446">
        <v>0</v>
      </c>
      <c r="J139" s="446">
        <v>75916.59</v>
      </c>
      <c r="K139" s="446">
        <v>5748.85</v>
      </c>
      <c r="L139" s="446">
        <v>289953.59999999998</v>
      </c>
      <c r="M139" s="506">
        <f t="shared" si="8"/>
        <v>3133884.3</v>
      </c>
      <c r="N139" s="446">
        <v>222888.05</v>
      </c>
      <c r="O139" s="446">
        <v>9743.7999999999993</v>
      </c>
      <c r="P139" s="446">
        <v>111469.3</v>
      </c>
      <c r="Q139" s="446">
        <v>2396.9899999999998</v>
      </c>
      <c r="R139" s="446">
        <v>102752.3</v>
      </c>
      <c r="S139" s="446">
        <v>1182.5251742909509</v>
      </c>
      <c r="T139" s="506">
        <f t="shared" si="9"/>
        <v>3584317.2651742902</v>
      </c>
      <c r="U139" s="446">
        <v>-32228.12</v>
      </c>
      <c r="V139" s="446"/>
      <c r="W139" s="446">
        <v>-1637.58</v>
      </c>
      <c r="X139" s="448">
        <v>73</v>
      </c>
      <c r="Y139" s="448">
        <v>1.5</v>
      </c>
      <c r="Z139" s="446">
        <v>1008</v>
      </c>
      <c r="AA139" s="269"/>
      <c r="AB139" s="446">
        <v>17596</v>
      </c>
      <c r="AC139" s="450">
        <f>AB139/VPI!R139</f>
        <v>0.42718013860432469</v>
      </c>
      <c r="AD139" s="452">
        <f t="shared" si="10"/>
        <v>338339</v>
      </c>
      <c r="AE139" s="450">
        <f>AD139/VPI!R139</f>
        <v>8.2138952554699145</v>
      </c>
      <c r="AF139" s="446">
        <v>355935</v>
      </c>
      <c r="AG139" s="446">
        <v>63704</v>
      </c>
      <c r="AH139" s="446">
        <v>107020</v>
      </c>
      <c r="AI139" s="272"/>
      <c r="AJ139" s="446">
        <v>0</v>
      </c>
      <c r="AK139" s="450">
        <f>AJ139/VPI!R139</f>
        <v>0</v>
      </c>
      <c r="AL139" s="452">
        <f t="shared" si="11"/>
        <v>0</v>
      </c>
      <c r="AM139" s="450">
        <f>AL139/VPI!R139</f>
        <v>0</v>
      </c>
      <c r="AN139" s="446">
        <v>0</v>
      </c>
      <c r="AO139" s="272"/>
      <c r="AP139" s="541">
        <v>26.613281830098575</v>
      </c>
      <c r="AR139" s="178">
        <v>0</v>
      </c>
    </row>
    <row r="140" spans="1:44" x14ac:dyDescent="0.25">
      <c r="A140" s="193">
        <v>5638</v>
      </c>
      <c r="B140" s="454" t="s">
        <v>142</v>
      </c>
      <c r="C140" s="446">
        <v>5413937.4900000002</v>
      </c>
      <c r="D140" s="446">
        <v>1398789.75</v>
      </c>
      <c r="E140" s="446"/>
      <c r="F140" s="446">
        <v>0</v>
      </c>
      <c r="G140" s="446">
        <v>6296.1</v>
      </c>
      <c r="H140" s="446">
        <v>39576</v>
      </c>
      <c r="I140" s="446">
        <v>317203.75</v>
      </c>
      <c r="J140" s="446">
        <v>128647.64</v>
      </c>
      <c r="K140" s="446">
        <v>64583.25</v>
      </c>
      <c r="L140" s="446">
        <v>678102.1</v>
      </c>
      <c r="M140" s="506">
        <f t="shared" si="8"/>
        <v>8047136.0799999991</v>
      </c>
      <c r="N140" s="446">
        <v>290954.15000000002</v>
      </c>
      <c r="O140" s="446">
        <v>1585561.3</v>
      </c>
      <c r="P140" s="446">
        <v>317299.65000000002</v>
      </c>
      <c r="Q140" s="446">
        <v>17148.830000000002</v>
      </c>
      <c r="R140" s="446">
        <v>218303.75</v>
      </c>
      <c r="S140" s="446">
        <v>4500.47606207439</v>
      </c>
      <c r="T140" s="506">
        <f t="shared" si="9"/>
        <v>10480904.236062074</v>
      </c>
      <c r="U140" s="446">
        <v>-53189.35</v>
      </c>
      <c r="V140" s="446"/>
      <c r="W140" s="446">
        <v>-14646.69</v>
      </c>
      <c r="X140" s="448">
        <v>55</v>
      </c>
      <c r="Y140" s="448">
        <v>1</v>
      </c>
      <c r="Z140" s="446">
        <v>2679</v>
      </c>
      <c r="AA140" s="269"/>
      <c r="AB140" s="446">
        <v>194293</v>
      </c>
      <c r="AC140" s="450">
        <f>AB140/VPI!R140</f>
        <v>1.3356058809770515</v>
      </c>
      <c r="AD140" s="452">
        <f t="shared" si="10"/>
        <v>518725</v>
      </c>
      <c r="AE140" s="450">
        <f>AD140/VPI!R140</f>
        <v>3.5658112263942652</v>
      </c>
      <c r="AF140" s="446">
        <v>713018</v>
      </c>
      <c r="AG140" s="446">
        <v>989569</v>
      </c>
      <c r="AH140" s="446">
        <v>83536</v>
      </c>
      <c r="AI140" s="272"/>
      <c r="AJ140" s="446">
        <v>0</v>
      </c>
      <c r="AK140" s="450">
        <f>AJ140/VPI!R140</f>
        <v>0</v>
      </c>
      <c r="AL140" s="452">
        <f t="shared" si="11"/>
        <v>24513</v>
      </c>
      <c r="AM140" s="450">
        <f>AL140/VPI!R140</f>
        <v>0.16850687858229818</v>
      </c>
      <c r="AN140" s="446">
        <v>24513</v>
      </c>
      <c r="AO140" s="272"/>
      <c r="AP140" s="541">
        <v>32.86574694035842</v>
      </c>
      <c r="AR140" s="178">
        <v>0</v>
      </c>
    </row>
    <row r="141" spans="1:44" x14ac:dyDescent="0.25">
      <c r="A141" s="193">
        <v>5639</v>
      </c>
      <c r="B141" s="454" t="s">
        <v>143</v>
      </c>
      <c r="C141" s="446">
        <v>2141205.88</v>
      </c>
      <c r="D141" s="446">
        <v>510646.95</v>
      </c>
      <c r="E141" s="446"/>
      <c r="F141" s="446">
        <v>0</v>
      </c>
      <c r="G141" s="446">
        <v>-61349.1</v>
      </c>
      <c r="H141" s="446">
        <v>3361.6</v>
      </c>
      <c r="I141" s="446">
        <v>0</v>
      </c>
      <c r="J141" s="446">
        <v>9023.2800000000007</v>
      </c>
      <c r="K141" s="446">
        <v>-8250.15</v>
      </c>
      <c r="L141" s="446">
        <v>257092.2</v>
      </c>
      <c r="M141" s="506">
        <f t="shared" si="8"/>
        <v>2851730.66</v>
      </c>
      <c r="N141" s="446">
        <v>15484.7</v>
      </c>
      <c r="O141" s="446">
        <v>3045.2</v>
      </c>
      <c r="P141" s="446">
        <v>129002.9</v>
      </c>
      <c r="Q141" s="446">
        <v>669.49</v>
      </c>
      <c r="R141" s="446">
        <v>20303.5</v>
      </c>
      <c r="S141" s="446">
        <v>0</v>
      </c>
      <c r="T141" s="506">
        <f t="shared" si="9"/>
        <v>3020236.4500000007</v>
      </c>
      <c r="U141" s="446">
        <v>-11017.54</v>
      </c>
      <c r="V141" s="446"/>
      <c r="W141" s="446">
        <v>0</v>
      </c>
      <c r="X141" s="448">
        <v>61</v>
      </c>
      <c r="Y141" s="448">
        <v>1.25</v>
      </c>
      <c r="Z141" s="446">
        <v>825</v>
      </c>
      <c r="AA141" s="269"/>
      <c r="AB141" s="446">
        <v>0</v>
      </c>
      <c r="AC141" s="450">
        <f>AB141/VPI!R141</f>
        <v>0</v>
      </c>
      <c r="AD141" s="452">
        <f t="shared" si="10"/>
        <v>0</v>
      </c>
      <c r="AE141" s="450">
        <f>AD141/VPI!R141</f>
        <v>0</v>
      </c>
      <c r="AF141" s="446">
        <v>0</v>
      </c>
      <c r="AG141" s="446">
        <v>0</v>
      </c>
      <c r="AH141" s="446">
        <v>0</v>
      </c>
      <c r="AI141" s="272"/>
      <c r="AJ141" s="446">
        <v>0</v>
      </c>
      <c r="AK141" s="450">
        <f>AJ141/VPI!R141</f>
        <v>0</v>
      </c>
      <c r="AL141" s="452">
        <f t="shared" si="11"/>
        <v>0</v>
      </c>
      <c r="AM141" s="450">
        <f>AL141/VPI!R141</f>
        <v>0</v>
      </c>
      <c r="AN141" s="446">
        <v>0</v>
      </c>
      <c r="AO141" s="272"/>
      <c r="AP141" s="541">
        <v>35.46376365491998</v>
      </c>
      <c r="AR141" s="178">
        <v>0</v>
      </c>
    </row>
    <row r="142" spans="1:44" x14ac:dyDescent="0.25">
      <c r="A142" s="193">
        <v>5640</v>
      </c>
      <c r="B142" s="454" t="s">
        <v>144</v>
      </c>
      <c r="C142" s="446">
        <v>2832777.84</v>
      </c>
      <c r="D142" s="446">
        <v>557058.31000000006</v>
      </c>
      <c r="E142" s="446"/>
      <c r="F142" s="446">
        <v>0</v>
      </c>
      <c r="G142" s="446">
        <v>20319.099999999999</v>
      </c>
      <c r="H142" s="446">
        <v>6040.6</v>
      </c>
      <c r="I142" s="446">
        <v>123554.25</v>
      </c>
      <c r="J142" s="446">
        <v>23735.61</v>
      </c>
      <c r="K142" s="446">
        <v>3322.35</v>
      </c>
      <c r="L142" s="446">
        <v>200088.65</v>
      </c>
      <c r="M142" s="506">
        <f t="shared" si="8"/>
        <v>3766896.71</v>
      </c>
      <c r="N142" s="446">
        <v>14468.85</v>
      </c>
      <c r="O142" s="446">
        <v>73401.600000000006</v>
      </c>
      <c r="P142" s="446">
        <v>158128.6</v>
      </c>
      <c r="Q142" s="446">
        <v>123.98</v>
      </c>
      <c r="R142" s="446">
        <v>111804.6</v>
      </c>
      <c r="S142" s="446">
        <v>2586.129670397961</v>
      </c>
      <c r="T142" s="506">
        <f t="shared" si="9"/>
        <v>4127410.4696703982</v>
      </c>
      <c r="U142" s="446">
        <v>-3891.6</v>
      </c>
      <c r="V142" s="446"/>
      <c r="W142" s="446">
        <v>-2209.71</v>
      </c>
      <c r="X142" s="448">
        <v>66</v>
      </c>
      <c r="Y142" s="448">
        <v>1</v>
      </c>
      <c r="Z142" s="446">
        <v>722</v>
      </c>
      <c r="AA142" s="269"/>
      <c r="AB142" s="446">
        <v>107476</v>
      </c>
      <c r="AC142" s="450">
        <f>AB142/VPI!R142</f>
        <v>1.8847895882637438</v>
      </c>
      <c r="AD142" s="452">
        <f t="shared" si="10"/>
        <v>32940</v>
      </c>
      <c r="AE142" s="450">
        <f>AD142/VPI!R142</f>
        <v>0.5776635624456411</v>
      </c>
      <c r="AF142" s="446">
        <v>140416</v>
      </c>
      <c r="AG142" s="446">
        <v>122759</v>
      </c>
      <c r="AH142" s="446">
        <v>89735</v>
      </c>
      <c r="AI142" s="272"/>
      <c r="AJ142" s="446">
        <v>0</v>
      </c>
      <c r="AK142" s="450">
        <f>AJ142/VPI!R142</f>
        <v>0</v>
      </c>
      <c r="AL142" s="452">
        <f t="shared" si="11"/>
        <v>4870</v>
      </c>
      <c r="AM142" s="450">
        <f>AL142/VPI!R142</f>
        <v>8.5404418612940861E-2</v>
      </c>
      <c r="AN142" s="446">
        <v>4870</v>
      </c>
      <c r="AO142" s="272"/>
      <c r="AP142" s="541">
        <v>43.647559091163195</v>
      </c>
      <c r="AR142" s="178">
        <v>1</v>
      </c>
    </row>
    <row r="143" spans="1:44" x14ac:dyDescent="0.25">
      <c r="A143" s="193">
        <v>5642</v>
      </c>
      <c r="B143" s="454" t="s">
        <v>145</v>
      </c>
      <c r="C143" s="446">
        <v>39245322.630000003</v>
      </c>
      <c r="D143" s="446">
        <v>5542645.3799999999</v>
      </c>
      <c r="E143" s="446"/>
      <c r="F143" s="446">
        <v>0</v>
      </c>
      <c r="G143" s="446">
        <v>5951770.75</v>
      </c>
      <c r="H143" s="446">
        <v>1108062.8</v>
      </c>
      <c r="I143" s="446">
        <v>1785593.95</v>
      </c>
      <c r="J143" s="446">
        <v>1767628.67</v>
      </c>
      <c r="K143" s="446">
        <v>528585.69999999995</v>
      </c>
      <c r="L143" s="446">
        <v>3270455.1</v>
      </c>
      <c r="M143" s="506">
        <f t="shared" si="8"/>
        <v>59200064.980000012</v>
      </c>
      <c r="N143" s="446">
        <v>1316828.75</v>
      </c>
      <c r="O143" s="446">
        <v>1575229.1</v>
      </c>
      <c r="P143" s="446">
        <v>1876741.5</v>
      </c>
      <c r="Q143" s="446">
        <v>124680.94</v>
      </c>
      <c r="R143" s="446">
        <v>1985121.55</v>
      </c>
      <c r="S143" s="446">
        <v>466983.56847045507</v>
      </c>
      <c r="T143" s="506">
        <f t="shared" si="9"/>
        <v>66545650.388470463</v>
      </c>
      <c r="U143" s="446">
        <v>-1266950.6599999999</v>
      </c>
      <c r="V143" s="446"/>
      <c r="W143" s="446">
        <v>-65343.82</v>
      </c>
      <c r="X143" s="448">
        <v>67</v>
      </c>
      <c r="Y143" s="448">
        <v>1</v>
      </c>
      <c r="Z143" s="446">
        <v>16095</v>
      </c>
      <c r="AA143" s="269"/>
      <c r="AB143" s="446">
        <v>723841</v>
      </c>
      <c r="AC143" s="450">
        <f>AB143/VPI!R143</f>
        <v>0.82958973163139504</v>
      </c>
      <c r="AD143" s="452">
        <f t="shared" si="10"/>
        <v>2058091</v>
      </c>
      <c r="AE143" s="450">
        <f>AD143/VPI!R143</f>
        <v>2.3587654752397138</v>
      </c>
      <c r="AF143" s="446">
        <v>2781932</v>
      </c>
      <c r="AG143" s="446">
        <v>5011152</v>
      </c>
      <c r="AH143" s="446">
        <v>96480</v>
      </c>
      <c r="AI143" s="272"/>
      <c r="AJ143" s="446">
        <v>0</v>
      </c>
      <c r="AK143" s="450">
        <f>AJ143/VPI!R143</f>
        <v>0</v>
      </c>
      <c r="AL143" s="452">
        <f t="shared" si="11"/>
        <v>22292</v>
      </c>
      <c r="AM143" s="450">
        <f>AL143/VPI!R143</f>
        <v>2.5548724509287343E-2</v>
      </c>
      <c r="AN143" s="446">
        <v>22292</v>
      </c>
      <c r="AO143" s="272"/>
      <c r="AP143" s="541">
        <v>24.578867909992219</v>
      </c>
      <c r="AR143" s="178">
        <v>1</v>
      </c>
    </row>
    <row r="144" spans="1:44" x14ac:dyDescent="0.25">
      <c r="A144" s="193">
        <v>5643</v>
      </c>
      <c r="B144" s="454" t="s">
        <v>146</v>
      </c>
      <c r="C144" s="446">
        <v>12324304.48</v>
      </c>
      <c r="D144" s="446">
        <v>1798238.34</v>
      </c>
      <c r="E144" s="446"/>
      <c r="F144" s="446">
        <v>0</v>
      </c>
      <c r="G144" s="446">
        <v>387344.6</v>
      </c>
      <c r="H144" s="446">
        <v>65130.75</v>
      </c>
      <c r="I144" s="446">
        <v>447354.21</v>
      </c>
      <c r="J144" s="446">
        <v>265216.28000000003</v>
      </c>
      <c r="K144" s="446">
        <v>126037</v>
      </c>
      <c r="L144" s="446">
        <v>1126087.1299999999</v>
      </c>
      <c r="M144" s="506">
        <f t="shared" si="8"/>
        <v>16539712.789999999</v>
      </c>
      <c r="N144" s="446">
        <v>212698.65</v>
      </c>
      <c r="O144" s="446">
        <v>90172</v>
      </c>
      <c r="P144" s="446">
        <v>427353.4</v>
      </c>
      <c r="Q144" s="446">
        <v>34745.64</v>
      </c>
      <c r="R144" s="446">
        <v>292102.59999999998</v>
      </c>
      <c r="S144" s="446">
        <v>44392.004755695314</v>
      </c>
      <c r="T144" s="506">
        <f t="shared" si="9"/>
        <v>17641177.084755693</v>
      </c>
      <c r="U144" s="446">
        <v>-195126.12</v>
      </c>
      <c r="V144" s="446"/>
      <c r="W144" s="446">
        <v>-37519.589999999997</v>
      </c>
      <c r="X144" s="448">
        <v>62.5</v>
      </c>
      <c r="Y144" s="448">
        <v>1</v>
      </c>
      <c r="Z144" s="446">
        <v>5241</v>
      </c>
      <c r="AA144" s="269"/>
      <c r="AB144" s="446">
        <v>5</v>
      </c>
      <c r="AC144" s="450">
        <f>AB144/VPI!R144</f>
        <v>1.9070920036040197E-5</v>
      </c>
      <c r="AD144" s="452">
        <f t="shared" si="10"/>
        <v>235856</v>
      </c>
      <c r="AE144" s="450">
        <f>AD144/VPI!R144</f>
        <v>0.89959818320405938</v>
      </c>
      <c r="AF144" s="446">
        <v>235861</v>
      </c>
      <c r="AG144" s="446">
        <v>1231727</v>
      </c>
      <c r="AH144" s="446">
        <v>108539</v>
      </c>
      <c r="AI144" s="272"/>
      <c r="AJ144" s="446">
        <v>0</v>
      </c>
      <c r="AK144" s="450">
        <f>AJ144/VPI!R144</f>
        <v>0</v>
      </c>
      <c r="AL144" s="452">
        <f t="shared" si="11"/>
        <v>150</v>
      </c>
      <c r="AM144" s="450">
        <f>AL144/VPI!R144</f>
        <v>5.7212760108120593E-4</v>
      </c>
      <c r="AN144" s="446">
        <v>150</v>
      </c>
      <c r="AO144" s="272"/>
      <c r="AP144" s="541">
        <v>28.195971415045779</v>
      </c>
      <c r="AR144" s="178">
        <v>1</v>
      </c>
    </row>
    <row r="145" spans="1:92" x14ac:dyDescent="0.25">
      <c r="A145" s="193">
        <v>5645</v>
      </c>
      <c r="B145" s="454" t="s">
        <v>263</v>
      </c>
      <c r="C145" s="446">
        <v>965059.85</v>
      </c>
      <c r="D145" s="446">
        <v>174988.67</v>
      </c>
      <c r="E145" s="446"/>
      <c r="F145" s="446">
        <v>0</v>
      </c>
      <c r="G145" s="446">
        <v>71950.5</v>
      </c>
      <c r="H145" s="446">
        <v>65620.95</v>
      </c>
      <c r="I145" s="446">
        <v>0</v>
      </c>
      <c r="J145" s="446">
        <v>66708.12</v>
      </c>
      <c r="K145" s="446">
        <v>20606.599999999999</v>
      </c>
      <c r="L145" s="446">
        <v>159938.35</v>
      </c>
      <c r="M145" s="506">
        <f t="shared" si="8"/>
        <v>1524873.04</v>
      </c>
      <c r="N145" s="446">
        <v>37607.800000000003</v>
      </c>
      <c r="O145" s="446">
        <v>89491.8</v>
      </c>
      <c r="P145" s="446">
        <v>69675.649999999994</v>
      </c>
      <c r="Q145" s="446">
        <v>2974.46</v>
      </c>
      <c r="R145" s="446">
        <v>19294.45</v>
      </c>
      <c r="S145" s="446">
        <v>13497.027987597337</v>
      </c>
      <c r="T145" s="506">
        <f t="shared" si="9"/>
        <v>1757414.2279875972</v>
      </c>
      <c r="U145" s="446">
        <v>-10244.790000000001</v>
      </c>
      <c r="V145" s="446"/>
      <c r="W145" s="446">
        <v>-1656.45</v>
      </c>
      <c r="X145" s="448">
        <v>56</v>
      </c>
      <c r="Y145" s="448">
        <v>1</v>
      </c>
      <c r="Z145" s="446">
        <v>466</v>
      </c>
      <c r="AA145" s="269"/>
      <c r="AB145" s="446">
        <v>6608</v>
      </c>
      <c r="AC145" s="450">
        <f>AB145/VPI!R145</f>
        <v>0.24194947462674454</v>
      </c>
      <c r="AD145" s="452">
        <f t="shared" si="10"/>
        <v>217716</v>
      </c>
      <c r="AE145" s="450">
        <f>AD145/VPI!R145</f>
        <v>7.9715907714643333</v>
      </c>
      <c r="AF145" s="446">
        <v>224324</v>
      </c>
      <c r="AG145" s="446">
        <v>51713</v>
      </c>
      <c r="AH145" s="446">
        <v>35776</v>
      </c>
      <c r="AI145" s="272"/>
      <c r="AJ145" s="446">
        <v>0</v>
      </c>
      <c r="AK145" s="450">
        <f>AJ145/VPI!R145</f>
        <v>0</v>
      </c>
      <c r="AL145" s="452">
        <f t="shared" si="11"/>
        <v>8064</v>
      </c>
      <c r="AM145" s="450">
        <f>AL145/VPI!R145</f>
        <v>0.29526037581568826</v>
      </c>
      <c r="AN145" s="446">
        <v>8064</v>
      </c>
      <c r="AO145" s="272"/>
      <c r="AP145" s="541">
        <v>36.950699760608622</v>
      </c>
      <c r="AR145" s="178">
        <v>0</v>
      </c>
    </row>
    <row r="146" spans="1:92" x14ac:dyDescent="0.25">
      <c r="A146" s="193">
        <v>5646</v>
      </c>
      <c r="B146" s="454" t="s">
        <v>264</v>
      </c>
      <c r="C146" s="446">
        <v>11983243.58</v>
      </c>
      <c r="D146" s="446">
        <v>2870606.54</v>
      </c>
      <c r="E146" s="446"/>
      <c r="F146" s="446">
        <v>0</v>
      </c>
      <c r="G146" s="446">
        <v>1370881.9</v>
      </c>
      <c r="H146" s="446">
        <v>9302227.5500000007</v>
      </c>
      <c r="I146" s="446">
        <v>762116.87</v>
      </c>
      <c r="J146" s="446">
        <v>587722.06000000006</v>
      </c>
      <c r="K146" s="446">
        <v>135101.5</v>
      </c>
      <c r="L146" s="446">
        <v>1656997.9</v>
      </c>
      <c r="M146" s="506">
        <f t="shared" si="8"/>
        <v>28668897.899999999</v>
      </c>
      <c r="N146" s="446">
        <v>1057317.55</v>
      </c>
      <c r="O146" s="446">
        <v>764394.2</v>
      </c>
      <c r="P146" s="446">
        <v>778605.7</v>
      </c>
      <c r="Q146" s="446">
        <v>23957.29</v>
      </c>
      <c r="R146" s="446">
        <v>751144.8</v>
      </c>
      <c r="S146" s="446">
        <v>1047130.469013299</v>
      </c>
      <c r="T146" s="506">
        <f t="shared" si="9"/>
        <v>33091447.909013297</v>
      </c>
      <c r="U146" s="446">
        <v>-178640.07</v>
      </c>
      <c r="V146" s="446"/>
      <c r="W146" s="446">
        <v>-34323.89</v>
      </c>
      <c r="X146" s="448">
        <v>55</v>
      </c>
      <c r="Y146" s="448">
        <v>1</v>
      </c>
      <c r="Z146" s="446">
        <v>5865</v>
      </c>
      <c r="AA146" s="269"/>
      <c r="AB146" s="446">
        <v>215158</v>
      </c>
      <c r="AC146" s="450">
        <f>AB146/VPI!R146</f>
        <v>0.40077492815319887</v>
      </c>
      <c r="AD146" s="452">
        <f t="shared" si="10"/>
        <v>159691</v>
      </c>
      <c r="AE146" s="450">
        <f>AD146/VPI!R146</f>
        <v>0.29745651591719802</v>
      </c>
      <c r="AF146" s="446">
        <v>374849</v>
      </c>
      <c r="AG146" s="446">
        <v>574742</v>
      </c>
      <c r="AH146" s="446">
        <v>142000</v>
      </c>
      <c r="AI146" s="272"/>
      <c r="AJ146" s="446">
        <v>0</v>
      </c>
      <c r="AK146" s="450">
        <f>AJ146/VPI!R146</f>
        <v>0</v>
      </c>
      <c r="AL146" s="452">
        <f t="shared" si="11"/>
        <v>24583</v>
      </c>
      <c r="AM146" s="450">
        <f>AL146/VPI!R146</f>
        <v>4.5790767988130067E-2</v>
      </c>
      <c r="AN146" s="446">
        <v>24583</v>
      </c>
      <c r="AO146" s="272"/>
      <c r="AP146" s="541">
        <v>34.672255382200191</v>
      </c>
      <c r="AR146" s="178">
        <v>1</v>
      </c>
    </row>
    <row r="147" spans="1:92" x14ac:dyDescent="0.25">
      <c r="A147" s="193">
        <v>5648</v>
      </c>
      <c r="B147" s="454" t="s">
        <v>265</v>
      </c>
      <c r="C147" s="446">
        <v>13667948.9</v>
      </c>
      <c r="D147" s="446">
        <v>3820279.14</v>
      </c>
      <c r="E147" s="446"/>
      <c r="F147" s="446">
        <v>0</v>
      </c>
      <c r="G147" s="446">
        <v>1159829.75</v>
      </c>
      <c r="H147" s="446">
        <v>221403.4</v>
      </c>
      <c r="I147" s="446">
        <v>548606.35</v>
      </c>
      <c r="J147" s="446">
        <v>709111.6</v>
      </c>
      <c r="K147" s="446">
        <v>137836.75</v>
      </c>
      <c r="L147" s="446">
        <v>1306376.6399999999</v>
      </c>
      <c r="M147" s="506">
        <f t="shared" si="8"/>
        <v>21571392.530000001</v>
      </c>
      <c r="N147" s="446">
        <v>85040.6</v>
      </c>
      <c r="O147" s="446">
        <v>333365.8</v>
      </c>
      <c r="P147" s="446">
        <v>655689</v>
      </c>
      <c r="Q147" s="446">
        <v>10214.629999999999</v>
      </c>
      <c r="R147" s="446">
        <v>680965.4</v>
      </c>
      <c r="S147" s="446">
        <v>135511.7103363178</v>
      </c>
      <c r="T147" s="506">
        <f t="shared" si="9"/>
        <v>23472179.670336317</v>
      </c>
      <c r="U147" s="446">
        <v>-152293.5</v>
      </c>
      <c r="V147" s="446"/>
      <c r="W147" s="446">
        <v>-115155.93</v>
      </c>
      <c r="X147" s="448">
        <v>55</v>
      </c>
      <c r="Y147" s="448">
        <v>0.8</v>
      </c>
      <c r="Z147" s="446">
        <v>4909</v>
      </c>
      <c r="AA147" s="269"/>
      <c r="AB147" s="446">
        <v>322833</v>
      </c>
      <c r="AC147" s="450">
        <f>AB147/VPI!R147</f>
        <v>0.81537472754167861</v>
      </c>
      <c r="AD147" s="452">
        <f t="shared" si="10"/>
        <v>296246</v>
      </c>
      <c r="AE147" s="450">
        <f>AD147/VPI!R147</f>
        <v>0.74822431887481178</v>
      </c>
      <c r="AF147" s="446">
        <v>619079</v>
      </c>
      <c r="AG147" s="446">
        <v>2221383</v>
      </c>
      <c r="AH147" s="446">
        <v>63230</v>
      </c>
      <c r="AI147" s="272"/>
      <c r="AJ147" s="446">
        <v>0</v>
      </c>
      <c r="AK147" s="450">
        <f>AJ147/VPI!R147</f>
        <v>0</v>
      </c>
      <c r="AL147" s="452">
        <f t="shared" si="11"/>
        <v>38476</v>
      </c>
      <c r="AM147" s="450">
        <f>AL147/VPI!R147</f>
        <v>9.7178287278232481E-2</v>
      </c>
      <c r="AN147" s="446">
        <v>38476</v>
      </c>
      <c r="AO147" s="272"/>
      <c r="AP147" s="541">
        <v>37.904048526567763</v>
      </c>
      <c r="AR147" s="178">
        <v>1</v>
      </c>
    </row>
    <row r="148" spans="1:92" x14ac:dyDescent="0.25">
      <c r="A148" s="193">
        <v>5649</v>
      </c>
      <c r="B148" s="454" t="s">
        <v>266</v>
      </c>
      <c r="C148" s="446">
        <v>3951006.69</v>
      </c>
      <c r="D148" s="446">
        <v>651361.13</v>
      </c>
      <c r="E148" s="446"/>
      <c r="F148" s="446">
        <v>0</v>
      </c>
      <c r="G148" s="446">
        <v>5763769.25</v>
      </c>
      <c r="H148" s="446">
        <v>868223.1</v>
      </c>
      <c r="I148" s="446">
        <v>30789.15</v>
      </c>
      <c r="J148" s="446">
        <v>256600.22</v>
      </c>
      <c r="K148" s="446">
        <v>65122.1</v>
      </c>
      <c r="L148" s="446">
        <v>557667.69999999995</v>
      </c>
      <c r="M148" s="506">
        <f t="shared" si="8"/>
        <v>12144539.34</v>
      </c>
      <c r="N148" s="446">
        <v>588474.4</v>
      </c>
      <c r="O148" s="446">
        <v>0</v>
      </c>
      <c r="P148" s="446">
        <v>319670.95</v>
      </c>
      <c r="Q148" s="446">
        <v>19414.7</v>
      </c>
      <c r="R148" s="446">
        <v>40091.5</v>
      </c>
      <c r="S148" s="446">
        <v>748768.83502411842</v>
      </c>
      <c r="T148" s="506">
        <f t="shared" si="9"/>
        <v>13860959.725024117</v>
      </c>
      <c r="U148" s="446">
        <v>-65339.54</v>
      </c>
      <c r="V148" s="446"/>
      <c r="W148" s="446">
        <v>-3405.73</v>
      </c>
      <c r="X148" s="448">
        <v>65</v>
      </c>
      <c r="Y148" s="448">
        <v>1</v>
      </c>
      <c r="Z148" s="446">
        <v>1889</v>
      </c>
      <c r="AA148" s="269"/>
      <c r="AB148" s="446">
        <v>81442</v>
      </c>
      <c r="AC148" s="450">
        <f>AB148/VPI!R148</f>
        <v>0.41215658908726815</v>
      </c>
      <c r="AD148" s="452">
        <f t="shared" si="10"/>
        <v>276542</v>
      </c>
      <c r="AE148" s="450">
        <f>AD148/VPI!R148</f>
        <v>1.3995064887818485</v>
      </c>
      <c r="AF148" s="446">
        <v>357984</v>
      </c>
      <c r="AG148" s="446">
        <v>687812</v>
      </c>
      <c r="AH148" s="446">
        <v>27628</v>
      </c>
      <c r="AI148" s="272"/>
      <c r="AJ148" s="446">
        <v>0</v>
      </c>
      <c r="AK148" s="450">
        <f>AJ148/VPI!R148</f>
        <v>0</v>
      </c>
      <c r="AL148" s="452">
        <f t="shared" si="11"/>
        <v>3513</v>
      </c>
      <c r="AM148" s="450">
        <f>AL148/VPI!R148</f>
        <v>1.7778371079585142E-2</v>
      </c>
      <c r="AN148" s="446">
        <v>3513</v>
      </c>
      <c r="AO148" s="272"/>
      <c r="AP148" s="541">
        <v>32.555473990060968</v>
      </c>
      <c r="AR148" s="178">
        <v>1</v>
      </c>
    </row>
    <row r="149" spans="1:92" s="190" customFormat="1" x14ac:dyDescent="0.25">
      <c r="A149" s="194">
        <v>5650</v>
      </c>
      <c r="B149" s="454" t="s">
        <v>267</v>
      </c>
      <c r="C149" s="446">
        <v>2559525.7000000002</v>
      </c>
      <c r="D149" s="446">
        <v>945639.1</v>
      </c>
      <c r="E149" s="446"/>
      <c r="F149" s="446">
        <v>0</v>
      </c>
      <c r="G149" s="446">
        <v>5439.45</v>
      </c>
      <c r="H149" s="446">
        <v>23.5</v>
      </c>
      <c r="I149" s="446">
        <v>0</v>
      </c>
      <c r="J149" s="446">
        <v>-25222.14</v>
      </c>
      <c r="K149" s="446">
        <v>0</v>
      </c>
      <c r="L149" s="446">
        <v>57315</v>
      </c>
      <c r="M149" s="506">
        <f t="shared" si="8"/>
        <v>3542720.6100000003</v>
      </c>
      <c r="N149" s="446">
        <v>46.25</v>
      </c>
      <c r="O149" s="446">
        <v>0</v>
      </c>
      <c r="P149" s="446">
        <v>8745</v>
      </c>
      <c r="Q149" s="446">
        <v>0</v>
      </c>
      <c r="R149" s="446">
        <v>29908.799999999999</v>
      </c>
      <c r="S149" s="446">
        <v>535.96577665529355</v>
      </c>
      <c r="T149" s="506">
        <f t="shared" si="9"/>
        <v>3581956.6257766555</v>
      </c>
      <c r="U149" s="446">
        <v>-3776.83</v>
      </c>
      <c r="V149" s="446"/>
      <c r="W149" s="446">
        <v>0</v>
      </c>
      <c r="X149" s="448">
        <v>56</v>
      </c>
      <c r="Y149" s="448">
        <v>1.25</v>
      </c>
      <c r="Z149" s="446">
        <v>194</v>
      </c>
      <c r="AA149" s="269"/>
      <c r="AB149" s="446">
        <v>0</v>
      </c>
      <c r="AC149" s="450">
        <f>AB149/VPI!R149</f>
        <v>0</v>
      </c>
      <c r="AD149" s="452">
        <f t="shared" si="10"/>
        <v>0</v>
      </c>
      <c r="AE149" s="450">
        <f>AD149/VPI!R149</f>
        <v>0</v>
      </c>
      <c r="AF149" s="446">
        <v>0</v>
      </c>
      <c r="AG149" s="446">
        <v>0</v>
      </c>
      <c r="AH149" s="446">
        <v>0</v>
      </c>
      <c r="AI149" s="272"/>
      <c r="AJ149" s="446">
        <v>0</v>
      </c>
      <c r="AK149" s="450">
        <f>AJ149/VPI!R149</f>
        <v>0</v>
      </c>
      <c r="AL149" s="452">
        <f t="shared" si="11"/>
        <v>0</v>
      </c>
      <c r="AM149" s="450">
        <f>AL149/VPI!R149</f>
        <v>0</v>
      </c>
      <c r="AN149" s="446">
        <v>0</v>
      </c>
      <c r="AO149" s="272"/>
      <c r="AP149" s="541">
        <v>48.000000000000007</v>
      </c>
      <c r="AQ149" s="240"/>
      <c r="AR149" s="178">
        <v>0</v>
      </c>
      <c r="AS149" s="240"/>
      <c r="AT149" s="240"/>
      <c r="AU149" s="5"/>
      <c r="AV149" s="240"/>
      <c r="AW149" s="240"/>
      <c r="AX149" s="240"/>
      <c r="AY149" s="240"/>
      <c r="AZ149" s="240"/>
      <c r="BA149" s="240"/>
      <c r="BB149" s="240"/>
      <c r="BC149" s="240"/>
      <c r="BD149" s="240"/>
      <c r="BE149" s="240"/>
      <c r="BF149" s="240"/>
      <c r="BG149" s="240"/>
      <c r="BH149" s="240"/>
      <c r="BI149" s="240"/>
      <c r="BJ149" s="240"/>
      <c r="BK149" s="240"/>
      <c r="BL149" s="240"/>
      <c r="BM149" s="240"/>
      <c r="BN149" s="240"/>
      <c r="BO149" s="240"/>
      <c r="BP149" s="240"/>
      <c r="BQ149" s="240"/>
      <c r="BR149" s="240"/>
      <c r="BS149" s="240"/>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row>
    <row r="150" spans="1:92" x14ac:dyDescent="0.25">
      <c r="A150" s="193">
        <v>5651</v>
      </c>
      <c r="B150" s="454" t="s">
        <v>268</v>
      </c>
      <c r="C150" s="446">
        <v>2086591.78</v>
      </c>
      <c r="D150" s="446">
        <v>272976.64000000001</v>
      </c>
      <c r="E150" s="446"/>
      <c r="F150" s="446">
        <v>0</v>
      </c>
      <c r="G150" s="446">
        <v>520466.05</v>
      </c>
      <c r="H150" s="446">
        <v>14644.8</v>
      </c>
      <c r="I150" s="446">
        <v>0</v>
      </c>
      <c r="J150" s="446">
        <v>32671.37</v>
      </c>
      <c r="K150" s="446">
        <v>36688.400000000001</v>
      </c>
      <c r="L150" s="446">
        <v>383846.1</v>
      </c>
      <c r="M150" s="506">
        <f t="shared" si="8"/>
        <v>3347885.1399999997</v>
      </c>
      <c r="N150" s="446">
        <v>170466.25</v>
      </c>
      <c r="O150" s="446">
        <v>0</v>
      </c>
      <c r="P150" s="446">
        <v>179231.25</v>
      </c>
      <c r="Q150" s="446">
        <v>8244.7000000000007</v>
      </c>
      <c r="R150" s="446">
        <v>112130.1</v>
      </c>
      <c r="S150" s="446">
        <v>34807.955184437509</v>
      </c>
      <c r="T150" s="506">
        <f t="shared" si="9"/>
        <v>3852765.3951844373</v>
      </c>
      <c r="U150" s="446">
        <v>-25961.53</v>
      </c>
      <c r="V150" s="446"/>
      <c r="W150" s="446">
        <v>-576.03</v>
      </c>
      <c r="X150" s="448">
        <v>60.5</v>
      </c>
      <c r="Y150" s="448">
        <v>1</v>
      </c>
      <c r="Z150" s="446">
        <v>958</v>
      </c>
      <c r="AA150" s="269"/>
      <c r="AB150" s="446">
        <v>28677</v>
      </c>
      <c r="AC150" s="450">
        <f>AB150/VPI!R150</f>
        <v>0.51568136330988246</v>
      </c>
      <c r="AD150" s="452">
        <f t="shared" si="10"/>
        <v>130926</v>
      </c>
      <c r="AE150" s="450">
        <f>AD150/VPI!R150</f>
        <v>2.3543640608400342</v>
      </c>
      <c r="AF150" s="446">
        <v>159603</v>
      </c>
      <c r="AG150" s="446">
        <v>126438</v>
      </c>
      <c r="AH150" s="446">
        <v>24743</v>
      </c>
      <c r="AI150" s="272"/>
      <c r="AJ150" s="446">
        <v>0</v>
      </c>
      <c r="AK150" s="450">
        <f>AJ150/VPI!R150</f>
        <v>0</v>
      </c>
      <c r="AL150" s="452">
        <f t="shared" si="11"/>
        <v>19969</v>
      </c>
      <c r="AM150" s="450">
        <f>AL150/VPI!R150</f>
        <v>0.35909060026972983</v>
      </c>
      <c r="AN150" s="446">
        <v>19969</v>
      </c>
      <c r="AO150" s="272"/>
      <c r="AP150" s="541">
        <v>36.360510122458237</v>
      </c>
      <c r="AR150" s="178">
        <v>1</v>
      </c>
    </row>
    <row r="151" spans="1:92" x14ac:dyDescent="0.25">
      <c r="A151" s="193">
        <v>5652</v>
      </c>
      <c r="B151" s="454" t="s">
        <v>178</v>
      </c>
      <c r="C151" s="446">
        <v>1431995.28</v>
      </c>
      <c r="D151" s="446">
        <v>365200.97</v>
      </c>
      <c r="E151" s="446"/>
      <c r="F151" s="446">
        <v>0</v>
      </c>
      <c r="G151" s="446">
        <v>24301.8</v>
      </c>
      <c r="H151" s="446">
        <v>534.04999999999995</v>
      </c>
      <c r="I151" s="446">
        <v>0</v>
      </c>
      <c r="J151" s="446">
        <v>28766.84</v>
      </c>
      <c r="K151" s="446">
        <v>817.15</v>
      </c>
      <c r="L151" s="446">
        <v>131709.35</v>
      </c>
      <c r="M151" s="506">
        <f t="shared" si="8"/>
        <v>1983325.4400000002</v>
      </c>
      <c r="N151" s="446">
        <v>3228.45</v>
      </c>
      <c r="O151" s="446">
        <v>78379.8</v>
      </c>
      <c r="P151" s="446">
        <v>37024.1</v>
      </c>
      <c r="Q151" s="446">
        <v>3767.87</v>
      </c>
      <c r="R151" s="446">
        <v>51803.95</v>
      </c>
      <c r="S151" s="446">
        <v>2436.6259318032144</v>
      </c>
      <c r="T151" s="506">
        <f t="shared" si="9"/>
        <v>2159966.2359318035</v>
      </c>
      <c r="U151" s="446">
        <v>-17306.95</v>
      </c>
      <c r="V151" s="446"/>
      <c r="W151" s="446">
        <v>-480.35</v>
      </c>
      <c r="X151" s="448">
        <v>76</v>
      </c>
      <c r="Y151" s="448">
        <v>1.2</v>
      </c>
      <c r="Z151" s="446">
        <v>615</v>
      </c>
      <c r="AA151" s="269"/>
      <c r="AB151" s="446">
        <v>15964</v>
      </c>
      <c r="AC151" s="450">
        <f>AB151/VPI!R151</f>
        <v>0.62225333469797184</v>
      </c>
      <c r="AD151" s="452">
        <f t="shared" si="10"/>
        <v>91129</v>
      </c>
      <c r="AE151" s="450">
        <f>AD151/VPI!R151</f>
        <v>3.5520749271918994</v>
      </c>
      <c r="AF151" s="446">
        <v>107093</v>
      </c>
      <c r="AG151" s="446">
        <v>48018</v>
      </c>
      <c r="AH151" s="446">
        <v>68763</v>
      </c>
      <c r="AI151" s="272"/>
      <c r="AJ151" s="446">
        <v>0</v>
      </c>
      <c r="AK151" s="450">
        <f>AJ151/VPI!R151</f>
        <v>0</v>
      </c>
      <c r="AL151" s="452">
        <f t="shared" si="11"/>
        <v>9963</v>
      </c>
      <c r="AM151" s="450">
        <f>AL151/VPI!R151</f>
        <v>0.38834314542695403</v>
      </c>
      <c r="AN151" s="446">
        <v>9963</v>
      </c>
      <c r="AO151" s="272"/>
      <c r="AP151" s="541">
        <v>35.070587978860324</v>
      </c>
      <c r="AR151" s="178">
        <v>0</v>
      </c>
    </row>
    <row r="152" spans="1:92" x14ac:dyDescent="0.25">
      <c r="A152" s="193">
        <v>5653</v>
      </c>
      <c r="B152" s="454" t="s">
        <v>179</v>
      </c>
      <c r="C152" s="446">
        <v>2938661.51</v>
      </c>
      <c r="D152" s="446">
        <v>684946.15</v>
      </c>
      <c r="E152" s="446"/>
      <c r="F152" s="446">
        <v>0</v>
      </c>
      <c r="G152" s="446">
        <v>44890.55</v>
      </c>
      <c r="H152" s="446">
        <v>6263.3</v>
      </c>
      <c r="I152" s="446">
        <v>44343.35</v>
      </c>
      <c r="J152" s="446">
        <v>57614.15</v>
      </c>
      <c r="K152" s="446">
        <v>3412.75</v>
      </c>
      <c r="L152" s="446">
        <v>206787.20000000001</v>
      </c>
      <c r="M152" s="506">
        <f t="shared" si="8"/>
        <v>3986918.9599999995</v>
      </c>
      <c r="N152" s="446">
        <v>6135.7</v>
      </c>
      <c r="O152" s="446">
        <v>0</v>
      </c>
      <c r="P152" s="446">
        <v>223229.15</v>
      </c>
      <c r="Q152" s="446">
        <v>978.52</v>
      </c>
      <c r="R152" s="446">
        <v>133408.65</v>
      </c>
      <c r="S152" s="446">
        <v>5018.6644476259871</v>
      </c>
      <c r="T152" s="506">
        <f t="shared" si="9"/>
        <v>4355689.6444476256</v>
      </c>
      <c r="U152" s="446">
        <v>-7935.47</v>
      </c>
      <c r="V152" s="446"/>
      <c r="W152" s="446">
        <v>-13811.53</v>
      </c>
      <c r="X152" s="448">
        <v>58.5</v>
      </c>
      <c r="Y152" s="448">
        <v>0.8</v>
      </c>
      <c r="Z152" s="446">
        <v>870</v>
      </c>
      <c r="AA152" s="269"/>
      <c r="AB152" s="446">
        <v>13611</v>
      </c>
      <c r="AC152" s="450">
        <f>AB152/VPI!R152</f>
        <v>0.19792941425228902</v>
      </c>
      <c r="AD152" s="452">
        <f t="shared" si="10"/>
        <v>109124</v>
      </c>
      <c r="AE152" s="450">
        <f>AD152/VPI!R152</f>
        <v>1.5868671957142597</v>
      </c>
      <c r="AF152" s="446">
        <v>122735</v>
      </c>
      <c r="AG152" s="446">
        <v>87894</v>
      </c>
      <c r="AH152" s="446">
        <v>9853</v>
      </c>
      <c r="AI152" s="272"/>
      <c r="AJ152" s="446">
        <v>0</v>
      </c>
      <c r="AK152" s="450">
        <f>AJ152/VPI!R152</f>
        <v>0</v>
      </c>
      <c r="AL152" s="452">
        <f t="shared" si="11"/>
        <v>16453</v>
      </c>
      <c r="AM152" s="450">
        <f>AL152/VPI!R152</f>
        <v>0.23925741331958794</v>
      </c>
      <c r="AN152" s="446">
        <v>16453</v>
      </c>
      <c r="AO152" s="272"/>
      <c r="AP152" s="541">
        <v>41.518717504839877</v>
      </c>
      <c r="AR152" s="178">
        <v>0</v>
      </c>
    </row>
    <row r="153" spans="1:92" x14ac:dyDescent="0.25">
      <c r="A153" s="193">
        <v>5654</v>
      </c>
      <c r="B153" s="454" t="s">
        <v>180</v>
      </c>
      <c r="C153" s="446">
        <v>1139448.78</v>
      </c>
      <c r="D153" s="446">
        <v>155972.25</v>
      </c>
      <c r="E153" s="446"/>
      <c r="F153" s="446">
        <v>0</v>
      </c>
      <c r="G153" s="446">
        <v>793.79999999999905</v>
      </c>
      <c r="H153" s="446">
        <v>1271.2</v>
      </c>
      <c r="I153" s="446">
        <v>0</v>
      </c>
      <c r="J153" s="446">
        <v>41216.39</v>
      </c>
      <c r="K153" s="446">
        <v>1973.05</v>
      </c>
      <c r="L153" s="446">
        <v>106239.65</v>
      </c>
      <c r="M153" s="506">
        <f t="shared" si="8"/>
        <v>1446915.1199999999</v>
      </c>
      <c r="N153" s="446">
        <v>6506.75</v>
      </c>
      <c r="O153" s="446">
        <v>-5434.1</v>
      </c>
      <c r="P153" s="446">
        <v>81977.5</v>
      </c>
      <c r="Q153" s="446">
        <v>46734.8</v>
      </c>
      <c r="R153" s="446">
        <v>81561.55</v>
      </c>
      <c r="S153" s="446">
        <v>202.59554431089083</v>
      </c>
      <c r="T153" s="506">
        <f t="shared" si="9"/>
        <v>1658464.2155443109</v>
      </c>
      <c r="U153" s="446">
        <v>-29527.75</v>
      </c>
      <c r="V153" s="446"/>
      <c r="W153" s="446">
        <v>-161.51</v>
      </c>
      <c r="X153" s="448">
        <v>76</v>
      </c>
      <c r="Y153" s="448">
        <v>1</v>
      </c>
      <c r="Z153" s="446">
        <v>542</v>
      </c>
      <c r="AA153" s="269"/>
      <c r="AB153" s="446">
        <v>20049</v>
      </c>
      <c r="AC153" s="450">
        <f>AB153/VPI!R153</f>
        <v>1.0406790323621029</v>
      </c>
      <c r="AD153" s="452">
        <f t="shared" si="10"/>
        <v>57271</v>
      </c>
      <c r="AE153" s="450">
        <f>AD153/VPI!R153</f>
        <v>2.9727531977859245</v>
      </c>
      <c r="AF153" s="446">
        <v>77320</v>
      </c>
      <c r="AG153" s="446">
        <v>20426</v>
      </c>
      <c r="AH153" s="446">
        <v>89980</v>
      </c>
      <c r="AI153" s="272"/>
      <c r="AJ153" s="446">
        <v>0</v>
      </c>
      <c r="AK153" s="450">
        <f>AJ153/VPI!R153</f>
        <v>0</v>
      </c>
      <c r="AL153" s="452">
        <f t="shared" si="11"/>
        <v>3267</v>
      </c>
      <c r="AM153" s="450">
        <f>AL153/VPI!R153</f>
        <v>0.1695794502831558</v>
      </c>
      <c r="AN153" s="446">
        <v>3267</v>
      </c>
      <c r="AO153" s="272"/>
      <c r="AP153" s="541">
        <v>24.35335188426637</v>
      </c>
      <c r="AR153" s="178">
        <v>0</v>
      </c>
    </row>
    <row r="154" spans="1:92" x14ac:dyDescent="0.25">
      <c r="A154" s="193">
        <v>5655</v>
      </c>
      <c r="B154" s="454" t="s">
        <v>181</v>
      </c>
      <c r="C154" s="446">
        <v>5111671.9400000004</v>
      </c>
      <c r="D154" s="446">
        <v>659201.59</v>
      </c>
      <c r="E154" s="446"/>
      <c r="F154" s="446">
        <v>0</v>
      </c>
      <c r="G154" s="446">
        <v>274162.8</v>
      </c>
      <c r="H154" s="446">
        <v>3191.55</v>
      </c>
      <c r="I154" s="446">
        <v>66010.45</v>
      </c>
      <c r="J154" s="446">
        <v>-13414.22</v>
      </c>
      <c r="K154" s="446">
        <v>11308.65</v>
      </c>
      <c r="L154" s="446">
        <v>415850.1</v>
      </c>
      <c r="M154" s="506">
        <f t="shared" si="8"/>
        <v>6527982.8600000003</v>
      </c>
      <c r="N154" s="446">
        <v>104127.75</v>
      </c>
      <c r="O154" s="446">
        <v>37934.400000000001</v>
      </c>
      <c r="P154" s="446">
        <v>179277.05</v>
      </c>
      <c r="Q154" s="446">
        <v>-76.89</v>
      </c>
      <c r="R154" s="446">
        <v>189406.9</v>
      </c>
      <c r="S154" s="446">
        <v>27211.019615129935</v>
      </c>
      <c r="T154" s="506">
        <f t="shared" si="9"/>
        <v>7065863.0896151308</v>
      </c>
      <c r="U154" s="446">
        <v>-56723.22</v>
      </c>
      <c r="V154" s="446"/>
      <c r="W154" s="446">
        <v>-2589.31</v>
      </c>
      <c r="X154" s="448">
        <v>71.5</v>
      </c>
      <c r="Y154" s="448">
        <v>1</v>
      </c>
      <c r="Z154" s="446">
        <v>1480</v>
      </c>
      <c r="AA154" s="269"/>
      <c r="AB154" s="446">
        <v>0</v>
      </c>
      <c r="AC154" s="450">
        <f>AB154/VPI!R154</f>
        <v>0</v>
      </c>
      <c r="AD154" s="452">
        <f t="shared" si="10"/>
        <v>0</v>
      </c>
      <c r="AE154" s="450">
        <f>AD154/VPI!R154</f>
        <v>0</v>
      </c>
      <c r="AF154" s="446">
        <v>0</v>
      </c>
      <c r="AG154" s="446">
        <v>0</v>
      </c>
      <c r="AH154" s="446">
        <v>0</v>
      </c>
      <c r="AI154" s="272"/>
      <c r="AJ154" s="446">
        <v>0</v>
      </c>
      <c r="AK154" s="450">
        <f>AJ154/VPI!R154</f>
        <v>0</v>
      </c>
      <c r="AL154" s="452">
        <f t="shared" si="11"/>
        <v>0</v>
      </c>
      <c r="AM154" s="450">
        <f>AL154/VPI!R154</f>
        <v>0</v>
      </c>
      <c r="AN154" s="446">
        <v>0</v>
      </c>
      <c r="AO154" s="272"/>
      <c r="AP154" s="541">
        <v>32.888764073188867</v>
      </c>
      <c r="AR154" s="178">
        <v>0</v>
      </c>
    </row>
    <row r="155" spans="1:92" s="240" customFormat="1" x14ac:dyDescent="0.25">
      <c r="A155" s="193">
        <v>5656</v>
      </c>
      <c r="B155" s="454" t="s">
        <v>399</v>
      </c>
      <c r="C155" s="446">
        <v>9249600.8200000003</v>
      </c>
      <c r="D155" s="446">
        <v>1362704.65</v>
      </c>
      <c r="E155" s="446"/>
      <c r="F155" s="446">
        <v>0</v>
      </c>
      <c r="G155" s="446">
        <v>57088.149999999994</v>
      </c>
      <c r="H155" s="446">
        <v>47496.3</v>
      </c>
      <c r="I155" s="446">
        <v>67515.199999999997</v>
      </c>
      <c r="J155" s="446">
        <v>395436.37</v>
      </c>
      <c r="K155" s="446">
        <v>25516.800000000003</v>
      </c>
      <c r="L155" s="446">
        <v>862737.15</v>
      </c>
      <c r="M155" s="506">
        <f t="shared" si="8"/>
        <v>12068095.440000001</v>
      </c>
      <c r="N155" s="446">
        <v>67676.899999999994</v>
      </c>
      <c r="O155" s="446">
        <v>44006.400000000001</v>
      </c>
      <c r="P155" s="446">
        <v>418634.9</v>
      </c>
      <c r="Q155" s="446">
        <v>42842.87</v>
      </c>
      <c r="R155" s="446">
        <v>164831.1</v>
      </c>
      <c r="S155" s="446">
        <v>11511.439584055846</v>
      </c>
      <c r="T155" s="506">
        <f t="shared" si="9"/>
        <v>12817599.049584057</v>
      </c>
      <c r="U155" s="446">
        <v>-193089.69</v>
      </c>
      <c r="V155" s="446">
        <v>0</v>
      </c>
      <c r="W155" s="446">
        <v>-6065.88</v>
      </c>
      <c r="X155" s="448">
        <v>74.06</v>
      </c>
      <c r="Y155" s="448">
        <v>1</v>
      </c>
      <c r="Z155" s="446">
        <v>4101</v>
      </c>
      <c r="AA155" s="269"/>
      <c r="AB155" s="446">
        <v>258092</v>
      </c>
      <c r="AC155" s="450">
        <f>AB155/VPI!R155</f>
        <v>1.6031050842248704</v>
      </c>
      <c r="AD155" s="452">
        <f t="shared" si="10"/>
        <v>2023966</v>
      </c>
      <c r="AE155" s="450">
        <f>AD155/VPI!R155</f>
        <v>12.571603090751646</v>
      </c>
      <c r="AF155" s="446">
        <v>2282058</v>
      </c>
      <c r="AG155" s="446">
        <v>337220</v>
      </c>
      <c r="AH155" s="446">
        <v>599636</v>
      </c>
      <c r="AI155" s="272"/>
      <c r="AJ155" s="446">
        <v>0</v>
      </c>
      <c r="AK155" s="450">
        <f>AJ155/VPI!R155</f>
        <v>0</v>
      </c>
      <c r="AL155" s="452">
        <f t="shared" si="11"/>
        <v>88871</v>
      </c>
      <c r="AM155" s="450">
        <f>AL155/VPI!R155</f>
        <v>0.55201072462590262</v>
      </c>
      <c r="AN155" s="446">
        <v>88871</v>
      </c>
      <c r="AO155" s="272"/>
      <c r="AP155" s="541">
        <v>28.05839966296805</v>
      </c>
      <c r="AR155" s="178">
        <v>0</v>
      </c>
      <c r="AU155" s="5"/>
    </row>
    <row r="156" spans="1:92" x14ac:dyDescent="0.25">
      <c r="A156" s="193">
        <v>5661</v>
      </c>
      <c r="B156" s="454" t="s">
        <v>182</v>
      </c>
      <c r="C156" s="446">
        <v>602041.75</v>
      </c>
      <c r="D156" s="446">
        <v>44691.86</v>
      </c>
      <c r="E156" s="446"/>
      <c r="F156" s="446">
        <v>0</v>
      </c>
      <c r="G156" s="446">
        <v>12676.95</v>
      </c>
      <c r="H156" s="446">
        <v>507.1</v>
      </c>
      <c r="I156" s="446">
        <v>0</v>
      </c>
      <c r="J156" s="446">
        <v>6062.62</v>
      </c>
      <c r="K156" s="446">
        <v>425</v>
      </c>
      <c r="L156" s="446">
        <v>57867.5</v>
      </c>
      <c r="M156" s="506">
        <f t="shared" si="8"/>
        <v>724272.77999999991</v>
      </c>
      <c r="N156" s="446">
        <v>18651.95</v>
      </c>
      <c r="O156" s="446">
        <v>0</v>
      </c>
      <c r="P156" s="446">
        <v>16555</v>
      </c>
      <c r="Q156" s="446">
        <v>1200</v>
      </c>
      <c r="R156" s="446">
        <v>6543.15</v>
      </c>
      <c r="S156" s="446">
        <v>1293.4768939331718</v>
      </c>
      <c r="T156" s="506">
        <f t="shared" si="9"/>
        <v>768516.35689393303</v>
      </c>
      <c r="U156" s="446">
        <v>-52.72</v>
      </c>
      <c r="V156" s="446"/>
      <c r="W156" s="446">
        <v>0</v>
      </c>
      <c r="X156" s="448">
        <v>71.5</v>
      </c>
      <c r="Y156" s="448">
        <v>1</v>
      </c>
      <c r="Z156" s="446">
        <v>369</v>
      </c>
      <c r="AA156" s="269"/>
      <c r="AB156" s="446">
        <v>919</v>
      </c>
      <c r="AC156" s="450">
        <f>AB156/VPI!R156</f>
        <v>9.0418709249378448E-2</v>
      </c>
      <c r="AD156" s="452">
        <f t="shared" si="10"/>
        <v>24892</v>
      </c>
      <c r="AE156" s="450">
        <f>AD156/VPI!R156</f>
        <v>2.4490778135315869</v>
      </c>
      <c r="AF156" s="446">
        <v>25811</v>
      </c>
      <c r="AG156" s="446">
        <v>13624</v>
      </c>
      <c r="AH156" s="446">
        <v>29039</v>
      </c>
      <c r="AI156" s="272"/>
      <c r="AJ156" s="446">
        <v>0</v>
      </c>
      <c r="AK156" s="450">
        <f>AJ156/VPI!R156</f>
        <v>0</v>
      </c>
      <c r="AL156" s="452">
        <f t="shared" si="11"/>
        <v>28387</v>
      </c>
      <c r="AM156" s="450">
        <f>AL156/VPI!R156</f>
        <v>2.7929443954973951</v>
      </c>
      <c r="AN156" s="446">
        <v>28387</v>
      </c>
      <c r="AO156" s="272"/>
      <c r="AP156" s="541">
        <v>16.798020683146866</v>
      </c>
      <c r="AR156" s="178">
        <v>0</v>
      </c>
    </row>
    <row r="157" spans="1:92" x14ac:dyDescent="0.25">
      <c r="A157" s="193">
        <v>5663</v>
      </c>
      <c r="B157" s="454" t="s">
        <v>183</v>
      </c>
      <c r="C157" s="446">
        <v>369889.6</v>
      </c>
      <c r="D157" s="446">
        <v>33569.839999999997</v>
      </c>
      <c r="E157" s="446"/>
      <c r="F157" s="446">
        <v>1280</v>
      </c>
      <c r="G157" s="446">
        <v>4875.5</v>
      </c>
      <c r="H157" s="446">
        <v>79.7</v>
      </c>
      <c r="I157" s="446">
        <v>0</v>
      </c>
      <c r="J157" s="446">
        <v>7597.84</v>
      </c>
      <c r="K157" s="446">
        <v>325.2</v>
      </c>
      <c r="L157" s="446">
        <v>32190.75</v>
      </c>
      <c r="M157" s="506">
        <f t="shared" si="8"/>
        <v>449808.43</v>
      </c>
      <c r="N157" s="446">
        <v>0</v>
      </c>
      <c r="O157" s="446">
        <v>0</v>
      </c>
      <c r="P157" s="446">
        <v>9427.15</v>
      </c>
      <c r="Q157" s="446">
        <v>0</v>
      </c>
      <c r="R157" s="446">
        <v>11775.6</v>
      </c>
      <c r="S157" s="446">
        <v>486.15081896819663</v>
      </c>
      <c r="T157" s="506">
        <f t="shared" si="9"/>
        <v>471497.33081896818</v>
      </c>
      <c r="U157" s="446">
        <v>-17752.509999999998</v>
      </c>
      <c r="V157" s="446"/>
      <c r="W157" s="446">
        <v>0</v>
      </c>
      <c r="X157" s="448">
        <v>80</v>
      </c>
      <c r="Y157" s="448">
        <v>1</v>
      </c>
      <c r="Z157" s="446">
        <v>219</v>
      </c>
      <c r="AA157" s="269"/>
      <c r="AB157" s="446">
        <v>0</v>
      </c>
      <c r="AC157" s="450">
        <f>AB157/VPI!R157</f>
        <v>0</v>
      </c>
      <c r="AD157" s="452">
        <f t="shared" si="10"/>
        <v>21509</v>
      </c>
      <c r="AE157" s="450">
        <f>AD157/VPI!R157</f>
        <v>3.9781563831282734</v>
      </c>
      <c r="AF157" s="446">
        <v>21509</v>
      </c>
      <c r="AG157" s="446">
        <v>8227</v>
      </c>
      <c r="AH157" s="446">
        <v>12868</v>
      </c>
      <c r="AI157" s="272"/>
      <c r="AJ157" s="446">
        <v>0</v>
      </c>
      <c r="AK157" s="450">
        <f>AJ157/VPI!R157</f>
        <v>0</v>
      </c>
      <c r="AL157" s="452">
        <f t="shared" si="11"/>
        <v>4240</v>
      </c>
      <c r="AM157" s="450">
        <f>AL157/VPI!R157</f>
        <v>0.78420117459965033</v>
      </c>
      <c r="AN157" s="446">
        <v>4240</v>
      </c>
      <c r="AO157" s="272"/>
      <c r="AP157" s="541">
        <v>16.171549455529753</v>
      </c>
      <c r="AR157" s="178">
        <v>0</v>
      </c>
    </row>
    <row r="158" spans="1:92" x14ac:dyDescent="0.25">
      <c r="A158" s="193">
        <v>5665</v>
      </c>
      <c r="B158" s="454" t="s">
        <v>85</v>
      </c>
      <c r="C158" s="446">
        <v>416721.07</v>
      </c>
      <c r="D158" s="446">
        <v>46515.76</v>
      </c>
      <c r="E158" s="446"/>
      <c r="F158" s="446">
        <v>0</v>
      </c>
      <c r="G158" s="446">
        <v>128.55000000000001</v>
      </c>
      <c r="H158" s="446">
        <v>65.599999999999994</v>
      </c>
      <c r="I158" s="446">
        <v>0</v>
      </c>
      <c r="J158" s="446">
        <v>9972.25</v>
      </c>
      <c r="K158" s="446">
        <v>4.5</v>
      </c>
      <c r="L158" s="446">
        <v>25595.4</v>
      </c>
      <c r="M158" s="506">
        <f t="shared" si="8"/>
        <v>499003.13</v>
      </c>
      <c r="N158" s="446">
        <v>0</v>
      </c>
      <c r="O158" s="446">
        <v>0</v>
      </c>
      <c r="P158" s="446">
        <v>26698.65</v>
      </c>
      <c r="Q158" s="446">
        <v>0</v>
      </c>
      <c r="R158" s="446">
        <v>26239.25</v>
      </c>
      <c r="S158" s="446">
        <v>19.047905534120897</v>
      </c>
      <c r="T158" s="506">
        <f t="shared" si="9"/>
        <v>551960.07790553418</v>
      </c>
      <c r="U158" s="446">
        <v>-84.4</v>
      </c>
      <c r="V158" s="446"/>
      <c r="W158" s="446">
        <v>0</v>
      </c>
      <c r="X158" s="448">
        <v>73</v>
      </c>
      <c r="Y158" s="448">
        <v>1</v>
      </c>
      <c r="Z158" s="446">
        <v>223</v>
      </c>
      <c r="AA158" s="269"/>
      <c r="AB158" s="446">
        <v>6062</v>
      </c>
      <c r="AC158" s="450">
        <f>AB158/VPI!R158</f>
        <v>0.88693624655494663</v>
      </c>
      <c r="AD158" s="452">
        <f t="shared" si="10"/>
        <v>13540</v>
      </c>
      <c r="AE158" s="450">
        <f>AD158/VPI!R158</f>
        <v>1.9810486272441401</v>
      </c>
      <c r="AF158" s="446">
        <v>19602</v>
      </c>
      <c r="AG158" s="446">
        <v>7926</v>
      </c>
      <c r="AH158" s="446">
        <v>13220</v>
      </c>
      <c r="AI158" s="272"/>
      <c r="AJ158" s="446">
        <v>0</v>
      </c>
      <c r="AK158" s="450">
        <f>AJ158/VPI!R158</f>
        <v>0</v>
      </c>
      <c r="AL158" s="452">
        <f t="shared" si="11"/>
        <v>9904</v>
      </c>
      <c r="AM158" s="450">
        <f>AL158/VPI!R158</f>
        <v>1.4490624523062012</v>
      </c>
      <c r="AN158" s="446">
        <v>9904</v>
      </c>
      <c r="AO158" s="272"/>
      <c r="AP158" s="541">
        <v>7.4302439035808705</v>
      </c>
      <c r="AR158" s="178">
        <v>0</v>
      </c>
    </row>
    <row r="159" spans="1:92" x14ac:dyDescent="0.25">
      <c r="A159" s="193">
        <v>5669</v>
      </c>
      <c r="B159" s="454" t="s">
        <v>86</v>
      </c>
      <c r="C159" s="446">
        <v>595315.93999999994</v>
      </c>
      <c r="D159" s="446">
        <v>111124.7</v>
      </c>
      <c r="E159" s="446"/>
      <c r="F159" s="446">
        <v>0</v>
      </c>
      <c r="G159" s="446">
        <v>5656</v>
      </c>
      <c r="H159" s="446">
        <v>562.5</v>
      </c>
      <c r="I159" s="446">
        <v>0</v>
      </c>
      <c r="J159" s="446">
        <v>-2083.19</v>
      </c>
      <c r="K159" s="446">
        <v>356.7</v>
      </c>
      <c r="L159" s="446">
        <v>24133.95</v>
      </c>
      <c r="M159" s="506">
        <f t="shared" si="8"/>
        <v>735066.59999999986</v>
      </c>
      <c r="N159" s="446">
        <v>0</v>
      </c>
      <c r="O159" s="446">
        <v>4.8</v>
      </c>
      <c r="P159" s="446">
        <v>8856.4</v>
      </c>
      <c r="Q159" s="446">
        <v>0</v>
      </c>
      <c r="R159" s="446">
        <v>23453.599999999999</v>
      </c>
      <c r="S159" s="446">
        <v>610.09219965969703</v>
      </c>
      <c r="T159" s="506">
        <f t="shared" si="9"/>
        <v>767991.49219965958</v>
      </c>
      <c r="U159" s="446">
        <v>-8889.51</v>
      </c>
      <c r="V159" s="446"/>
      <c r="W159" s="446">
        <v>-116.59</v>
      </c>
      <c r="X159" s="448">
        <v>73</v>
      </c>
      <c r="Y159" s="448">
        <v>0.5</v>
      </c>
      <c r="Z159" s="446">
        <v>301</v>
      </c>
      <c r="AA159" s="269"/>
      <c r="AB159" s="446">
        <v>0</v>
      </c>
      <c r="AC159" s="450">
        <f>AB159/VPI!R159</f>
        <v>0</v>
      </c>
      <c r="AD159" s="452">
        <f t="shared" si="10"/>
        <v>17989</v>
      </c>
      <c r="AE159" s="450">
        <f>AD159/VPI!R159</f>
        <v>1.7490530839793252</v>
      </c>
      <c r="AF159" s="446">
        <v>17989</v>
      </c>
      <c r="AG159" s="446">
        <v>23399</v>
      </c>
      <c r="AH159" s="446">
        <v>16864</v>
      </c>
      <c r="AI159" s="272"/>
      <c r="AJ159" s="446">
        <v>600</v>
      </c>
      <c r="AK159" s="450">
        <f>AJ159/VPI!R159</f>
        <v>5.8337420111601264E-2</v>
      </c>
      <c r="AL159" s="452">
        <f t="shared" si="11"/>
        <v>2671</v>
      </c>
      <c r="AM159" s="450">
        <f>AL159/VPI!R159</f>
        <v>0.25969874853014496</v>
      </c>
      <c r="AN159" s="446">
        <v>3271</v>
      </c>
      <c r="AO159" s="272"/>
      <c r="AP159" s="541">
        <v>21.558723786461687</v>
      </c>
      <c r="AR159" s="178">
        <v>0</v>
      </c>
    </row>
    <row r="160" spans="1:92" x14ac:dyDescent="0.25">
      <c r="A160" s="193">
        <v>5671</v>
      </c>
      <c r="B160" s="454" t="s">
        <v>87</v>
      </c>
      <c r="C160" s="446">
        <v>393577.67</v>
      </c>
      <c r="D160" s="446">
        <v>49036.56</v>
      </c>
      <c r="E160" s="446"/>
      <c r="F160" s="446">
        <v>0</v>
      </c>
      <c r="G160" s="446">
        <v>3443.65</v>
      </c>
      <c r="H160" s="446">
        <v>33.549999999999997</v>
      </c>
      <c r="I160" s="446">
        <v>0</v>
      </c>
      <c r="J160" s="446">
        <v>873.22</v>
      </c>
      <c r="K160" s="446">
        <v>223.5</v>
      </c>
      <c r="L160" s="446">
        <v>32024.9</v>
      </c>
      <c r="M160" s="506">
        <f t="shared" si="8"/>
        <v>479213.05</v>
      </c>
      <c r="N160" s="446">
        <v>0</v>
      </c>
      <c r="O160" s="446">
        <v>0</v>
      </c>
      <c r="P160" s="446">
        <v>21780</v>
      </c>
      <c r="Q160" s="446">
        <v>8434.0499999999993</v>
      </c>
      <c r="R160" s="446">
        <v>36520.65</v>
      </c>
      <c r="S160" s="446">
        <v>341.1453882217092</v>
      </c>
      <c r="T160" s="506">
        <f t="shared" si="9"/>
        <v>546288.89538822172</v>
      </c>
      <c r="U160" s="446">
        <v>-17407.05</v>
      </c>
      <c r="V160" s="446"/>
      <c r="W160" s="446">
        <v>0</v>
      </c>
      <c r="X160" s="448">
        <v>78</v>
      </c>
      <c r="Y160" s="448">
        <v>1</v>
      </c>
      <c r="Z160" s="446">
        <v>245</v>
      </c>
      <c r="AA160" s="269"/>
      <c r="AB160" s="446">
        <v>0</v>
      </c>
      <c r="AC160" s="450">
        <f>AB160/VPI!R160</f>
        <v>0</v>
      </c>
      <c r="AD160" s="452">
        <f t="shared" si="10"/>
        <v>91377</v>
      </c>
      <c r="AE160" s="450">
        <f>AD160/VPI!R160</f>
        <v>15.145964330597629</v>
      </c>
      <c r="AF160" s="446">
        <v>91377</v>
      </c>
      <c r="AG160" s="446">
        <v>8755</v>
      </c>
      <c r="AH160" s="446">
        <v>10704</v>
      </c>
      <c r="AI160" s="272"/>
      <c r="AJ160" s="446">
        <v>0</v>
      </c>
      <c r="AK160" s="450">
        <f>AJ160/VPI!R160</f>
        <v>0</v>
      </c>
      <c r="AL160" s="452">
        <f t="shared" si="11"/>
        <v>4170</v>
      </c>
      <c r="AM160" s="450">
        <f>AL160/VPI!R160</f>
        <v>0.69118784003186928</v>
      </c>
      <c r="AN160" s="446">
        <v>4170</v>
      </c>
      <c r="AO160" s="272"/>
      <c r="AP160" s="541">
        <v>14.603087631590739</v>
      </c>
      <c r="AR160" s="178">
        <v>0</v>
      </c>
    </row>
    <row r="161" spans="1:44" x14ac:dyDescent="0.25">
      <c r="A161" s="193">
        <v>5673</v>
      </c>
      <c r="B161" s="454" t="s">
        <v>88</v>
      </c>
      <c r="C161" s="446">
        <v>650325.26</v>
      </c>
      <c r="D161" s="446">
        <v>85231.25</v>
      </c>
      <c r="E161" s="446"/>
      <c r="F161" s="446">
        <v>2030</v>
      </c>
      <c r="G161" s="446">
        <v>1879.65</v>
      </c>
      <c r="H161" s="446">
        <v>556.20000000000005</v>
      </c>
      <c r="I161" s="446">
        <v>0</v>
      </c>
      <c r="J161" s="446">
        <v>10930.52</v>
      </c>
      <c r="K161" s="446">
        <v>408</v>
      </c>
      <c r="L161" s="446">
        <v>28437</v>
      </c>
      <c r="M161" s="506">
        <f t="shared" si="8"/>
        <v>779797.88</v>
      </c>
      <c r="N161" s="446">
        <v>14893.5</v>
      </c>
      <c r="O161" s="446">
        <v>5892.3</v>
      </c>
      <c r="P161" s="446">
        <v>8946.2999999999993</v>
      </c>
      <c r="Q161" s="446">
        <v>0</v>
      </c>
      <c r="R161" s="446">
        <v>4401.95</v>
      </c>
      <c r="S161" s="446">
        <v>238.97934944778856</v>
      </c>
      <c r="T161" s="506">
        <f t="shared" si="9"/>
        <v>814170.90934944781</v>
      </c>
      <c r="U161" s="446">
        <v>-17050.080000000002</v>
      </c>
      <c r="V161" s="446"/>
      <c r="W161" s="446">
        <v>-51.43</v>
      </c>
      <c r="X161" s="448">
        <v>73.5</v>
      </c>
      <c r="Y161" s="448">
        <v>0.6</v>
      </c>
      <c r="Z161" s="446">
        <v>384</v>
      </c>
      <c r="AA161" s="269"/>
      <c r="AB161" s="446">
        <v>8262</v>
      </c>
      <c r="AC161" s="450">
        <f>AB161/VPI!R161</f>
        <v>0.77664939918628417</v>
      </c>
      <c r="AD161" s="452">
        <f t="shared" si="10"/>
        <v>73137</v>
      </c>
      <c r="AE161" s="450">
        <f>AD161/VPI!R161</f>
        <v>6.8750674301969585</v>
      </c>
      <c r="AF161" s="446">
        <v>81399</v>
      </c>
      <c r="AG161" s="446">
        <v>13851</v>
      </c>
      <c r="AH161" s="446">
        <v>21553</v>
      </c>
      <c r="AI161" s="273"/>
      <c r="AJ161" s="446">
        <v>795</v>
      </c>
      <c r="AK161" s="450">
        <f>AJ161/VPI!R161</f>
        <v>7.4732059108338897E-2</v>
      </c>
      <c r="AL161" s="452">
        <f t="shared" si="11"/>
        <v>50770</v>
      </c>
      <c r="AM161" s="450">
        <f>AL161/VPI!R161</f>
        <v>4.7725114980256169</v>
      </c>
      <c r="AN161" s="446">
        <v>51565</v>
      </c>
      <c r="AO161" s="273"/>
      <c r="AP161" s="541">
        <v>14.710139072713753</v>
      </c>
      <c r="AR161" s="178">
        <v>0</v>
      </c>
    </row>
    <row r="162" spans="1:44" x14ac:dyDescent="0.25">
      <c r="A162" s="193">
        <v>5674</v>
      </c>
      <c r="B162" s="454" t="s">
        <v>89</v>
      </c>
      <c r="C162" s="446">
        <v>210042.16</v>
      </c>
      <c r="D162" s="446">
        <v>40238.36</v>
      </c>
      <c r="E162" s="446"/>
      <c r="F162" s="446">
        <v>0</v>
      </c>
      <c r="G162" s="446">
        <v>97.6</v>
      </c>
      <c r="H162" s="446">
        <v>159.6</v>
      </c>
      <c r="I162" s="446">
        <v>0</v>
      </c>
      <c r="J162" s="446">
        <v>96.23</v>
      </c>
      <c r="K162" s="446">
        <v>64.099999999999994</v>
      </c>
      <c r="L162" s="446">
        <v>13331.95</v>
      </c>
      <c r="M162" s="506">
        <f t="shared" si="8"/>
        <v>264030.00000000006</v>
      </c>
      <c r="N162" s="446">
        <v>0</v>
      </c>
      <c r="O162" s="446">
        <v>74578</v>
      </c>
      <c r="P162" s="446">
        <v>950.4</v>
      </c>
      <c r="Q162" s="446">
        <v>0</v>
      </c>
      <c r="R162" s="446">
        <v>0</v>
      </c>
      <c r="S162" s="446">
        <v>25.233692008116762</v>
      </c>
      <c r="T162" s="506">
        <f t="shared" si="9"/>
        <v>339583.63369200821</v>
      </c>
      <c r="U162" s="446">
        <v>-1000.44</v>
      </c>
      <c r="V162" s="446">
        <v>-11419.4</v>
      </c>
      <c r="W162" s="446">
        <v>-49.05</v>
      </c>
      <c r="X162" s="448">
        <v>75</v>
      </c>
      <c r="Y162" s="448">
        <v>0.7</v>
      </c>
      <c r="Z162" s="446">
        <v>142</v>
      </c>
      <c r="AA162" s="269"/>
      <c r="AB162" s="446">
        <v>20395</v>
      </c>
      <c r="AC162" s="450">
        <f>AB162/VPI!R162</f>
        <v>5.9449078224588652</v>
      </c>
      <c r="AD162" s="452">
        <f t="shared" si="10"/>
        <v>35235</v>
      </c>
      <c r="AE162" s="450">
        <f>AD162/VPI!R162</f>
        <v>10.270597064198975</v>
      </c>
      <c r="AF162" s="446">
        <v>55630</v>
      </c>
      <c r="AG162" s="446">
        <v>5133</v>
      </c>
      <c r="AH162" s="446">
        <v>6392</v>
      </c>
      <c r="AI162" s="273"/>
      <c r="AJ162" s="446">
        <v>0</v>
      </c>
      <c r="AK162" s="450">
        <f>AJ162/VPI!R162</f>
        <v>0</v>
      </c>
      <c r="AL162" s="452">
        <f t="shared" si="11"/>
        <v>872</v>
      </c>
      <c r="AM162" s="450">
        <f>AL162/VPI!R162</f>
        <v>0.25417796622623834</v>
      </c>
      <c r="AN162" s="446">
        <v>872</v>
      </c>
      <c r="AO162" s="273"/>
      <c r="AP162" s="541">
        <v>8.625034088610807</v>
      </c>
      <c r="AR162" s="178">
        <v>0</v>
      </c>
    </row>
    <row r="163" spans="1:44" x14ac:dyDescent="0.25">
      <c r="A163" s="193">
        <v>5675</v>
      </c>
      <c r="B163" s="454" t="s">
        <v>90</v>
      </c>
      <c r="C163" s="446">
        <v>4637124.51</v>
      </c>
      <c r="D163" s="446">
        <v>498932.09</v>
      </c>
      <c r="E163" s="446"/>
      <c r="F163" s="446">
        <v>0</v>
      </c>
      <c r="G163" s="446">
        <v>611854.6</v>
      </c>
      <c r="H163" s="446">
        <v>13009.9</v>
      </c>
      <c r="I163" s="446">
        <v>0</v>
      </c>
      <c r="J163" s="446">
        <v>233881.34</v>
      </c>
      <c r="K163" s="446">
        <v>-37589.300000000003</v>
      </c>
      <c r="L163" s="446">
        <v>708904.45</v>
      </c>
      <c r="M163" s="506">
        <f t="shared" si="8"/>
        <v>6666117.5899999999</v>
      </c>
      <c r="N163" s="446">
        <v>47289.1</v>
      </c>
      <c r="O163" s="446">
        <v>52773</v>
      </c>
      <c r="P163" s="446">
        <v>242645.75</v>
      </c>
      <c r="Q163" s="446">
        <v>50050.27</v>
      </c>
      <c r="R163" s="446">
        <v>195866.65</v>
      </c>
      <c r="S163" s="446">
        <v>61304.970216974631</v>
      </c>
      <c r="T163" s="506">
        <f t="shared" si="9"/>
        <v>7316047.330216974</v>
      </c>
      <c r="U163" s="446">
        <v>-166505.23000000001</v>
      </c>
      <c r="V163" s="446"/>
      <c r="W163" s="446">
        <v>-2257.4899999999998</v>
      </c>
      <c r="X163" s="448">
        <v>67.5</v>
      </c>
      <c r="Y163" s="448">
        <v>1.1000000000000001</v>
      </c>
      <c r="Z163" s="446">
        <v>4309</v>
      </c>
      <c r="AA163" s="269"/>
      <c r="AB163" s="446">
        <v>346874</v>
      </c>
      <c r="AC163" s="450">
        <f>AB163/VPI!R163</f>
        <v>3.5777887477528405</v>
      </c>
      <c r="AD163" s="452">
        <f t="shared" si="10"/>
        <v>525858</v>
      </c>
      <c r="AE163" s="450">
        <f>AD163/VPI!R163</f>
        <v>5.4238969634962935</v>
      </c>
      <c r="AF163" s="446">
        <v>872732</v>
      </c>
      <c r="AG163" s="446">
        <v>398161</v>
      </c>
      <c r="AH163" s="446">
        <v>280627</v>
      </c>
      <c r="AI163" s="273"/>
      <c r="AJ163" s="446">
        <v>0</v>
      </c>
      <c r="AK163" s="450">
        <f>AJ163/VPI!R163</f>
        <v>0</v>
      </c>
      <c r="AL163" s="452">
        <f t="shared" si="11"/>
        <v>24861</v>
      </c>
      <c r="AM163" s="450">
        <f>AL163/VPI!R163</f>
        <v>0.25642569364634815</v>
      </c>
      <c r="AN163" s="446">
        <v>24861</v>
      </c>
      <c r="AO163" s="273"/>
      <c r="AP163" s="541">
        <v>1.3846109487591272</v>
      </c>
      <c r="AR163" s="178">
        <v>0</v>
      </c>
    </row>
    <row r="164" spans="1:44" x14ac:dyDescent="0.25">
      <c r="A164" s="193">
        <v>5678</v>
      </c>
      <c r="B164" s="454" t="s">
        <v>91</v>
      </c>
      <c r="C164" s="446">
        <v>6839296.1699999999</v>
      </c>
      <c r="D164" s="446">
        <v>738087.63</v>
      </c>
      <c r="E164" s="446"/>
      <c r="F164" s="446">
        <v>34545.9</v>
      </c>
      <c r="G164" s="446">
        <v>322442.7</v>
      </c>
      <c r="H164" s="446">
        <v>21866.35</v>
      </c>
      <c r="I164" s="446">
        <v>0</v>
      </c>
      <c r="J164" s="446">
        <v>471175.92</v>
      </c>
      <c r="K164" s="446">
        <v>68232.7</v>
      </c>
      <c r="L164" s="446">
        <v>815906.65</v>
      </c>
      <c r="M164" s="506">
        <f t="shared" si="8"/>
        <v>9311554.0199999996</v>
      </c>
      <c r="N164" s="446">
        <v>194976.2</v>
      </c>
      <c r="O164" s="446">
        <v>250407.2</v>
      </c>
      <c r="P164" s="446">
        <v>568072.9</v>
      </c>
      <c r="Q164" s="446">
        <v>58437.71</v>
      </c>
      <c r="R164" s="446">
        <v>381293.65</v>
      </c>
      <c r="S164" s="446">
        <v>33779.893169934978</v>
      </c>
      <c r="T164" s="506">
        <f t="shared" si="9"/>
        <v>10798521.573169935</v>
      </c>
      <c r="U164" s="446">
        <v>-347595.64</v>
      </c>
      <c r="V164" s="446"/>
      <c r="W164" s="446">
        <v>-3702.04</v>
      </c>
      <c r="X164" s="448">
        <v>72.5</v>
      </c>
      <c r="Y164" s="448">
        <v>1</v>
      </c>
      <c r="Z164" s="446">
        <v>6109</v>
      </c>
      <c r="AA164" s="269"/>
      <c r="AB164" s="446">
        <v>232100</v>
      </c>
      <c r="AC164" s="450">
        <f>AB164/VPI!R164</f>
        <v>1.8588564966482017</v>
      </c>
      <c r="AD164" s="452">
        <f t="shared" si="10"/>
        <v>1408625</v>
      </c>
      <c r="AE164" s="450">
        <f>AD164/VPI!R164</f>
        <v>11.281480967647882</v>
      </c>
      <c r="AF164" s="446">
        <v>1640725</v>
      </c>
      <c r="AG164" s="446">
        <v>573654</v>
      </c>
      <c r="AH164" s="446">
        <v>416217</v>
      </c>
      <c r="AI164" s="273"/>
      <c r="AJ164" s="446">
        <v>0</v>
      </c>
      <c r="AK164" s="450">
        <f>AJ164/VPI!R164</f>
        <v>0</v>
      </c>
      <c r="AL164" s="452">
        <f t="shared" si="11"/>
        <v>-22971</v>
      </c>
      <c r="AM164" s="450">
        <f>AL164/VPI!R164</f>
        <v>-0.18397153203147715</v>
      </c>
      <c r="AN164" s="446">
        <v>-22971</v>
      </c>
      <c r="AO164" s="273"/>
      <c r="AP164" s="541">
        <v>-12.390257780755638</v>
      </c>
      <c r="AR164" s="178">
        <v>0</v>
      </c>
    </row>
    <row r="165" spans="1:44" x14ac:dyDescent="0.25">
      <c r="A165" s="193">
        <v>5680</v>
      </c>
      <c r="B165" s="454" t="s">
        <v>92</v>
      </c>
      <c r="C165" s="446">
        <v>556506.6</v>
      </c>
      <c r="D165" s="446">
        <v>70148.83</v>
      </c>
      <c r="E165" s="446"/>
      <c r="F165" s="446">
        <v>0</v>
      </c>
      <c r="G165" s="446">
        <v>2894.75</v>
      </c>
      <c r="H165" s="446">
        <v>321.7</v>
      </c>
      <c r="I165" s="446">
        <v>0</v>
      </c>
      <c r="J165" s="446">
        <v>9518.5499999999993</v>
      </c>
      <c r="K165" s="446">
        <v>625</v>
      </c>
      <c r="L165" s="446">
        <v>76529.05</v>
      </c>
      <c r="M165" s="506">
        <f t="shared" si="8"/>
        <v>716544.48</v>
      </c>
      <c r="N165" s="446">
        <v>0</v>
      </c>
      <c r="O165" s="446">
        <v>0</v>
      </c>
      <c r="P165" s="446">
        <v>41969.2</v>
      </c>
      <c r="Q165" s="446">
        <v>27156.61</v>
      </c>
      <c r="R165" s="446">
        <v>60938.6</v>
      </c>
      <c r="S165" s="446">
        <v>315.56340847397809</v>
      </c>
      <c r="T165" s="506">
        <f t="shared" si="9"/>
        <v>846924.45340847387</v>
      </c>
      <c r="U165" s="446">
        <v>-41881.83</v>
      </c>
      <c r="V165" s="446"/>
      <c r="W165" s="446">
        <v>-40.29</v>
      </c>
      <c r="X165" s="448">
        <v>78</v>
      </c>
      <c r="Y165" s="448">
        <v>1.5</v>
      </c>
      <c r="Z165" s="446">
        <v>301</v>
      </c>
      <c r="AA165" s="269"/>
      <c r="AB165" s="446">
        <v>5853</v>
      </c>
      <c r="AC165" s="450">
        <f>AB165/VPI!R165</f>
        <v>0.6747623745185809</v>
      </c>
      <c r="AD165" s="452">
        <f t="shared" si="10"/>
        <v>17462</v>
      </c>
      <c r="AE165" s="450">
        <f>AD165/VPI!R165</f>
        <v>2.0131044906617905</v>
      </c>
      <c r="AF165" s="446">
        <v>23315</v>
      </c>
      <c r="AG165" s="446">
        <v>13158</v>
      </c>
      <c r="AH165" s="446">
        <v>23810</v>
      </c>
      <c r="AI165" s="273"/>
      <c r="AJ165" s="446">
        <v>0</v>
      </c>
      <c r="AK165" s="450">
        <f>AJ165/VPI!R165</f>
        <v>0</v>
      </c>
      <c r="AL165" s="452">
        <f t="shared" si="11"/>
        <v>16900</v>
      </c>
      <c r="AM165" s="450">
        <f>AL165/VPI!R165</f>
        <v>1.9483143908019849</v>
      </c>
      <c r="AN165" s="446">
        <v>16900</v>
      </c>
      <c r="AO165" s="273"/>
      <c r="AP165" s="541">
        <v>1.3657089714874913</v>
      </c>
      <c r="AR165" s="178">
        <v>0</v>
      </c>
    </row>
    <row r="166" spans="1:44" x14ac:dyDescent="0.25">
      <c r="A166" s="193">
        <v>5683</v>
      </c>
      <c r="B166" s="454" t="s">
        <v>93</v>
      </c>
      <c r="C166" s="446">
        <v>318868.86</v>
      </c>
      <c r="D166" s="446">
        <v>21247.200000000001</v>
      </c>
      <c r="E166" s="446"/>
      <c r="F166" s="446">
        <v>0</v>
      </c>
      <c r="G166" s="446">
        <v>-3564.4</v>
      </c>
      <c r="H166" s="446">
        <v>769.25</v>
      </c>
      <c r="I166" s="446">
        <v>0</v>
      </c>
      <c r="J166" s="446">
        <v>-1870.79</v>
      </c>
      <c r="K166" s="446">
        <v>2220.5</v>
      </c>
      <c r="L166" s="446">
        <v>28563.75</v>
      </c>
      <c r="M166" s="506">
        <f t="shared" si="8"/>
        <v>366234.37</v>
      </c>
      <c r="N166" s="446">
        <v>0</v>
      </c>
      <c r="O166" s="446">
        <v>1149.2</v>
      </c>
      <c r="P166" s="446">
        <v>0</v>
      </c>
      <c r="Q166" s="446">
        <v>0</v>
      </c>
      <c r="R166" s="446">
        <v>3217.9</v>
      </c>
      <c r="S166" s="446">
        <v>0</v>
      </c>
      <c r="T166" s="506">
        <f t="shared" si="9"/>
        <v>370601.47000000003</v>
      </c>
      <c r="U166" s="446">
        <v>-2962.05</v>
      </c>
      <c r="V166" s="446"/>
      <c r="W166" s="446">
        <v>0</v>
      </c>
      <c r="X166" s="448">
        <v>72.5</v>
      </c>
      <c r="Y166" s="448">
        <v>1</v>
      </c>
      <c r="Z166" s="446">
        <v>202</v>
      </c>
      <c r="AA166" s="269"/>
      <c r="AB166" s="446">
        <v>0</v>
      </c>
      <c r="AC166" s="450">
        <f>AB166/VPI!R166</f>
        <v>0</v>
      </c>
      <c r="AD166" s="452">
        <f t="shared" si="10"/>
        <v>9976</v>
      </c>
      <c r="AE166" s="450">
        <f>AD166/VPI!R166</f>
        <v>1.9909581880612319</v>
      </c>
      <c r="AF166" s="446">
        <v>9976</v>
      </c>
      <c r="AG166" s="446">
        <v>7322</v>
      </c>
      <c r="AH166" s="446">
        <v>12976</v>
      </c>
      <c r="AI166" s="273"/>
      <c r="AJ166" s="446">
        <v>0</v>
      </c>
      <c r="AK166" s="450">
        <f>AJ166/VPI!R166</f>
        <v>0</v>
      </c>
      <c r="AL166" s="452">
        <f t="shared" si="11"/>
        <v>-2762</v>
      </c>
      <c r="AM166" s="450">
        <f>AL166/VPI!R166</f>
        <v>-0.55122559296562978</v>
      </c>
      <c r="AN166" s="446">
        <v>-2762</v>
      </c>
      <c r="AO166" s="273"/>
      <c r="AP166" s="541">
        <v>8.8831986036095358</v>
      </c>
      <c r="AR166" s="178">
        <v>0</v>
      </c>
    </row>
    <row r="167" spans="1:44" x14ac:dyDescent="0.25">
      <c r="A167" s="193">
        <v>5684</v>
      </c>
      <c r="B167" s="454" t="s">
        <v>94</v>
      </c>
      <c r="C167" s="446">
        <v>249986.56</v>
      </c>
      <c r="D167" s="446">
        <v>69536.34</v>
      </c>
      <c r="E167" s="446"/>
      <c r="F167" s="446">
        <v>0</v>
      </c>
      <c r="G167" s="446">
        <v>228.95</v>
      </c>
      <c r="H167" s="446">
        <v>-258.25</v>
      </c>
      <c r="I167" s="446">
        <v>0</v>
      </c>
      <c r="J167" s="446">
        <v>121.38</v>
      </c>
      <c r="K167" s="446">
        <v>0</v>
      </c>
      <c r="L167" s="446">
        <v>6461.9</v>
      </c>
      <c r="M167" s="506">
        <f t="shared" si="8"/>
        <v>326076.88000000006</v>
      </c>
      <c r="N167" s="446">
        <v>0</v>
      </c>
      <c r="O167" s="446">
        <v>0</v>
      </c>
      <c r="P167" s="446">
        <v>0</v>
      </c>
      <c r="Q167" s="446">
        <v>0</v>
      </c>
      <c r="R167" s="446">
        <v>0</v>
      </c>
      <c r="S167" s="446">
        <v>0</v>
      </c>
      <c r="T167" s="506">
        <f t="shared" si="9"/>
        <v>326076.88000000006</v>
      </c>
      <c r="U167" s="446">
        <v>-2517.2399999999998</v>
      </c>
      <c r="V167" s="446"/>
      <c r="W167" s="446">
        <v>-22.35</v>
      </c>
      <c r="X167" s="448">
        <v>75</v>
      </c>
      <c r="Y167" s="448">
        <v>0.8</v>
      </c>
      <c r="Z167" s="446">
        <v>84</v>
      </c>
      <c r="AA167" s="269"/>
      <c r="AB167" s="446">
        <v>0</v>
      </c>
      <c r="AC167" s="450">
        <f>AB167/VPI!R167</f>
        <v>0</v>
      </c>
      <c r="AD167" s="452">
        <f t="shared" si="10"/>
        <v>1716</v>
      </c>
      <c r="AE167" s="450">
        <f>AD167/VPI!R167</f>
        <v>0.39581394917555124</v>
      </c>
      <c r="AF167" s="446">
        <v>1716</v>
      </c>
      <c r="AG167" s="446">
        <v>3170</v>
      </c>
      <c r="AH167" s="446">
        <v>4281</v>
      </c>
      <c r="AI167" s="273"/>
      <c r="AJ167" s="446">
        <v>780</v>
      </c>
      <c r="AK167" s="450">
        <f>AJ167/VPI!R167</f>
        <v>0.17991543144343239</v>
      </c>
      <c r="AL167" s="452">
        <f t="shared" si="11"/>
        <v>139</v>
      </c>
      <c r="AM167" s="450">
        <f>AL167/VPI!R167</f>
        <v>3.2061852526457824E-2</v>
      </c>
      <c r="AN167" s="446">
        <v>919</v>
      </c>
      <c r="AO167" s="273"/>
      <c r="AP167" s="541">
        <v>26.099593993517068</v>
      </c>
      <c r="AR167" s="178">
        <v>0</v>
      </c>
    </row>
    <row r="168" spans="1:44" x14ac:dyDescent="0.25">
      <c r="A168" s="193">
        <v>5688</v>
      </c>
      <c r="B168" s="454" t="s">
        <v>95</v>
      </c>
      <c r="C168" s="446">
        <v>295382.48</v>
      </c>
      <c r="D168" s="446">
        <v>52453.85</v>
      </c>
      <c r="E168" s="446"/>
      <c r="F168" s="446">
        <v>0</v>
      </c>
      <c r="G168" s="446">
        <v>10685.7</v>
      </c>
      <c r="H168" s="446">
        <v>146.6</v>
      </c>
      <c r="I168" s="446">
        <v>0</v>
      </c>
      <c r="J168" s="446">
        <v>1283.3900000000001</v>
      </c>
      <c r="K168" s="446">
        <v>157.5</v>
      </c>
      <c r="L168" s="446">
        <v>23710.400000000001</v>
      </c>
      <c r="M168" s="506">
        <f t="shared" si="8"/>
        <v>383819.92</v>
      </c>
      <c r="N168" s="446">
        <v>0</v>
      </c>
      <c r="O168" s="446">
        <v>0</v>
      </c>
      <c r="P168" s="446">
        <v>40.65</v>
      </c>
      <c r="Q168" s="446">
        <v>0</v>
      </c>
      <c r="R168" s="446">
        <v>0</v>
      </c>
      <c r="S168" s="446">
        <v>1062.7485300914589</v>
      </c>
      <c r="T168" s="506">
        <f t="shared" si="9"/>
        <v>384923.31853009149</v>
      </c>
      <c r="U168" s="446">
        <v>-7.04</v>
      </c>
      <c r="V168" s="446"/>
      <c r="W168" s="446">
        <v>0</v>
      </c>
      <c r="X168" s="448">
        <v>75.599999999999994</v>
      </c>
      <c r="Y168" s="448">
        <v>1</v>
      </c>
      <c r="Z168" s="446">
        <v>156</v>
      </c>
      <c r="AA168" s="269"/>
      <c r="AB168" s="446">
        <v>0</v>
      </c>
      <c r="AC168" s="450">
        <f>AB168/VPI!R168</f>
        <v>0</v>
      </c>
      <c r="AD168" s="452">
        <f t="shared" si="10"/>
        <v>26837</v>
      </c>
      <c r="AE168" s="450">
        <f>AD168/VPI!R168</f>
        <v>5.2715138335691529</v>
      </c>
      <c r="AF168" s="446">
        <v>26837</v>
      </c>
      <c r="AG168" s="446">
        <v>8775</v>
      </c>
      <c r="AH168" s="446">
        <v>18248</v>
      </c>
      <c r="AI168" s="273"/>
      <c r="AJ168" s="446">
        <v>0</v>
      </c>
      <c r="AK168" s="450">
        <f>AJ168/VPI!R168</f>
        <v>0</v>
      </c>
      <c r="AL168" s="452">
        <f t="shared" si="11"/>
        <v>-7432</v>
      </c>
      <c r="AM168" s="450">
        <f>AL168/VPI!R168</f>
        <v>-1.45984613820792</v>
      </c>
      <c r="AN168" s="446">
        <v>-7432</v>
      </c>
      <c r="AO168" s="273"/>
      <c r="AP168" s="541">
        <v>-8.0446660339328027</v>
      </c>
      <c r="AR168" s="178">
        <v>0</v>
      </c>
    </row>
    <row r="169" spans="1:44" x14ac:dyDescent="0.25">
      <c r="A169" s="193">
        <v>5690</v>
      </c>
      <c r="B169" s="454" t="s">
        <v>96</v>
      </c>
      <c r="C169" s="446">
        <v>182885.96</v>
      </c>
      <c r="D169" s="446">
        <v>41063.230000000003</v>
      </c>
      <c r="E169" s="446"/>
      <c r="F169" s="446">
        <v>750</v>
      </c>
      <c r="G169" s="446">
        <v>-14.45</v>
      </c>
      <c r="H169" s="446">
        <v>409.7</v>
      </c>
      <c r="I169" s="446">
        <v>0</v>
      </c>
      <c r="J169" s="446">
        <v>0</v>
      </c>
      <c r="K169" s="446">
        <v>184.1</v>
      </c>
      <c r="L169" s="446">
        <v>24858</v>
      </c>
      <c r="M169" s="506">
        <f t="shared" si="8"/>
        <v>250136.54</v>
      </c>
      <c r="N169" s="446">
        <v>0</v>
      </c>
      <c r="O169" s="446">
        <v>11060.8</v>
      </c>
      <c r="P169" s="446">
        <v>13276.15</v>
      </c>
      <c r="Q169" s="446">
        <v>0</v>
      </c>
      <c r="R169" s="446">
        <v>11217.45</v>
      </c>
      <c r="S169" s="446">
        <v>38.777670164106333</v>
      </c>
      <c r="T169" s="506">
        <f t="shared" si="9"/>
        <v>285729.71767016413</v>
      </c>
      <c r="U169" s="446">
        <v>-2176.4299999999998</v>
      </c>
      <c r="V169" s="446"/>
      <c r="W169" s="446">
        <v>0</v>
      </c>
      <c r="X169" s="448">
        <v>70</v>
      </c>
      <c r="Y169" s="448">
        <v>1.2</v>
      </c>
      <c r="Z169" s="446">
        <v>120</v>
      </c>
      <c r="AA169" s="269"/>
      <c r="AB169" s="446">
        <v>0</v>
      </c>
      <c r="AC169" s="450">
        <f>AB169/VPI!R169</f>
        <v>0</v>
      </c>
      <c r="AD169" s="452">
        <f t="shared" si="10"/>
        <v>29657</v>
      </c>
      <c r="AE169" s="450">
        <f>AD169/VPI!R169</f>
        <v>8.5131838309680408</v>
      </c>
      <c r="AF169" s="446">
        <v>29657</v>
      </c>
      <c r="AG169" s="446">
        <v>4604</v>
      </c>
      <c r="AH169" s="446">
        <v>6556</v>
      </c>
      <c r="AI169" s="273"/>
      <c r="AJ169" s="446">
        <v>0</v>
      </c>
      <c r="AK169" s="450">
        <f>AJ169/VPI!R169</f>
        <v>0</v>
      </c>
      <c r="AL169" s="452">
        <f t="shared" si="11"/>
        <v>882</v>
      </c>
      <c r="AM169" s="450">
        <f>AL169/VPI!R169</f>
        <v>0.25318232251791523</v>
      </c>
      <c r="AN169" s="446">
        <v>882</v>
      </c>
      <c r="AO169" s="273"/>
      <c r="AP169" s="541">
        <v>13.246487577417374</v>
      </c>
      <c r="AR169" s="178">
        <v>0</v>
      </c>
    </row>
    <row r="170" spans="1:44" x14ac:dyDescent="0.25">
      <c r="A170" s="193">
        <v>5692</v>
      </c>
      <c r="B170" s="454" t="s">
        <v>97</v>
      </c>
      <c r="C170" s="446">
        <v>1141126.29</v>
      </c>
      <c r="D170" s="446">
        <v>112254.65</v>
      </c>
      <c r="E170" s="446"/>
      <c r="F170" s="446">
        <v>0</v>
      </c>
      <c r="G170" s="446">
        <v>11896.9</v>
      </c>
      <c r="H170" s="446">
        <v>1470.1</v>
      </c>
      <c r="I170" s="446">
        <v>0</v>
      </c>
      <c r="J170" s="446">
        <v>24468.36</v>
      </c>
      <c r="K170" s="446">
        <v>3158.45</v>
      </c>
      <c r="L170" s="446">
        <v>97934.1</v>
      </c>
      <c r="M170" s="506">
        <f t="shared" si="8"/>
        <v>1392308.85</v>
      </c>
      <c r="N170" s="446">
        <v>13335.05</v>
      </c>
      <c r="O170" s="446">
        <v>94.8</v>
      </c>
      <c r="P170" s="446">
        <v>73087.45</v>
      </c>
      <c r="Q170" s="446">
        <v>11.77</v>
      </c>
      <c r="R170" s="446">
        <v>27137.200000000001</v>
      </c>
      <c r="S170" s="446">
        <v>1311.4259761761152</v>
      </c>
      <c r="T170" s="506">
        <f t="shared" si="9"/>
        <v>1507286.5459761762</v>
      </c>
      <c r="U170" s="446">
        <v>-1412.65</v>
      </c>
      <c r="V170" s="446"/>
      <c r="W170" s="446">
        <v>-0.46</v>
      </c>
      <c r="X170" s="448">
        <v>77</v>
      </c>
      <c r="Y170" s="448">
        <v>1</v>
      </c>
      <c r="Z170" s="446">
        <v>617</v>
      </c>
      <c r="AA170" s="269"/>
      <c r="AB170" s="446">
        <v>6632</v>
      </c>
      <c r="AC170" s="450">
        <f>AB170/VPI!R170</f>
        <v>0.36679863116639755</v>
      </c>
      <c r="AD170" s="452">
        <f t="shared" si="10"/>
        <v>128813</v>
      </c>
      <c r="AE170" s="450">
        <f>AD170/VPI!R170</f>
        <v>7.1243112298608517</v>
      </c>
      <c r="AF170" s="446">
        <v>135445</v>
      </c>
      <c r="AG170" s="446">
        <v>32834</v>
      </c>
      <c r="AH170" s="446">
        <v>82806</v>
      </c>
      <c r="AI170" s="273"/>
      <c r="AJ170" s="446">
        <v>0</v>
      </c>
      <c r="AK170" s="450">
        <f>AJ170/VPI!R170</f>
        <v>0</v>
      </c>
      <c r="AL170" s="452">
        <f t="shared" si="11"/>
        <v>-24712</v>
      </c>
      <c r="AM170" s="450">
        <f>AL170/VPI!R170</f>
        <v>-1.3667562987611606</v>
      </c>
      <c r="AN170" s="446">
        <v>-24712</v>
      </c>
      <c r="AO170" s="273"/>
      <c r="AP170" s="541">
        <v>13.911816564019407</v>
      </c>
      <c r="AR170" s="178">
        <v>0</v>
      </c>
    </row>
    <row r="171" spans="1:44" x14ac:dyDescent="0.25">
      <c r="A171" s="193">
        <v>5693</v>
      </c>
      <c r="B171" s="454" t="s">
        <v>354</v>
      </c>
      <c r="C171" s="446">
        <v>4202520.2699999996</v>
      </c>
      <c r="D171" s="446">
        <v>484604.06</v>
      </c>
      <c r="E171" s="446"/>
      <c r="F171" s="446">
        <v>0</v>
      </c>
      <c r="G171" s="446">
        <v>33536.199999999997</v>
      </c>
      <c r="H171" s="446">
        <v>3591.3</v>
      </c>
      <c r="I171" s="446">
        <v>0</v>
      </c>
      <c r="J171" s="446">
        <v>72440.38</v>
      </c>
      <c r="K171" s="446">
        <v>9495.6</v>
      </c>
      <c r="L171" s="446">
        <v>423772.3</v>
      </c>
      <c r="M171" s="506">
        <f t="shared" si="8"/>
        <v>5229960.1099999985</v>
      </c>
      <c r="N171" s="446">
        <v>48251.05</v>
      </c>
      <c r="O171" s="446">
        <v>144312.70000000001</v>
      </c>
      <c r="P171" s="446">
        <v>209249.75</v>
      </c>
      <c r="Q171" s="446">
        <v>11807.36</v>
      </c>
      <c r="R171" s="446">
        <v>133540.75</v>
      </c>
      <c r="S171" s="446">
        <v>3642.5501556429049</v>
      </c>
      <c r="T171" s="506">
        <f t="shared" si="9"/>
        <v>5780764.2701556413</v>
      </c>
      <c r="U171" s="446">
        <v>-125251.55</v>
      </c>
      <c r="V171" s="446"/>
      <c r="W171" s="446">
        <v>-290.72000000000003</v>
      </c>
      <c r="X171" s="448">
        <v>72</v>
      </c>
      <c r="Y171" s="448">
        <v>1</v>
      </c>
      <c r="Z171" s="446">
        <v>2782</v>
      </c>
      <c r="AA171" s="269"/>
      <c r="AB171" s="446">
        <v>114342</v>
      </c>
      <c r="AC171" s="450">
        <f>AB171/VPI!R171</f>
        <v>1.6079759090944745</v>
      </c>
      <c r="AD171" s="452">
        <f t="shared" si="10"/>
        <v>571638</v>
      </c>
      <c r="AE171" s="450">
        <f>AD171/VPI!R171</f>
        <v>8.0388670193187739</v>
      </c>
      <c r="AF171" s="446">
        <v>685980</v>
      </c>
      <c r="AG171" s="446">
        <v>153811</v>
      </c>
      <c r="AH171" s="446">
        <v>218556</v>
      </c>
      <c r="AI171" s="273"/>
      <c r="AJ171" s="446">
        <v>0</v>
      </c>
      <c r="AK171" s="450">
        <f>AJ171/VPI!R171</f>
        <v>0</v>
      </c>
      <c r="AL171" s="452">
        <f t="shared" si="11"/>
        <v>158928</v>
      </c>
      <c r="AM171" s="450">
        <f>AL171/VPI!R171</f>
        <v>2.2349827297105755</v>
      </c>
      <c r="AN171" s="446">
        <v>158928</v>
      </c>
      <c r="AO171" s="273"/>
      <c r="AP171" s="541">
        <v>8.8019822521556979</v>
      </c>
      <c r="AR171" s="178">
        <v>0</v>
      </c>
    </row>
    <row r="172" spans="1:44" x14ac:dyDescent="0.25">
      <c r="A172" s="193">
        <v>5701</v>
      </c>
      <c r="B172" s="454" t="s">
        <v>98</v>
      </c>
      <c r="C172" s="446">
        <v>647416.28</v>
      </c>
      <c r="D172" s="446">
        <v>113002.67</v>
      </c>
      <c r="E172" s="446"/>
      <c r="F172" s="446">
        <v>0</v>
      </c>
      <c r="G172" s="446">
        <v>4508.5</v>
      </c>
      <c r="H172" s="446">
        <v>938.9</v>
      </c>
      <c r="I172" s="446">
        <v>65044.25</v>
      </c>
      <c r="J172" s="446">
        <v>-11789.17</v>
      </c>
      <c r="K172" s="446">
        <v>510.25</v>
      </c>
      <c r="L172" s="446">
        <v>71655.100000000006</v>
      </c>
      <c r="M172" s="506">
        <f t="shared" si="8"/>
        <v>891286.78</v>
      </c>
      <c r="N172" s="446">
        <v>0</v>
      </c>
      <c r="O172" s="446">
        <v>0</v>
      </c>
      <c r="P172" s="446">
        <v>97039.3</v>
      </c>
      <c r="Q172" s="446">
        <v>0</v>
      </c>
      <c r="R172" s="446">
        <v>57927.55</v>
      </c>
      <c r="S172" s="446">
        <v>534.44017824656009</v>
      </c>
      <c r="T172" s="506">
        <f t="shared" si="9"/>
        <v>1046788.0701782467</v>
      </c>
      <c r="U172" s="446">
        <v>-11178.47</v>
      </c>
      <c r="V172" s="446"/>
      <c r="W172" s="446">
        <v>-204.29</v>
      </c>
      <c r="X172" s="448">
        <v>70</v>
      </c>
      <c r="Y172" s="448">
        <v>1</v>
      </c>
      <c r="Z172" s="446">
        <v>240</v>
      </c>
      <c r="AA172" s="269"/>
      <c r="AB172" s="446">
        <v>0</v>
      </c>
      <c r="AC172" s="450">
        <f>AB172/VPI!R172</f>
        <v>0</v>
      </c>
      <c r="AD172" s="452">
        <f t="shared" si="10"/>
        <v>1373</v>
      </c>
      <c r="AE172" s="450">
        <f>AD172/VPI!R172</f>
        <v>0.10916151934178607</v>
      </c>
      <c r="AF172" s="446">
        <v>1373</v>
      </c>
      <c r="AG172" s="446">
        <v>9727</v>
      </c>
      <c r="AH172" s="446">
        <v>33839</v>
      </c>
      <c r="AI172" s="273"/>
      <c r="AJ172" s="446">
        <v>0</v>
      </c>
      <c r="AK172" s="450">
        <f>AJ172/VPI!R172</f>
        <v>0</v>
      </c>
      <c r="AL172" s="452">
        <f t="shared" si="11"/>
        <v>867</v>
      </c>
      <c r="AM172" s="450">
        <f>AL172/VPI!R172</f>
        <v>6.8931563925221068E-2</v>
      </c>
      <c r="AN172" s="446">
        <v>867</v>
      </c>
      <c r="AO172" s="273"/>
      <c r="AP172" s="541">
        <v>34.432885125631657</v>
      </c>
      <c r="AR172" s="178">
        <v>0</v>
      </c>
    </row>
    <row r="173" spans="1:44" x14ac:dyDescent="0.25">
      <c r="A173" s="193">
        <v>5702</v>
      </c>
      <c r="B173" s="454" t="s">
        <v>353</v>
      </c>
      <c r="C173" s="446">
        <v>7875971.5999999996</v>
      </c>
      <c r="D173" s="446">
        <v>1457247.64</v>
      </c>
      <c r="E173" s="446"/>
      <c r="F173" s="446">
        <v>0</v>
      </c>
      <c r="G173" s="446">
        <v>72986</v>
      </c>
      <c r="H173" s="446">
        <v>23125.05</v>
      </c>
      <c r="I173" s="446">
        <v>377543.7</v>
      </c>
      <c r="J173" s="446">
        <v>143021.01999999999</v>
      </c>
      <c r="K173" s="446">
        <v>15460.15</v>
      </c>
      <c r="L173" s="446">
        <v>1229545.3</v>
      </c>
      <c r="M173" s="506">
        <f t="shared" si="8"/>
        <v>11194900.460000001</v>
      </c>
      <c r="N173" s="446">
        <v>74885.100000000006</v>
      </c>
      <c r="O173" s="446">
        <v>18531.8</v>
      </c>
      <c r="P173" s="446">
        <v>540349.94999999995</v>
      </c>
      <c r="Q173" s="446">
        <v>10125.129999999999</v>
      </c>
      <c r="R173" s="446">
        <v>383157.9</v>
      </c>
      <c r="S173" s="446">
        <v>9429.3803821022975</v>
      </c>
      <c r="T173" s="506">
        <f t="shared" si="9"/>
        <v>12231379.720382104</v>
      </c>
      <c r="U173" s="446">
        <v>-36504.25</v>
      </c>
      <c r="V173" s="446"/>
      <c r="W173" s="446">
        <v>-34129.629999999997</v>
      </c>
      <c r="X173" s="448">
        <v>64</v>
      </c>
      <c r="Y173" s="448">
        <v>1.5</v>
      </c>
      <c r="Z173" s="446">
        <v>2912</v>
      </c>
      <c r="AA173" s="269"/>
      <c r="AB173" s="446">
        <v>212592</v>
      </c>
      <c r="AC173" s="450">
        <f>AB173/VPI!R173</f>
        <v>1.26755381578742</v>
      </c>
      <c r="AD173" s="452">
        <f t="shared" si="10"/>
        <v>421385</v>
      </c>
      <c r="AE173" s="450">
        <f>AD173/VPI!R173</f>
        <v>2.5124565584103919</v>
      </c>
      <c r="AF173" s="446">
        <v>633977</v>
      </c>
      <c r="AG173" s="446">
        <v>198290</v>
      </c>
      <c r="AH173" s="446">
        <v>147052</v>
      </c>
      <c r="AI173" s="273"/>
      <c r="AJ173" s="446">
        <v>192650</v>
      </c>
      <c r="AK173" s="450">
        <f>AJ173/VPI!R173</f>
        <v>1.1486520782129455</v>
      </c>
      <c r="AL173" s="452">
        <f t="shared" si="11"/>
        <v>560885</v>
      </c>
      <c r="AM173" s="450">
        <f>AL173/VPI!R173</f>
        <v>3.3442082579209336</v>
      </c>
      <c r="AN173" s="446">
        <v>753535</v>
      </c>
      <c r="AO173" s="273"/>
      <c r="AP173" s="541">
        <v>34.704782595914004</v>
      </c>
      <c r="AR173" s="178">
        <v>0</v>
      </c>
    </row>
    <row r="174" spans="1:44" x14ac:dyDescent="0.25">
      <c r="A174" s="193">
        <v>5703</v>
      </c>
      <c r="B174" s="454" t="s">
        <v>99</v>
      </c>
      <c r="C174" s="446">
        <v>3965129.42</v>
      </c>
      <c r="D174" s="446">
        <v>502240.81</v>
      </c>
      <c r="E174" s="446"/>
      <c r="F174" s="446">
        <v>0</v>
      </c>
      <c r="G174" s="446">
        <v>54945.2</v>
      </c>
      <c r="H174" s="446">
        <v>2762.9</v>
      </c>
      <c r="I174" s="446">
        <v>1654.45</v>
      </c>
      <c r="J174" s="446">
        <v>75222.679999999993</v>
      </c>
      <c r="K174" s="446">
        <v>1865</v>
      </c>
      <c r="L174" s="446">
        <v>456764.85</v>
      </c>
      <c r="M174" s="506">
        <f t="shared" si="8"/>
        <v>5060585.3099999996</v>
      </c>
      <c r="N174" s="446">
        <v>30174.35</v>
      </c>
      <c r="O174" s="446">
        <v>8122.8</v>
      </c>
      <c r="P174" s="446">
        <v>255576.7</v>
      </c>
      <c r="Q174" s="446">
        <v>17195.88</v>
      </c>
      <c r="R174" s="446">
        <v>244553.75</v>
      </c>
      <c r="S174" s="446">
        <v>5661.6968187154089</v>
      </c>
      <c r="T174" s="506">
        <f t="shared" si="9"/>
        <v>5621870.4868187141</v>
      </c>
      <c r="U174" s="446">
        <v>-101171.26</v>
      </c>
      <c r="V174" s="446"/>
      <c r="W174" s="446">
        <v>-2461.21</v>
      </c>
      <c r="X174" s="448">
        <v>72.5</v>
      </c>
      <c r="Y174" s="448">
        <v>1.4</v>
      </c>
      <c r="Z174" s="446">
        <v>1475</v>
      </c>
      <c r="AA174" s="269"/>
      <c r="AB174" s="446">
        <v>12740</v>
      </c>
      <c r="AC174" s="450">
        <f>AB174/VPI!R174</f>
        <v>0.19047054709796499</v>
      </c>
      <c r="AD174" s="452">
        <f t="shared" si="10"/>
        <v>259106</v>
      </c>
      <c r="AE174" s="450">
        <f>AD174/VPI!R174</f>
        <v>3.8737881928073246</v>
      </c>
      <c r="AF174" s="446">
        <v>271846</v>
      </c>
      <c r="AG174" s="446">
        <v>59253</v>
      </c>
      <c r="AH174" s="446">
        <v>124797</v>
      </c>
      <c r="AI174" s="273"/>
      <c r="AJ174" s="446">
        <v>0</v>
      </c>
      <c r="AK174" s="450">
        <f>AJ174/VPI!R174</f>
        <v>0</v>
      </c>
      <c r="AL174" s="452">
        <f t="shared" si="11"/>
        <v>435921</v>
      </c>
      <c r="AM174" s="450">
        <f>AL174/VPI!R174</f>
        <v>6.5172771869302979</v>
      </c>
      <c r="AN174" s="446">
        <v>435921</v>
      </c>
      <c r="AO174" s="273"/>
      <c r="AP174" s="541">
        <v>28.571860318510989</v>
      </c>
      <c r="AR174" s="178">
        <v>0</v>
      </c>
    </row>
    <row r="175" spans="1:44" x14ac:dyDescent="0.25">
      <c r="A175" s="193">
        <v>5704</v>
      </c>
      <c r="B175" s="454" t="s">
        <v>195</v>
      </c>
      <c r="C175" s="446">
        <v>5756736.4299999997</v>
      </c>
      <c r="D175" s="446">
        <v>2096667.49</v>
      </c>
      <c r="E175" s="446"/>
      <c r="F175" s="446">
        <v>0</v>
      </c>
      <c r="G175" s="446">
        <v>18297.75</v>
      </c>
      <c r="H175" s="446">
        <v>6797.45</v>
      </c>
      <c r="I175" s="446">
        <v>381207.8</v>
      </c>
      <c r="J175" s="446">
        <v>90862.86</v>
      </c>
      <c r="K175" s="446">
        <v>18287.150000000001</v>
      </c>
      <c r="L175" s="446">
        <v>800220.65</v>
      </c>
      <c r="M175" s="506">
        <f t="shared" si="8"/>
        <v>9169077.5800000001</v>
      </c>
      <c r="N175" s="446">
        <v>30752.45</v>
      </c>
      <c r="O175" s="446">
        <v>308.89999999999998</v>
      </c>
      <c r="P175" s="446">
        <v>287128.2</v>
      </c>
      <c r="Q175" s="446">
        <v>73562.570000000007</v>
      </c>
      <c r="R175" s="446">
        <v>125953</v>
      </c>
      <c r="S175" s="446">
        <v>2462.0705586395479</v>
      </c>
      <c r="T175" s="506">
        <f t="shared" si="9"/>
        <v>9689244.7705586385</v>
      </c>
      <c r="U175" s="446">
        <v>-48920.72</v>
      </c>
      <c r="V175" s="446"/>
      <c r="W175" s="446">
        <v>-83814.63</v>
      </c>
      <c r="X175" s="448">
        <v>62.5</v>
      </c>
      <c r="Y175" s="448">
        <v>1.5</v>
      </c>
      <c r="Z175" s="446">
        <v>1928</v>
      </c>
      <c r="AA175" s="269"/>
      <c r="AB175" s="446">
        <v>224790</v>
      </c>
      <c r="AC175" s="450">
        <f>AB175/VPI!R175</f>
        <v>1.5882848722558778</v>
      </c>
      <c r="AD175" s="452">
        <f t="shared" si="10"/>
        <v>536199</v>
      </c>
      <c r="AE175" s="450">
        <f>AD175/VPI!R175</f>
        <v>3.7885882833699425</v>
      </c>
      <c r="AF175" s="446">
        <v>760989</v>
      </c>
      <c r="AG175" s="446">
        <v>87778</v>
      </c>
      <c r="AH175" s="446">
        <v>172385</v>
      </c>
      <c r="AI175" s="273"/>
      <c r="AJ175" s="446">
        <v>0</v>
      </c>
      <c r="AK175" s="450">
        <f>AJ175/VPI!R175</f>
        <v>0</v>
      </c>
      <c r="AL175" s="452">
        <f t="shared" si="11"/>
        <v>36124</v>
      </c>
      <c r="AM175" s="450">
        <f>AL175/VPI!R175</f>
        <v>0.25523912418422229</v>
      </c>
      <c r="AN175" s="446">
        <v>36124</v>
      </c>
      <c r="AO175" s="273"/>
      <c r="AP175" s="541">
        <v>36.636169523160127</v>
      </c>
      <c r="AR175" s="178">
        <v>0</v>
      </c>
    </row>
    <row r="176" spans="1:44" x14ac:dyDescent="0.25">
      <c r="A176" s="193">
        <v>5705</v>
      </c>
      <c r="B176" s="454" t="s">
        <v>196</v>
      </c>
      <c r="C176" s="446">
        <v>3488421.72</v>
      </c>
      <c r="D176" s="446">
        <v>504053.46</v>
      </c>
      <c r="E176" s="446"/>
      <c r="F176" s="446">
        <v>0</v>
      </c>
      <c r="G176" s="446">
        <v>17661.849999999999</v>
      </c>
      <c r="H176" s="446">
        <v>1355.7</v>
      </c>
      <c r="I176" s="446">
        <v>38823.85</v>
      </c>
      <c r="J176" s="446">
        <v>10099.85</v>
      </c>
      <c r="K176" s="446">
        <v>9634.25</v>
      </c>
      <c r="L176" s="446">
        <v>227558</v>
      </c>
      <c r="M176" s="506">
        <f t="shared" si="8"/>
        <v>4297608.6800000006</v>
      </c>
      <c r="N176" s="446">
        <v>37516</v>
      </c>
      <c r="O176" s="446">
        <v>0</v>
      </c>
      <c r="P176" s="446">
        <v>276386</v>
      </c>
      <c r="Q176" s="446">
        <v>143.03</v>
      </c>
      <c r="R176" s="446">
        <v>114169.9</v>
      </c>
      <c r="S176" s="446">
        <v>1865.7970429586351</v>
      </c>
      <c r="T176" s="506">
        <f t="shared" si="9"/>
        <v>4727689.4070429597</v>
      </c>
      <c r="U176" s="446">
        <v>-497.79</v>
      </c>
      <c r="V176" s="446"/>
      <c r="W176" s="446">
        <v>-116438.39</v>
      </c>
      <c r="X176" s="448">
        <v>74.5</v>
      </c>
      <c r="Y176" s="448">
        <v>1</v>
      </c>
      <c r="Z176" s="446">
        <v>835</v>
      </c>
      <c r="AA176" s="269"/>
      <c r="AB176" s="446">
        <v>85233</v>
      </c>
      <c r="AC176" s="450">
        <f>AB176/VPI!R176</f>
        <v>1.5181310751419776</v>
      </c>
      <c r="AD176" s="452">
        <f t="shared" si="10"/>
        <v>114271</v>
      </c>
      <c r="AE176" s="450">
        <f>AD176/VPI!R176</f>
        <v>2.0353426030709811</v>
      </c>
      <c r="AF176" s="446">
        <v>199504</v>
      </c>
      <c r="AG176" s="446">
        <v>58081</v>
      </c>
      <c r="AH176" s="446">
        <v>46861</v>
      </c>
      <c r="AI176" s="273"/>
      <c r="AJ176" s="446">
        <v>0</v>
      </c>
      <c r="AK176" s="450">
        <f>AJ176/VPI!R176</f>
        <v>0</v>
      </c>
      <c r="AL176" s="452">
        <f t="shared" si="11"/>
        <v>8855</v>
      </c>
      <c r="AM176" s="450">
        <f>AL176/VPI!R176</f>
        <v>0.15772119566813572</v>
      </c>
      <c r="AN176" s="446">
        <v>8855</v>
      </c>
      <c r="AO176" s="273"/>
      <c r="AP176" s="541">
        <v>36.123454610953068</v>
      </c>
      <c r="AR176" s="178">
        <v>0</v>
      </c>
    </row>
    <row r="177" spans="1:44" x14ac:dyDescent="0.25">
      <c r="A177" s="193">
        <v>5706</v>
      </c>
      <c r="B177" s="454" t="s">
        <v>197</v>
      </c>
      <c r="C177" s="446">
        <v>3933647.55</v>
      </c>
      <c r="D177" s="446">
        <v>613073</v>
      </c>
      <c r="E177" s="446"/>
      <c r="F177" s="446">
        <v>0</v>
      </c>
      <c r="G177" s="446">
        <v>-8849.35</v>
      </c>
      <c r="H177" s="446">
        <v>7030.85</v>
      </c>
      <c r="I177" s="446">
        <v>4063.55</v>
      </c>
      <c r="J177" s="446">
        <v>-26932.26</v>
      </c>
      <c r="K177" s="446">
        <v>10352.700000000001</v>
      </c>
      <c r="L177" s="446">
        <v>449353.2</v>
      </c>
      <c r="M177" s="506">
        <f t="shared" si="8"/>
        <v>4981739.24</v>
      </c>
      <c r="N177" s="446">
        <v>15345.4</v>
      </c>
      <c r="O177" s="446">
        <v>1914</v>
      </c>
      <c r="P177" s="446">
        <v>161150</v>
      </c>
      <c r="Q177" s="446">
        <v>0</v>
      </c>
      <c r="R177" s="446">
        <v>89834.7</v>
      </c>
      <c r="S177" s="446">
        <v>0</v>
      </c>
      <c r="T177" s="506">
        <f t="shared" si="9"/>
        <v>5249983.3400000008</v>
      </c>
      <c r="U177" s="446">
        <v>-29073.74</v>
      </c>
      <c r="V177" s="446"/>
      <c r="W177" s="446">
        <v>-11373.69</v>
      </c>
      <c r="X177" s="448">
        <v>57</v>
      </c>
      <c r="Y177" s="448">
        <v>1.5</v>
      </c>
      <c r="Z177" s="446">
        <v>1157</v>
      </c>
      <c r="AA177" s="269"/>
      <c r="AB177" s="446">
        <v>0</v>
      </c>
      <c r="AC177" s="450">
        <f>AB177/VPI!R177</f>
        <v>0</v>
      </c>
      <c r="AD177" s="452">
        <f t="shared" si="10"/>
        <v>0</v>
      </c>
      <c r="AE177" s="450">
        <f>AD177/VPI!R177</f>
        <v>0</v>
      </c>
      <c r="AF177" s="446">
        <v>0</v>
      </c>
      <c r="AG177" s="446">
        <v>0</v>
      </c>
      <c r="AH177" s="446">
        <v>0</v>
      </c>
      <c r="AI177" s="273"/>
      <c r="AJ177" s="446">
        <v>0</v>
      </c>
      <c r="AK177" s="450">
        <f>AJ177/VPI!R177</f>
        <v>0</v>
      </c>
      <c r="AL177" s="452">
        <f t="shared" si="11"/>
        <v>0</v>
      </c>
      <c r="AM177" s="450">
        <f>AL177/VPI!R177</f>
        <v>0</v>
      </c>
      <c r="AN177" s="446">
        <v>0</v>
      </c>
      <c r="AO177" s="273"/>
      <c r="AP177" s="541">
        <v>37.543993525503844</v>
      </c>
      <c r="AR177" s="178">
        <v>0</v>
      </c>
    </row>
    <row r="178" spans="1:44" x14ac:dyDescent="0.25">
      <c r="A178" s="193">
        <v>5707</v>
      </c>
      <c r="B178" s="454" t="s">
        <v>198</v>
      </c>
      <c r="C178" s="446">
        <v>3310714.53</v>
      </c>
      <c r="D178" s="446">
        <v>527422.66</v>
      </c>
      <c r="E178" s="446"/>
      <c r="F178" s="446">
        <v>0</v>
      </c>
      <c r="G178" s="446">
        <v>236397.45</v>
      </c>
      <c r="H178" s="446">
        <v>15042.2</v>
      </c>
      <c r="I178" s="446">
        <v>14123.7</v>
      </c>
      <c r="J178" s="446">
        <v>108890.43</v>
      </c>
      <c r="K178" s="446">
        <v>62295.199999999997</v>
      </c>
      <c r="L178" s="446">
        <v>711434.05</v>
      </c>
      <c r="M178" s="506">
        <f t="shared" si="8"/>
        <v>4986320.2200000007</v>
      </c>
      <c r="N178" s="446">
        <v>787653.25</v>
      </c>
      <c r="O178" s="446">
        <v>0</v>
      </c>
      <c r="P178" s="446">
        <v>275588.5</v>
      </c>
      <c r="Q178" s="446">
        <v>0</v>
      </c>
      <c r="R178" s="446">
        <v>93291.5</v>
      </c>
      <c r="S178" s="446">
        <v>24668.548548711806</v>
      </c>
      <c r="T178" s="506">
        <f t="shared" si="9"/>
        <v>6167522.0185487121</v>
      </c>
      <c r="U178" s="446">
        <v>-25658.06</v>
      </c>
      <c r="V178" s="446"/>
      <c r="W178" s="446">
        <v>-7228.29</v>
      </c>
      <c r="X178" s="448">
        <v>58</v>
      </c>
      <c r="Y178" s="448">
        <v>1.5</v>
      </c>
      <c r="Z178" s="446">
        <v>1329</v>
      </c>
      <c r="AA178" s="269"/>
      <c r="AB178" s="446">
        <v>0</v>
      </c>
      <c r="AC178" s="450">
        <f>AB178/VPI!R178</f>
        <v>0</v>
      </c>
      <c r="AD178" s="452">
        <f t="shared" si="10"/>
        <v>0</v>
      </c>
      <c r="AE178" s="450">
        <f>AD178/VPI!R178</f>
        <v>0</v>
      </c>
      <c r="AF178" s="446">
        <v>0</v>
      </c>
      <c r="AG178" s="446">
        <v>0</v>
      </c>
      <c r="AH178" s="446">
        <v>0</v>
      </c>
      <c r="AI178" s="273"/>
      <c r="AJ178" s="446">
        <v>0</v>
      </c>
      <c r="AK178" s="450">
        <f>AJ178/VPI!R178</f>
        <v>0</v>
      </c>
      <c r="AL178" s="452">
        <f t="shared" si="11"/>
        <v>0</v>
      </c>
      <c r="AM178" s="450">
        <f>AL178/VPI!R178</f>
        <v>0</v>
      </c>
      <c r="AN178" s="446">
        <v>0</v>
      </c>
      <c r="AO178" s="273"/>
      <c r="AP178" s="541">
        <v>34.906160760405967</v>
      </c>
      <c r="AR178" s="178">
        <v>0</v>
      </c>
    </row>
    <row r="179" spans="1:44" x14ac:dyDescent="0.25">
      <c r="A179" s="193">
        <v>5708</v>
      </c>
      <c r="B179" s="454" t="s">
        <v>199</v>
      </c>
      <c r="C179" s="446">
        <v>3815208.27</v>
      </c>
      <c r="D179" s="446">
        <v>452436.55</v>
      </c>
      <c r="E179" s="446"/>
      <c r="F179" s="446">
        <v>0</v>
      </c>
      <c r="G179" s="446">
        <v>28896.55</v>
      </c>
      <c r="H179" s="446">
        <v>1997.1</v>
      </c>
      <c r="I179" s="446">
        <v>0</v>
      </c>
      <c r="J179" s="446">
        <v>-17158.88</v>
      </c>
      <c r="K179" s="446">
        <v>2539.65</v>
      </c>
      <c r="L179" s="446">
        <v>431921.25</v>
      </c>
      <c r="M179" s="506">
        <f t="shared" si="8"/>
        <v>4715840.49</v>
      </c>
      <c r="N179" s="446">
        <v>8131.3</v>
      </c>
      <c r="O179" s="446">
        <v>0</v>
      </c>
      <c r="P179" s="446">
        <v>231686.35</v>
      </c>
      <c r="Q179" s="446">
        <v>11199.88</v>
      </c>
      <c r="R179" s="446">
        <v>71721.55</v>
      </c>
      <c r="S179" s="446">
        <v>3030.95197941896</v>
      </c>
      <c r="T179" s="506">
        <f t="shared" si="9"/>
        <v>5041610.5219794186</v>
      </c>
      <c r="U179" s="446">
        <v>-12006.52</v>
      </c>
      <c r="V179" s="446"/>
      <c r="W179" s="446">
        <v>-1350.03</v>
      </c>
      <c r="X179" s="448">
        <v>68</v>
      </c>
      <c r="Y179" s="448">
        <v>1.5</v>
      </c>
      <c r="Z179" s="446">
        <v>1013</v>
      </c>
      <c r="AA179" s="269"/>
      <c r="AB179" s="446">
        <v>125380</v>
      </c>
      <c r="AC179" s="450">
        <f>AB179/VPI!R179</f>
        <v>1.8644922069759786</v>
      </c>
      <c r="AD179" s="452">
        <f t="shared" si="10"/>
        <v>95689</v>
      </c>
      <c r="AE179" s="450">
        <f>AD179/VPI!R179</f>
        <v>1.422965343701742</v>
      </c>
      <c r="AF179" s="446">
        <v>221069</v>
      </c>
      <c r="AG179" s="446">
        <v>54897</v>
      </c>
      <c r="AH179" s="446">
        <v>62750</v>
      </c>
      <c r="AI179" s="273"/>
      <c r="AJ179" s="446">
        <v>0</v>
      </c>
      <c r="AK179" s="450">
        <f>AJ179/VPI!R179</f>
        <v>0</v>
      </c>
      <c r="AL179" s="452">
        <f t="shared" si="11"/>
        <v>0</v>
      </c>
      <c r="AM179" s="450">
        <f>AL179/VPI!R179</f>
        <v>0</v>
      </c>
      <c r="AN179" s="446">
        <v>0</v>
      </c>
      <c r="AO179" s="273"/>
      <c r="AP179" s="541">
        <v>38.658659171763034</v>
      </c>
      <c r="AR179" s="178">
        <v>0</v>
      </c>
    </row>
    <row r="180" spans="1:44" x14ac:dyDescent="0.25">
      <c r="A180" s="193">
        <v>5709</v>
      </c>
      <c r="B180" s="454" t="s">
        <v>200</v>
      </c>
      <c r="C180" s="446">
        <v>3863691.39</v>
      </c>
      <c r="D180" s="446">
        <v>746816.44</v>
      </c>
      <c r="E180" s="446"/>
      <c r="F180" s="446">
        <v>0</v>
      </c>
      <c r="G180" s="446">
        <v>4433.3500000000004</v>
      </c>
      <c r="H180" s="446">
        <v>7372.95</v>
      </c>
      <c r="I180" s="446">
        <v>503480.6</v>
      </c>
      <c r="J180" s="446">
        <v>65878.34</v>
      </c>
      <c r="K180" s="446">
        <v>6088.85</v>
      </c>
      <c r="L180" s="446">
        <v>364212.4</v>
      </c>
      <c r="M180" s="506">
        <f t="shared" si="8"/>
        <v>5561974.3199999994</v>
      </c>
      <c r="N180" s="446">
        <v>40941</v>
      </c>
      <c r="O180" s="446">
        <v>4819.2</v>
      </c>
      <c r="P180" s="446">
        <v>223130.95</v>
      </c>
      <c r="Q180" s="446">
        <v>45204.33</v>
      </c>
      <c r="R180" s="446">
        <v>221765</v>
      </c>
      <c r="S180" s="446">
        <v>1158.3069127349493</v>
      </c>
      <c r="T180" s="506">
        <f t="shared" si="9"/>
        <v>6098993.1069127349</v>
      </c>
      <c r="U180" s="446">
        <v>-48890.62</v>
      </c>
      <c r="V180" s="446"/>
      <c r="W180" s="446">
        <v>-9724.3799999999992</v>
      </c>
      <c r="X180" s="448">
        <v>57</v>
      </c>
      <c r="Y180" s="448">
        <v>1</v>
      </c>
      <c r="Z180" s="446">
        <v>1248</v>
      </c>
      <c r="AA180" s="269"/>
      <c r="AB180" s="446">
        <v>155405</v>
      </c>
      <c r="AC180" s="450">
        <f>AB180/VPI!R180</f>
        <v>1.59613131410419</v>
      </c>
      <c r="AD180" s="452">
        <f t="shared" si="10"/>
        <v>142008</v>
      </c>
      <c r="AE180" s="450">
        <f>AD180/VPI!R180</f>
        <v>1.4585336099437458</v>
      </c>
      <c r="AF180" s="446">
        <v>297413</v>
      </c>
      <c r="AG180" s="446">
        <v>52585</v>
      </c>
      <c r="AH180" s="446">
        <v>170893</v>
      </c>
      <c r="AI180" s="273"/>
      <c r="AJ180" s="446">
        <v>0</v>
      </c>
      <c r="AK180" s="450">
        <f>AJ180/VPI!R180</f>
        <v>0</v>
      </c>
      <c r="AL180" s="452">
        <f t="shared" si="11"/>
        <v>67156</v>
      </c>
      <c r="AM180" s="450">
        <f>AL180/VPI!R180</f>
        <v>0.68974482500550816</v>
      </c>
      <c r="AN180" s="446">
        <v>67156</v>
      </c>
      <c r="AO180" s="273"/>
      <c r="AP180" s="541">
        <v>39.833148951232637</v>
      </c>
      <c r="AR180" s="178">
        <v>0</v>
      </c>
    </row>
    <row r="181" spans="1:44" x14ac:dyDescent="0.25">
      <c r="A181" s="193">
        <v>5710</v>
      </c>
      <c r="B181" s="454" t="s">
        <v>201</v>
      </c>
      <c r="C181" s="446">
        <v>1527325.61</v>
      </c>
      <c r="D181" s="446">
        <v>255370.94</v>
      </c>
      <c r="E181" s="446"/>
      <c r="F181" s="446">
        <v>0</v>
      </c>
      <c r="G181" s="446">
        <v>67388.800000000003</v>
      </c>
      <c r="H181" s="446">
        <v>-22694.199999999899</v>
      </c>
      <c r="I181" s="446">
        <v>110957.8</v>
      </c>
      <c r="J181" s="446">
        <v>30135.7</v>
      </c>
      <c r="K181" s="446">
        <v>5015.25</v>
      </c>
      <c r="L181" s="446">
        <v>135779.20000000001</v>
      </c>
      <c r="M181" s="506">
        <f t="shared" si="8"/>
        <v>2109279.1</v>
      </c>
      <c r="N181" s="446">
        <v>29012.95</v>
      </c>
      <c r="O181" s="446">
        <v>5170.3</v>
      </c>
      <c r="P181" s="446">
        <v>63344</v>
      </c>
      <c r="Q181" s="446">
        <v>-320.83</v>
      </c>
      <c r="R181" s="446">
        <v>2291.65</v>
      </c>
      <c r="S181" s="446">
        <v>4384.9524526670903</v>
      </c>
      <c r="T181" s="506">
        <f t="shared" si="9"/>
        <v>2213162.122452667</v>
      </c>
      <c r="U181" s="446">
        <v>-3790.71</v>
      </c>
      <c r="V181" s="446"/>
      <c r="W181" s="446">
        <v>-13971.31</v>
      </c>
      <c r="X181" s="448">
        <v>51</v>
      </c>
      <c r="Y181" s="448">
        <v>1</v>
      </c>
      <c r="Z181" s="446">
        <v>509</v>
      </c>
      <c r="AA181" s="269"/>
      <c r="AB181" s="446">
        <v>0</v>
      </c>
      <c r="AC181" s="450">
        <f>AB181/VPI!R181</f>
        <v>0</v>
      </c>
      <c r="AD181" s="452">
        <f t="shared" si="10"/>
        <v>77728</v>
      </c>
      <c r="AE181" s="450">
        <f>AD181/VPI!R181</f>
        <v>1.8916604116129632</v>
      </c>
      <c r="AF181" s="446">
        <v>77728</v>
      </c>
      <c r="AG181" s="446">
        <v>20983</v>
      </c>
      <c r="AH181" s="446">
        <v>46321</v>
      </c>
      <c r="AI181" s="273"/>
      <c r="AJ181" s="446">
        <v>0</v>
      </c>
      <c r="AK181" s="450">
        <f>AJ181/VPI!R181</f>
        <v>0</v>
      </c>
      <c r="AL181" s="452">
        <f t="shared" si="11"/>
        <v>16681</v>
      </c>
      <c r="AM181" s="450">
        <f>AL181/VPI!R181</f>
        <v>0.40596422558300532</v>
      </c>
      <c r="AN181" s="446">
        <v>16681</v>
      </c>
      <c r="AO181" s="273"/>
      <c r="AP181" s="541">
        <v>47.999999999999993</v>
      </c>
      <c r="AR181" s="178">
        <v>0</v>
      </c>
    </row>
    <row r="182" spans="1:44" x14ac:dyDescent="0.25">
      <c r="A182" s="193">
        <v>5711</v>
      </c>
      <c r="B182" s="454" t="s">
        <v>202</v>
      </c>
      <c r="C182" s="446">
        <v>10413691.77</v>
      </c>
      <c r="D182" s="446">
        <v>2460536.0099999998</v>
      </c>
      <c r="E182" s="446"/>
      <c r="F182" s="446">
        <v>0</v>
      </c>
      <c r="G182" s="446">
        <v>46135</v>
      </c>
      <c r="H182" s="446">
        <v>8226.9</v>
      </c>
      <c r="I182" s="446">
        <v>181988.1</v>
      </c>
      <c r="J182" s="446">
        <v>184128.86</v>
      </c>
      <c r="K182" s="446">
        <v>14036.65</v>
      </c>
      <c r="L182" s="446">
        <v>1183990.3</v>
      </c>
      <c r="M182" s="506">
        <f t="shared" si="8"/>
        <v>14492733.59</v>
      </c>
      <c r="N182" s="446">
        <v>40394.75</v>
      </c>
      <c r="O182" s="446">
        <v>0</v>
      </c>
      <c r="P182" s="446">
        <v>734368.5</v>
      </c>
      <c r="Q182" s="446">
        <v>10623.89</v>
      </c>
      <c r="R182" s="446">
        <v>525442.6</v>
      </c>
      <c r="S182" s="446">
        <v>5333.4037386315813</v>
      </c>
      <c r="T182" s="506">
        <f t="shared" si="9"/>
        <v>15808896.733738631</v>
      </c>
      <c r="U182" s="446">
        <v>-66802.02</v>
      </c>
      <c r="V182" s="446"/>
      <c r="W182" s="446">
        <v>-140964.12</v>
      </c>
      <c r="X182" s="448">
        <v>55.5</v>
      </c>
      <c r="Y182" s="448">
        <v>1.3</v>
      </c>
      <c r="Z182" s="446">
        <v>2997</v>
      </c>
      <c r="AA182" s="269"/>
      <c r="AB182" s="446">
        <v>50176</v>
      </c>
      <c r="AC182" s="450">
        <f>AB182/VPI!R182</f>
        <v>0.19851926914594312</v>
      </c>
      <c r="AD182" s="452">
        <f t="shared" si="10"/>
        <v>581095</v>
      </c>
      <c r="AE182" s="450">
        <f>AD182/VPI!R182</f>
        <v>2.2990783383362925</v>
      </c>
      <c r="AF182" s="446">
        <v>631271</v>
      </c>
      <c r="AG182" s="446">
        <v>170646</v>
      </c>
      <c r="AH182" s="446">
        <v>162023</v>
      </c>
      <c r="AI182" s="273"/>
      <c r="AJ182" s="446">
        <v>0</v>
      </c>
      <c r="AK182" s="450">
        <f>AJ182/VPI!R182</f>
        <v>0</v>
      </c>
      <c r="AL182" s="452">
        <f t="shared" si="11"/>
        <v>0</v>
      </c>
      <c r="AM182" s="450">
        <f>AL182/VPI!R182</f>
        <v>0</v>
      </c>
      <c r="AN182" s="446">
        <v>0</v>
      </c>
      <c r="AO182" s="273"/>
      <c r="AP182" s="541">
        <v>40.600467304080631</v>
      </c>
      <c r="AR182" s="178">
        <v>0</v>
      </c>
    </row>
    <row r="183" spans="1:44" x14ac:dyDescent="0.25">
      <c r="A183" s="193">
        <v>5712</v>
      </c>
      <c r="B183" s="454" t="s">
        <v>203</v>
      </c>
      <c r="C183" s="446">
        <v>12726327.6</v>
      </c>
      <c r="D183" s="446">
        <v>4652788.47</v>
      </c>
      <c r="E183" s="446"/>
      <c r="F183" s="446">
        <v>0</v>
      </c>
      <c r="G183" s="446">
        <v>133659.20000000001</v>
      </c>
      <c r="H183" s="446">
        <v>29457.45</v>
      </c>
      <c r="I183" s="446">
        <v>1121150.23</v>
      </c>
      <c r="J183" s="446">
        <v>358802.08</v>
      </c>
      <c r="K183" s="446">
        <v>45987</v>
      </c>
      <c r="L183" s="446">
        <v>1809204.2</v>
      </c>
      <c r="M183" s="506">
        <f t="shared" si="8"/>
        <v>20877376.229999997</v>
      </c>
      <c r="N183" s="446">
        <v>122896.1</v>
      </c>
      <c r="O183" s="446">
        <v>160922.9</v>
      </c>
      <c r="P183" s="446">
        <v>529276.94999999995</v>
      </c>
      <c r="Q183" s="446">
        <v>21486.39</v>
      </c>
      <c r="R183" s="446">
        <v>927376.7</v>
      </c>
      <c r="S183" s="446">
        <v>16003.247696328846</v>
      </c>
      <c r="T183" s="506">
        <f t="shared" si="9"/>
        <v>22655338.517696325</v>
      </c>
      <c r="U183" s="446">
        <v>-20670.150000000001</v>
      </c>
      <c r="V183" s="446"/>
      <c r="W183" s="446">
        <v>-48473.31</v>
      </c>
      <c r="X183" s="448">
        <v>53</v>
      </c>
      <c r="Y183" s="448">
        <v>1.5</v>
      </c>
      <c r="Z183" s="446">
        <v>3247</v>
      </c>
      <c r="AA183" s="269"/>
      <c r="AB183" s="446">
        <v>160397</v>
      </c>
      <c r="AC183" s="450">
        <f>AB183/VPI!R183</f>
        <v>0.41995683257651212</v>
      </c>
      <c r="AD183" s="452">
        <f t="shared" si="10"/>
        <v>543869</v>
      </c>
      <c r="AE183" s="450">
        <f>AD183/VPI!R183</f>
        <v>1.4239761502805854</v>
      </c>
      <c r="AF183" s="446">
        <v>704266</v>
      </c>
      <c r="AG183" s="446">
        <v>291198</v>
      </c>
      <c r="AH183" s="446">
        <v>172631</v>
      </c>
      <c r="AI183" s="273"/>
      <c r="AJ183" s="446">
        <v>0</v>
      </c>
      <c r="AK183" s="450">
        <f>AJ183/VPI!R183</f>
        <v>0</v>
      </c>
      <c r="AL183" s="452">
        <f t="shared" si="11"/>
        <v>0</v>
      </c>
      <c r="AM183" s="450">
        <f>AL183/VPI!R183</f>
        <v>0</v>
      </c>
      <c r="AN183" s="446">
        <v>0</v>
      </c>
      <c r="AO183" s="273"/>
      <c r="AP183" s="541">
        <v>45.617709255587926</v>
      </c>
      <c r="AR183" s="178">
        <v>0</v>
      </c>
    </row>
    <row r="184" spans="1:44" x14ac:dyDescent="0.25">
      <c r="A184" s="193">
        <v>5713</v>
      </c>
      <c r="B184" s="454" t="s">
        <v>204</v>
      </c>
      <c r="C184" s="446">
        <v>10288116.029999999</v>
      </c>
      <c r="D184" s="446">
        <v>5113777.3</v>
      </c>
      <c r="E184" s="446"/>
      <c r="F184" s="446">
        <v>0</v>
      </c>
      <c r="G184" s="446">
        <v>30435.4</v>
      </c>
      <c r="H184" s="446">
        <v>3221.15</v>
      </c>
      <c r="I184" s="446">
        <v>828053.35</v>
      </c>
      <c r="J184" s="446">
        <v>204965.06</v>
      </c>
      <c r="K184" s="446">
        <v>10573.5</v>
      </c>
      <c r="L184" s="446">
        <v>840352.05</v>
      </c>
      <c r="M184" s="506">
        <f t="shared" si="8"/>
        <v>17319493.84</v>
      </c>
      <c r="N184" s="446">
        <v>47661.35</v>
      </c>
      <c r="O184" s="446">
        <v>600651.1</v>
      </c>
      <c r="P184" s="446">
        <v>897113.1</v>
      </c>
      <c r="Q184" s="446">
        <v>0</v>
      </c>
      <c r="R184" s="446">
        <v>446422.15</v>
      </c>
      <c r="S184" s="446">
        <v>3302.0179500613622</v>
      </c>
      <c r="T184" s="506">
        <f t="shared" si="9"/>
        <v>19314643.557950065</v>
      </c>
      <c r="U184" s="446">
        <v>-8309.74</v>
      </c>
      <c r="V184" s="446"/>
      <c r="W184" s="446">
        <v>-29766.61</v>
      </c>
      <c r="X184" s="448">
        <v>56</v>
      </c>
      <c r="Y184" s="448">
        <v>1</v>
      </c>
      <c r="Z184" s="446">
        <v>2340</v>
      </c>
      <c r="AA184" s="269"/>
      <c r="AB184" s="446">
        <v>15448</v>
      </c>
      <c r="AC184" s="450">
        <f>AB184/VPI!R184</f>
        <v>5.0049293516282116E-2</v>
      </c>
      <c r="AD184" s="452">
        <f t="shared" si="10"/>
        <v>324962</v>
      </c>
      <c r="AE184" s="450">
        <f>AD184/VPI!R184</f>
        <v>1.0528300439952141</v>
      </c>
      <c r="AF184" s="446">
        <v>340410</v>
      </c>
      <c r="AG184" s="446">
        <v>111272</v>
      </c>
      <c r="AH184" s="446">
        <v>123511</v>
      </c>
      <c r="AI184" s="273"/>
      <c r="AJ184" s="446">
        <v>0</v>
      </c>
      <c r="AK184" s="450">
        <f>AJ184/VPI!R184</f>
        <v>0</v>
      </c>
      <c r="AL184" s="452">
        <f t="shared" si="11"/>
        <v>30447</v>
      </c>
      <c r="AM184" s="450">
        <f>AL184/VPI!R184</f>
        <v>9.8643891745872708E-2</v>
      </c>
      <c r="AN184" s="446">
        <v>30447</v>
      </c>
      <c r="AO184" s="273"/>
      <c r="AP184" s="541">
        <v>47.147999370058763</v>
      </c>
      <c r="AR184" s="178">
        <v>1</v>
      </c>
    </row>
    <row r="185" spans="1:44" x14ac:dyDescent="0.25">
      <c r="A185" s="193">
        <v>5714</v>
      </c>
      <c r="B185" s="454" t="s">
        <v>205</v>
      </c>
      <c r="C185" s="446">
        <v>2837015.13</v>
      </c>
      <c r="D185" s="446">
        <v>464790.94</v>
      </c>
      <c r="E185" s="446"/>
      <c r="F185" s="446">
        <v>0</v>
      </c>
      <c r="G185" s="446">
        <v>-85584.25</v>
      </c>
      <c r="H185" s="446">
        <v>8520.9500000000007</v>
      </c>
      <c r="I185" s="446">
        <v>110782.45</v>
      </c>
      <c r="J185" s="446">
        <v>65008.5</v>
      </c>
      <c r="K185" s="446">
        <v>6742.5</v>
      </c>
      <c r="L185" s="446">
        <v>289820.05</v>
      </c>
      <c r="M185" s="506">
        <f t="shared" si="8"/>
        <v>3697096.27</v>
      </c>
      <c r="N185" s="446">
        <v>130763.45</v>
      </c>
      <c r="O185" s="446">
        <v>0</v>
      </c>
      <c r="P185" s="446">
        <v>175166.2</v>
      </c>
      <c r="Q185" s="446">
        <v>0</v>
      </c>
      <c r="R185" s="446">
        <v>73143.55</v>
      </c>
      <c r="S185" s="446">
        <v>0</v>
      </c>
      <c r="T185" s="506">
        <f t="shared" si="9"/>
        <v>4076169.47</v>
      </c>
      <c r="U185" s="446">
        <v>-19075.849999999999</v>
      </c>
      <c r="V185" s="446"/>
      <c r="W185" s="446">
        <v>-35557.89</v>
      </c>
      <c r="X185" s="448">
        <v>68</v>
      </c>
      <c r="Y185" s="448">
        <v>1</v>
      </c>
      <c r="Z185" s="446">
        <v>1174</v>
      </c>
      <c r="AA185" s="269"/>
      <c r="AB185" s="446">
        <v>0</v>
      </c>
      <c r="AC185" s="450">
        <f>AB185/VPI!R185</f>
        <v>0</v>
      </c>
      <c r="AD185" s="452">
        <f t="shared" si="10"/>
        <v>0</v>
      </c>
      <c r="AE185" s="450">
        <f>AD185/VPI!R185</f>
        <v>0</v>
      </c>
      <c r="AF185" s="446">
        <v>0</v>
      </c>
      <c r="AG185" s="446">
        <v>0</v>
      </c>
      <c r="AH185" s="446">
        <v>0</v>
      </c>
      <c r="AI185" s="273"/>
      <c r="AJ185" s="446">
        <v>0</v>
      </c>
      <c r="AK185" s="450">
        <f>AJ185/VPI!R185</f>
        <v>0</v>
      </c>
      <c r="AL185" s="452">
        <f t="shared" si="11"/>
        <v>0</v>
      </c>
      <c r="AM185" s="450">
        <f>AL185/VPI!R185</f>
        <v>0</v>
      </c>
      <c r="AN185" s="446">
        <v>0</v>
      </c>
      <c r="AO185" s="273"/>
      <c r="AP185" s="541">
        <v>35.872261234243759</v>
      </c>
      <c r="AR185" s="178">
        <v>0</v>
      </c>
    </row>
    <row r="186" spans="1:44" x14ac:dyDescent="0.25">
      <c r="A186" s="193">
        <v>5715</v>
      </c>
      <c r="B186" s="454" t="s">
        <v>206</v>
      </c>
      <c r="C186" s="446">
        <v>3155469.33</v>
      </c>
      <c r="D186" s="446">
        <v>575535.76</v>
      </c>
      <c r="E186" s="446"/>
      <c r="F186" s="446">
        <v>0</v>
      </c>
      <c r="G186" s="446">
        <v>25872</v>
      </c>
      <c r="H186" s="446">
        <v>9112.9</v>
      </c>
      <c r="I186" s="446">
        <v>267.19999999999698</v>
      </c>
      <c r="J186" s="446">
        <v>111145.55</v>
      </c>
      <c r="K186" s="446">
        <v>2940.5</v>
      </c>
      <c r="L186" s="446">
        <v>280968.40000000002</v>
      </c>
      <c r="M186" s="506">
        <f t="shared" si="8"/>
        <v>4161311.6399999997</v>
      </c>
      <c r="N186" s="446">
        <v>89546.35</v>
      </c>
      <c r="O186" s="446">
        <v>0</v>
      </c>
      <c r="P186" s="446">
        <v>242319</v>
      </c>
      <c r="Q186" s="446">
        <v>14698.53</v>
      </c>
      <c r="R186" s="446">
        <v>180000.6</v>
      </c>
      <c r="S186" s="446">
        <v>3432.3413356717115</v>
      </c>
      <c r="T186" s="506">
        <f t="shared" si="9"/>
        <v>4691308.4613356711</v>
      </c>
      <c r="U186" s="446">
        <v>-111564.9</v>
      </c>
      <c r="V186" s="446"/>
      <c r="W186" s="446">
        <v>-4776.46</v>
      </c>
      <c r="X186" s="448">
        <v>66</v>
      </c>
      <c r="Y186" s="448">
        <v>1</v>
      </c>
      <c r="Z186" s="446">
        <v>1128</v>
      </c>
      <c r="AA186" s="269"/>
      <c r="AB186" s="446">
        <v>0</v>
      </c>
      <c r="AC186" s="450">
        <f>AB186/VPI!R186</f>
        <v>0</v>
      </c>
      <c r="AD186" s="452">
        <f t="shared" si="10"/>
        <v>0</v>
      </c>
      <c r="AE186" s="450">
        <f>AD186/VPI!R186</f>
        <v>0</v>
      </c>
      <c r="AF186" s="446">
        <v>0</v>
      </c>
      <c r="AG186" s="446">
        <v>0</v>
      </c>
      <c r="AH186" s="446">
        <v>0</v>
      </c>
      <c r="AI186" s="273"/>
      <c r="AJ186" s="446">
        <v>0</v>
      </c>
      <c r="AK186" s="450">
        <f>AJ186/VPI!R186</f>
        <v>0</v>
      </c>
      <c r="AL186" s="452">
        <f t="shared" si="11"/>
        <v>0</v>
      </c>
      <c r="AM186" s="450">
        <f>AL186/VPI!R186</f>
        <v>0</v>
      </c>
      <c r="AN186" s="446">
        <v>0</v>
      </c>
      <c r="AO186" s="273"/>
      <c r="AP186" s="541">
        <v>37.420886070204858</v>
      </c>
      <c r="AR186" s="178">
        <v>0</v>
      </c>
    </row>
    <row r="187" spans="1:44" x14ac:dyDescent="0.25">
      <c r="A187" s="193">
        <v>5716</v>
      </c>
      <c r="B187" s="454" t="s">
        <v>207</v>
      </c>
      <c r="C187" s="446">
        <v>4063002.44</v>
      </c>
      <c r="D187" s="446">
        <v>533591.48</v>
      </c>
      <c r="E187" s="446"/>
      <c r="F187" s="446">
        <v>0</v>
      </c>
      <c r="G187" s="446">
        <v>9567108.0999999996</v>
      </c>
      <c r="H187" s="446">
        <v>1195545.6000000001</v>
      </c>
      <c r="I187" s="446">
        <v>0</v>
      </c>
      <c r="J187" s="446">
        <v>1090328.49</v>
      </c>
      <c r="K187" s="446">
        <v>191319.35</v>
      </c>
      <c r="L187" s="446">
        <v>648283.1</v>
      </c>
      <c r="M187" s="506">
        <f t="shared" si="8"/>
        <v>17289178.559999999</v>
      </c>
      <c r="N187" s="446">
        <v>574592.4</v>
      </c>
      <c r="O187" s="446">
        <v>104368.8</v>
      </c>
      <c r="P187" s="446">
        <v>1109474.6499999999</v>
      </c>
      <c r="Q187" s="446">
        <v>9607.18</v>
      </c>
      <c r="R187" s="446">
        <v>123842.9</v>
      </c>
      <c r="S187" s="446">
        <v>1055915.5857535705</v>
      </c>
      <c r="T187" s="506">
        <f t="shared" si="9"/>
        <v>20266980.075753566</v>
      </c>
      <c r="U187" s="446">
        <v>-54028.74</v>
      </c>
      <c r="V187" s="446"/>
      <c r="W187" s="446">
        <v>-1488.32</v>
      </c>
      <c r="X187" s="448">
        <v>59.5</v>
      </c>
      <c r="Y187" s="448">
        <v>1</v>
      </c>
      <c r="Z187" s="446">
        <v>1740</v>
      </c>
      <c r="AA187" s="269"/>
      <c r="AB187" s="446">
        <v>0</v>
      </c>
      <c r="AC187" s="450">
        <f>AB187/VPI!R187</f>
        <v>0</v>
      </c>
      <c r="AD187" s="452">
        <f t="shared" si="10"/>
        <v>0</v>
      </c>
      <c r="AE187" s="450">
        <f>AD187/VPI!R187</f>
        <v>0</v>
      </c>
      <c r="AF187" s="446">
        <v>0</v>
      </c>
      <c r="AG187" s="446">
        <v>0</v>
      </c>
      <c r="AH187" s="446">
        <v>0</v>
      </c>
      <c r="AI187" s="273"/>
      <c r="AJ187" s="446">
        <v>0</v>
      </c>
      <c r="AK187" s="450">
        <f>AJ187/VPI!R187</f>
        <v>0</v>
      </c>
      <c r="AL187" s="452">
        <f t="shared" si="11"/>
        <v>0</v>
      </c>
      <c r="AM187" s="450">
        <f>AL187/VPI!R187</f>
        <v>0</v>
      </c>
      <c r="AN187" s="446">
        <v>0</v>
      </c>
      <c r="AO187" s="273"/>
      <c r="AP187" s="541">
        <v>48</v>
      </c>
      <c r="AR187" s="178">
        <v>0</v>
      </c>
    </row>
    <row r="188" spans="1:44" x14ac:dyDescent="0.25">
      <c r="A188" s="193">
        <v>5717</v>
      </c>
      <c r="B188" s="454" t="s">
        <v>208</v>
      </c>
      <c r="C188" s="446">
        <v>16107344.529999999</v>
      </c>
      <c r="D188" s="446">
        <v>4014240.05</v>
      </c>
      <c r="E188" s="446"/>
      <c r="F188" s="446">
        <v>0</v>
      </c>
      <c r="G188" s="446">
        <v>72282.55</v>
      </c>
      <c r="H188" s="446">
        <v>35336.949999999997</v>
      </c>
      <c r="I188" s="446">
        <v>925308</v>
      </c>
      <c r="J188" s="446">
        <v>-287667.32</v>
      </c>
      <c r="K188" s="446">
        <v>41372</v>
      </c>
      <c r="L188" s="446">
        <v>1332232.8999999999</v>
      </c>
      <c r="M188" s="506">
        <f t="shared" si="8"/>
        <v>22240449.659999996</v>
      </c>
      <c r="N188" s="446">
        <v>222193.9</v>
      </c>
      <c r="O188" s="446">
        <v>244729.2</v>
      </c>
      <c r="P188" s="446">
        <v>998803.45</v>
      </c>
      <c r="Q188" s="446">
        <v>12068.44</v>
      </c>
      <c r="R188" s="446">
        <v>935119.25</v>
      </c>
      <c r="S188" s="446">
        <v>10558.465462937487</v>
      </c>
      <c r="T188" s="506">
        <f t="shared" si="9"/>
        <v>24663922.365462933</v>
      </c>
      <c r="U188" s="446">
        <v>-115528.89</v>
      </c>
      <c r="V188" s="446"/>
      <c r="W188" s="446">
        <v>-102206.5</v>
      </c>
      <c r="X188" s="448">
        <v>57</v>
      </c>
      <c r="Y188" s="448">
        <v>1</v>
      </c>
      <c r="Z188" s="446">
        <v>3834</v>
      </c>
      <c r="AA188" s="269"/>
      <c r="AB188" s="446">
        <v>0</v>
      </c>
      <c r="AC188" s="450">
        <f>AB188/VPI!R188</f>
        <v>0</v>
      </c>
      <c r="AD188" s="452">
        <f t="shared" si="10"/>
        <v>0</v>
      </c>
      <c r="AE188" s="450">
        <f>AD188/VPI!R188</f>
        <v>0</v>
      </c>
      <c r="AF188" s="446">
        <v>0</v>
      </c>
      <c r="AG188" s="446">
        <v>0</v>
      </c>
      <c r="AH188" s="446">
        <v>0</v>
      </c>
      <c r="AI188" s="273"/>
      <c r="AJ188" s="446">
        <v>0</v>
      </c>
      <c r="AK188" s="450">
        <f>AJ188/VPI!R188</f>
        <v>0</v>
      </c>
      <c r="AL188" s="452">
        <f t="shared" si="11"/>
        <v>0</v>
      </c>
      <c r="AM188" s="450">
        <f>AL188/VPI!R188</f>
        <v>0</v>
      </c>
      <c r="AN188" s="446">
        <v>0</v>
      </c>
      <c r="AO188" s="273"/>
      <c r="AP188" s="541">
        <v>40.769541831819019</v>
      </c>
      <c r="AR188" s="178">
        <v>0</v>
      </c>
    </row>
    <row r="189" spans="1:44" x14ac:dyDescent="0.25">
      <c r="A189" s="193">
        <v>5718</v>
      </c>
      <c r="B189" s="454" t="s">
        <v>209</v>
      </c>
      <c r="C189" s="446">
        <v>10057337.779999999</v>
      </c>
      <c r="D189" s="446">
        <v>1844585.49</v>
      </c>
      <c r="E189" s="446"/>
      <c r="F189" s="446">
        <v>0</v>
      </c>
      <c r="G189" s="446">
        <v>377437.85</v>
      </c>
      <c r="H189" s="446">
        <v>-57521.1</v>
      </c>
      <c r="I189" s="446">
        <v>345616.43</v>
      </c>
      <c r="J189" s="446">
        <v>183001.21</v>
      </c>
      <c r="K189" s="446">
        <v>41921.599999999999</v>
      </c>
      <c r="L189" s="446">
        <v>685761.5</v>
      </c>
      <c r="M189" s="506">
        <f t="shared" si="8"/>
        <v>13478140.76</v>
      </c>
      <c r="N189" s="446">
        <v>269907.05</v>
      </c>
      <c r="O189" s="446">
        <v>-40770.400000000001</v>
      </c>
      <c r="P189" s="446">
        <v>480990.65</v>
      </c>
      <c r="Q189" s="446">
        <v>2276.39</v>
      </c>
      <c r="R189" s="446">
        <v>383919.55</v>
      </c>
      <c r="S189" s="446">
        <v>31386.78358373907</v>
      </c>
      <c r="T189" s="506">
        <f t="shared" si="9"/>
        <v>14605850.783583742</v>
      </c>
      <c r="U189" s="446">
        <v>-26729.54</v>
      </c>
      <c r="V189" s="446"/>
      <c r="W189" s="446">
        <v>-12535.27</v>
      </c>
      <c r="X189" s="448">
        <v>55</v>
      </c>
      <c r="Y189" s="448">
        <v>1</v>
      </c>
      <c r="Z189" s="446">
        <v>1996</v>
      </c>
      <c r="AA189" s="269"/>
      <c r="AB189" s="446">
        <v>111481</v>
      </c>
      <c r="AC189" s="450">
        <f>AB189/VPI!R189</f>
        <v>0.45510760397547184</v>
      </c>
      <c r="AD189" s="452">
        <f t="shared" si="10"/>
        <v>367306</v>
      </c>
      <c r="AE189" s="450">
        <f>AD189/VPI!R189</f>
        <v>1.4994820066721204</v>
      </c>
      <c r="AF189" s="446">
        <v>478787</v>
      </c>
      <c r="AG189" s="446">
        <v>155095</v>
      </c>
      <c r="AH189" s="446">
        <v>124462</v>
      </c>
      <c r="AI189" s="273"/>
      <c r="AJ189" s="446">
        <v>27938</v>
      </c>
      <c r="AK189" s="450">
        <f>AJ189/VPI!R189</f>
        <v>0.11405348211683365</v>
      </c>
      <c r="AL189" s="452">
        <f t="shared" si="11"/>
        <v>1060</v>
      </c>
      <c r="AM189" s="450">
        <f>AL189/VPI!R189</f>
        <v>4.3273208906809248E-3</v>
      </c>
      <c r="AN189" s="446">
        <v>28998</v>
      </c>
      <c r="AO189" s="273"/>
      <c r="AP189" s="541">
        <v>40.211191338481157</v>
      </c>
      <c r="AR189" s="178">
        <v>0</v>
      </c>
    </row>
    <row r="190" spans="1:44" x14ac:dyDescent="0.25">
      <c r="A190" s="193">
        <v>5719</v>
      </c>
      <c r="B190" s="454" t="s">
        <v>210</v>
      </c>
      <c r="C190" s="446">
        <v>4694001.5</v>
      </c>
      <c r="D190" s="446">
        <v>2494921.4</v>
      </c>
      <c r="E190" s="446"/>
      <c r="F190" s="446">
        <v>0</v>
      </c>
      <c r="G190" s="446">
        <v>465106.15</v>
      </c>
      <c r="H190" s="446">
        <v>5786.1</v>
      </c>
      <c r="I190" s="446">
        <v>162245.15</v>
      </c>
      <c r="J190" s="446">
        <v>49408.41</v>
      </c>
      <c r="K190" s="446">
        <v>6062.8</v>
      </c>
      <c r="L190" s="446">
        <v>245952.5</v>
      </c>
      <c r="M190" s="506">
        <f t="shared" si="8"/>
        <v>8123484.0100000007</v>
      </c>
      <c r="N190" s="446">
        <v>52212.85</v>
      </c>
      <c r="O190" s="446">
        <v>12175.7</v>
      </c>
      <c r="P190" s="446">
        <v>292425.45</v>
      </c>
      <c r="Q190" s="446">
        <v>0</v>
      </c>
      <c r="R190" s="446">
        <v>108446.75</v>
      </c>
      <c r="S190" s="446">
        <v>46198.872494203431</v>
      </c>
      <c r="T190" s="506">
        <f t="shared" si="9"/>
        <v>8634943.6324942037</v>
      </c>
      <c r="U190" s="446">
        <v>-22774.959999999999</v>
      </c>
      <c r="V190" s="446"/>
      <c r="W190" s="446">
        <v>-12758.73</v>
      </c>
      <c r="X190" s="448">
        <v>57</v>
      </c>
      <c r="Y190" s="448">
        <v>0.6</v>
      </c>
      <c r="Z190" s="446">
        <v>1257</v>
      </c>
      <c r="AA190" s="269"/>
      <c r="AB190" s="446">
        <v>0</v>
      </c>
      <c r="AC190" s="450">
        <f>AB190/VPI!R190</f>
        <v>0</v>
      </c>
      <c r="AD190" s="452">
        <f t="shared" si="10"/>
        <v>0</v>
      </c>
      <c r="AE190" s="450">
        <f>AD190/VPI!R190</f>
        <v>0</v>
      </c>
      <c r="AF190" s="446">
        <v>0</v>
      </c>
      <c r="AG190" s="446">
        <v>0</v>
      </c>
      <c r="AH190" s="446">
        <v>0</v>
      </c>
      <c r="AI190" s="273"/>
      <c r="AJ190" s="446">
        <v>0</v>
      </c>
      <c r="AK190" s="450">
        <f>AJ190/VPI!R190</f>
        <v>0</v>
      </c>
      <c r="AL190" s="452">
        <f t="shared" si="11"/>
        <v>0</v>
      </c>
      <c r="AM190" s="450">
        <f>AL190/VPI!R190</f>
        <v>0</v>
      </c>
      <c r="AN190" s="446">
        <v>0</v>
      </c>
      <c r="AO190" s="273"/>
      <c r="AP190" s="541">
        <v>46.715157165272451</v>
      </c>
      <c r="AR190" s="178">
        <v>0</v>
      </c>
    </row>
    <row r="191" spans="1:44" x14ac:dyDescent="0.25">
      <c r="A191" s="193">
        <v>5720</v>
      </c>
      <c r="B191" s="454" t="s">
        <v>211</v>
      </c>
      <c r="C191" s="446">
        <v>3912817.1</v>
      </c>
      <c r="D191" s="446">
        <v>1042942.18</v>
      </c>
      <c r="E191" s="446"/>
      <c r="F191" s="446">
        <v>0</v>
      </c>
      <c r="G191" s="446">
        <v>31672.799999999999</v>
      </c>
      <c r="H191" s="446">
        <v>13651.6</v>
      </c>
      <c r="I191" s="446">
        <v>324111.55</v>
      </c>
      <c r="J191" s="446">
        <v>36650.199999999997</v>
      </c>
      <c r="K191" s="446">
        <v>0</v>
      </c>
      <c r="L191" s="446">
        <v>277389.84999999998</v>
      </c>
      <c r="M191" s="506">
        <f t="shared" ref="M191:M253" si="12">SUM(C191:L191)</f>
        <v>5639235.2799999993</v>
      </c>
      <c r="N191" s="446">
        <v>9872.7000000000007</v>
      </c>
      <c r="O191" s="446">
        <v>0</v>
      </c>
      <c r="P191" s="446">
        <v>223479.45</v>
      </c>
      <c r="Q191" s="446">
        <v>1506.3</v>
      </c>
      <c r="R191" s="446">
        <v>336799.65</v>
      </c>
      <c r="S191" s="446">
        <v>4446.7416409513517</v>
      </c>
      <c r="T191" s="506">
        <f t="shared" si="9"/>
        <v>6215340.1216409514</v>
      </c>
      <c r="U191" s="446">
        <v>-24457.919999999998</v>
      </c>
      <c r="V191" s="446"/>
      <c r="W191" s="446">
        <v>-13000.22</v>
      </c>
      <c r="X191" s="448">
        <v>67</v>
      </c>
      <c r="Y191" s="448">
        <v>0.9</v>
      </c>
      <c r="Z191" s="446">
        <v>1031</v>
      </c>
      <c r="AA191" s="269"/>
      <c r="AB191" s="446">
        <v>99488</v>
      </c>
      <c r="AC191" s="450">
        <f>AB191/VPI!R191</f>
        <v>1.1821646507447756</v>
      </c>
      <c r="AD191" s="452">
        <f t="shared" si="10"/>
        <v>148020</v>
      </c>
      <c r="AE191" s="450">
        <f>AD191/VPI!R191</f>
        <v>1.7588454045034745</v>
      </c>
      <c r="AF191" s="446">
        <v>247508</v>
      </c>
      <c r="AG191" s="446">
        <v>120383</v>
      </c>
      <c r="AH191" s="446">
        <v>65236</v>
      </c>
      <c r="AI191" s="273"/>
      <c r="AJ191" s="446">
        <v>0</v>
      </c>
      <c r="AK191" s="450">
        <f>AJ191/VPI!R191</f>
        <v>0</v>
      </c>
      <c r="AL191" s="452">
        <f t="shared" si="11"/>
        <v>156627</v>
      </c>
      <c r="AM191" s="450">
        <f>AL191/VPI!R191</f>
        <v>1.8611179514333582</v>
      </c>
      <c r="AN191" s="446">
        <v>156627</v>
      </c>
      <c r="AO191" s="273"/>
      <c r="AP191" s="541">
        <v>41.982438747656602</v>
      </c>
      <c r="AR191" s="178">
        <v>0</v>
      </c>
    </row>
    <row r="192" spans="1:44" x14ac:dyDescent="0.25">
      <c r="A192" s="193">
        <v>5721</v>
      </c>
      <c r="B192" s="454" t="s">
        <v>212</v>
      </c>
      <c r="C192" s="446">
        <v>25541606.73</v>
      </c>
      <c r="D192" s="446">
        <v>5504031.6900000004</v>
      </c>
      <c r="E192" s="446"/>
      <c r="F192" s="446">
        <v>0</v>
      </c>
      <c r="G192" s="446">
        <v>3274072.85</v>
      </c>
      <c r="H192" s="446">
        <v>504382.5</v>
      </c>
      <c r="I192" s="446">
        <v>570158.6</v>
      </c>
      <c r="J192" s="446">
        <v>1086520.6299999999</v>
      </c>
      <c r="K192" s="446">
        <v>512957.5</v>
      </c>
      <c r="L192" s="446">
        <v>2975096.15</v>
      </c>
      <c r="M192" s="506">
        <f t="shared" si="12"/>
        <v>39968826.650000006</v>
      </c>
      <c r="N192" s="446">
        <v>2223465.7000000002</v>
      </c>
      <c r="O192" s="446">
        <v>238437</v>
      </c>
      <c r="P192" s="446">
        <v>2072198.5</v>
      </c>
      <c r="Q192" s="446">
        <v>150029.39000000001</v>
      </c>
      <c r="R192" s="446">
        <v>766926.3</v>
      </c>
      <c r="S192" s="446">
        <v>370701.31636205694</v>
      </c>
      <c r="T192" s="506">
        <f t="shared" si="9"/>
        <v>45790584.856362067</v>
      </c>
      <c r="U192" s="446">
        <v>-813563.98</v>
      </c>
      <c r="V192" s="446"/>
      <c r="W192" s="446">
        <v>-40976.54</v>
      </c>
      <c r="X192" s="448">
        <v>61</v>
      </c>
      <c r="Y192" s="448">
        <v>1</v>
      </c>
      <c r="Z192" s="446">
        <v>13243</v>
      </c>
      <c r="AA192" s="269"/>
      <c r="AB192" s="446">
        <v>1298998</v>
      </c>
      <c r="AC192" s="450">
        <f>AB192/VPI!R192</f>
        <v>1.9992139356758001</v>
      </c>
      <c r="AD192" s="452">
        <f t="shared" si="10"/>
        <v>1680747</v>
      </c>
      <c r="AE192" s="450">
        <f>AD192/VPI!R192</f>
        <v>2.5867421079518937</v>
      </c>
      <c r="AF192" s="446">
        <v>2979745</v>
      </c>
      <c r="AG192" s="446">
        <v>962690</v>
      </c>
      <c r="AH192" s="446">
        <v>45116</v>
      </c>
      <c r="AI192" s="273"/>
      <c r="AJ192" s="446">
        <v>0</v>
      </c>
      <c r="AK192" s="450">
        <f>AJ192/VPI!R192</f>
        <v>0</v>
      </c>
      <c r="AL192" s="452">
        <f t="shared" si="11"/>
        <v>40811</v>
      </c>
      <c r="AM192" s="450">
        <f>AL192/VPI!R192</f>
        <v>6.2809888798031316E-2</v>
      </c>
      <c r="AN192" s="446">
        <v>40811</v>
      </c>
      <c r="AO192" s="273"/>
      <c r="AP192" s="541">
        <v>23.776580934748509</v>
      </c>
      <c r="AR192" s="178">
        <v>0</v>
      </c>
    </row>
    <row r="193" spans="1:44" x14ac:dyDescent="0.25">
      <c r="A193" s="193">
        <v>5722</v>
      </c>
      <c r="B193" s="454" t="s">
        <v>213</v>
      </c>
      <c r="C193" s="446">
        <v>1316073.32</v>
      </c>
      <c r="D193" s="446">
        <v>181810.65</v>
      </c>
      <c r="E193" s="446"/>
      <c r="F193" s="446">
        <v>0</v>
      </c>
      <c r="G193" s="446">
        <v>8334.5499999999993</v>
      </c>
      <c r="H193" s="446">
        <v>1812.35</v>
      </c>
      <c r="I193" s="446">
        <v>0</v>
      </c>
      <c r="J193" s="446">
        <v>-18719.46</v>
      </c>
      <c r="K193" s="446">
        <v>6180.6</v>
      </c>
      <c r="L193" s="446">
        <v>87955.05</v>
      </c>
      <c r="M193" s="506">
        <f t="shared" si="12"/>
        <v>1583447.0600000003</v>
      </c>
      <c r="N193" s="446">
        <v>22755.3</v>
      </c>
      <c r="O193" s="446">
        <v>0</v>
      </c>
      <c r="P193" s="446">
        <v>9605.25</v>
      </c>
      <c r="Q193" s="446">
        <v>0</v>
      </c>
      <c r="R193" s="446">
        <v>4608.2</v>
      </c>
      <c r="S193" s="446">
        <v>995.50446904027979</v>
      </c>
      <c r="T193" s="506">
        <f t="shared" si="9"/>
        <v>1621411.3144690406</v>
      </c>
      <c r="U193" s="446">
        <v>-672.99</v>
      </c>
      <c r="V193" s="446"/>
      <c r="W193" s="446">
        <v>-1403.84</v>
      </c>
      <c r="X193" s="448">
        <v>62</v>
      </c>
      <c r="Y193" s="448">
        <v>1</v>
      </c>
      <c r="Z193" s="446">
        <v>405</v>
      </c>
      <c r="AA193" s="269"/>
      <c r="AB193" s="446">
        <v>0</v>
      </c>
      <c r="AC193" s="450">
        <f>AB193/VPI!R193</f>
        <v>0</v>
      </c>
      <c r="AD193" s="452">
        <f t="shared" si="10"/>
        <v>0</v>
      </c>
      <c r="AE193" s="450">
        <f>AD193/VPI!R193</f>
        <v>0</v>
      </c>
      <c r="AF193" s="446">
        <v>0</v>
      </c>
      <c r="AG193" s="446">
        <v>0</v>
      </c>
      <c r="AH193" s="446">
        <v>0</v>
      </c>
      <c r="AI193" s="273"/>
      <c r="AJ193" s="446">
        <v>0</v>
      </c>
      <c r="AK193" s="450">
        <f>AJ193/VPI!R193</f>
        <v>0</v>
      </c>
      <c r="AL193" s="452">
        <f t="shared" si="11"/>
        <v>0</v>
      </c>
      <c r="AM193" s="450">
        <f>AL193/VPI!R193</f>
        <v>0</v>
      </c>
      <c r="AN193" s="446">
        <v>0</v>
      </c>
      <c r="AO193" s="273"/>
      <c r="AP193" s="541">
        <v>34.22427414475235</v>
      </c>
      <c r="AR193" s="178">
        <v>0</v>
      </c>
    </row>
    <row r="194" spans="1:44" x14ac:dyDescent="0.25">
      <c r="A194" s="193">
        <v>5723</v>
      </c>
      <c r="B194" s="454" t="s">
        <v>214</v>
      </c>
      <c r="C194" s="446">
        <v>7107772.0099999998</v>
      </c>
      <c r="D194" s="446">
        <v>1488527.3</v>
      </c>
      <c r="E194" s="446"/>
      <c r="F194" s="446">
        <v>0</v>
      </c>
      <c r="G194" s="446">
        <v>298019.84999999998</v>
      </c>
      <c r="H194" s="446">
        <v>21372.45</v>
      </c>
      <c r="I194" s="446">
        <v>472945.47</v>
      </c>
      <c r="J194" s="446">
        <v>121417.13</v>
      </c>
      <c r="K194" s="446">
        <v>41667.85</v>
      </c>
      <c r="L194" s="446">
        <v>834188</v>
      </c>
      <c r="M194" s="506">
        <f t="shared" si="12"/>
        <v>10385910.060000001</v>
      </c>
      <c r="N194" s="446">
        <v>92665.45</v>
      </c>
      <c r="O194" s="446">
        <v>163699.20000000001</v>
      </c>
      <c r="P194" s="446">
        <v>622549.6</v>
      </c>
      <c r="Q194" s="446">
        <v>29262.59</v>
      </c>
      <c r="R194" s="446">
        <v>448780.75</v>
      </c>
      <c r="S194" s="446">
        <v>31335.33020203745</v>
      </c>
      <c r="T194" s="506">
        <f t="shared" si="9"/>
        <v>11774202.980202036</v>
      </c>
      <c r="U194" s="446">
        <v>-63187.28</v>
      </c>
      <c r="V194" s="446"/>
      <c r="W194" s="446">
        <v>-104426.37</v>
      </c>
      <c r="X194" s="448">
        <v>52</v>
      </c>
      <c r="Y194" s="448">
        <v>1</v>
      </c>
      <c r="Z194" s="446">
        <v>2172</v>
      </c>
      <c r="AA194" s="269"/>
      <c r="AB194" s="446">
        <v>0</v>
      </c>
      <c r="AC194" s="450">
        <f>AB194/VPI!R194</f>
        <v>0</v>
      </c>
      <c r="AD194" s="452">
        <f t="shared" si="10"/>
        <v>0</v>
      </c>
      <c r="AE194" s="450">
        <f>AD194/VPI!R194</f>
        <v>0</v>
      </c>
      <c r="AF194" s="446">
        <v>0</v>
      </c>
      <c r="AG194" s="446">
        <v>0</v>
      </c>
      <c r="AH194" s="446">
        <v>0</v>
      </c>
      <c r="AI194" s="273"/>
      <c r="AJ194" s="446">
        <v>0</v>
      </c>
      <c r="AK194" s="450">
        <f>AJ194/VPI!R194</f>
        <v>0</v>
      </c>
      <c r="AL194" s="452">
        <f t="shared" si="11"/>
        <v>0</v>
      </c>
      <c r="AM194" s="450">
        <f>AL194/VPI!R194</f>
        <v>0</v>
      </c>
      <c r="AN194" s="446">
        <v>0</v>
      </c>
      <c r="AO194" s="273"/>
      <c r="AP194" s="541">
        <v>41.263197462535089</v>
      </c>
      <c r="AR194" s="178">
        <v>0</v>
      </c>
    </row>
    <row r="195" spans="1:44" x14ac:dyDescent="0.25">
      <c r="A195" s="193">
        <v>5724</v>
      </c>
      <c r="B195" s="454" t="s">
        <v>63</v>
      </c>
      <c r="C195" s="446">
        <v>55961942.75</v>
      </c>
      <c r="D195" s="446">
        <v>10392603.390000001</v>
      </c>
      <c r="E195" s="446"/>
      <c r="F195" s="446">
        <v>0</v>
      </c>
      <c r="G195" s="446">
        <v>6917965.6500000004</v>
      </c>
      <c r="H195" s="446">
        <v>1090769.95</v>
      </c>
      <c r="I195" s="446">
        <v>1912327.79</v>
      </c>
      <c r="J195" s="446">
        <v>3427119.1</v>
      </c>
      <c r="K195" s="446">
        <v>958188.35</v>
      </c>
      <c r="L195" s="446">
        <v>8360072.1500000004</v>
      </c>
      <c r="M195" s="506">
        <f t="shared" si="12"/>
        <v>89020989.13000001</v>
      </c>
      <c r="N195" s="446">
        <v>4660553.0999999996</v>
      </c>
      <c r="O195" s="446">
        <v>3180216.45</v>
      </c>
      <c r="P195" s="446">
        <v>3803960.5</v>
      </c>
      <c r="Q195" s="446">
        <v>174414.38</v>
      </c>
      <c r="R195" s="446">
        <v>6244454.2999999998</v>
      </c>
      <c r="S195" s="446">
        <v>785730.82233608153</v>
      </c>
      <c r="T195" s="506">
        <f t="shared" si="9"/>
        <v>107870318.68233608</v>
      </c>
      <c r="U195" s="446">
        <v>-889891.87</v>
      </c>
      <c r="V195" s="446"/>
      <c r="W195" s="446">
        <v>-119872.56</v>
      </c>
      <c r="X195" s="448">
        <v>61</v>
      </c>
      <c r="Y195" s="448">
        <v>1.5</v>
      </c>
      <c r="Z195" s="446">
        <v>21743</v>
      </c>
      <c r="AA195" s="269"/>
      <c r="AB195" s="446">
        <v>3071040</v>
      </c>
      <c r="AC195" s="450">
        <f>AB195/VPI!R195</f>
        <v>2.1736280945761108</v>
      </c>
      <c r="AD195" s="452">
        <f t="shared" si="10"/>
        <v>5005275</v>
      </c>
      <c r="AE195" s="450">
        <f>AD195/VPI!R195</f>
        <v>3.5426456057490112</v>
      </c>
      <c r="AF195" s="446">
        <v>8076315</v>
      </c>
      <c r="AG195" s="446">
        <v>4640795</v>
      </c>
      <c r="AH195" s="446">
        <v>127258</v>
      </c>
      <c r="AI195" s="273"/>
      <c r="AJ195" s="446">
        <v>49237</v>
      </c>
      <c r="AK195" s="450">
        <f>AJ195/VPI!R195</f>
        <v>3.4849082555956278E-2</v>
      </c>
      <c r="AL195" s="452">
        <f t="shared" si="11"/>
        <v>316910</v>
      </c>
      <c r="AM195" s="450">
        <f>AL195/VPI!R195</f>
        <v>0.22430332377699908</v>
      </c>
      <c r="AN195" s="446">
        <v>366147</v>
      </c>
      <c r="AO195" s="273"/>
      <c r="AP195" s="541">
        <v>27.420344463918884</v>
      </c>
      <c r="AR195" s="178">
        <v>1</v>
      </c>
    </row>
    <row r="196" spans="1:44" x14ac:dyDescent="0.25">
      <c r="A196" s="193">
        <v>5725</v>
      </c>
      <c r="B196" s="454" t="s">
        <v>64</v>
      </c>
      <c r="C196" s="446">
        <v>11722067.34</v>
      </c>
      <c r="D196" s="446">
        <v>3058268.7</v>
      </c>
      <c r="E196" s="446"/>
      <c r="F196" s="446">
        <v>0</v>
      </c>
      <c r="G196" s="446">
        <v>924047.65</v>
      </c>
      <c r="H196" s="446">
        <v>29289.5</v>
      </c>
      <c r="I196" s="446">
        <v>182065.3</v>
      </c>
      <c r="J196" s="446">
        <v>276974.82</v>
      </c>
      <c r="K196" s="446">
        <v>-14130.45</v>
      </c>
      <c r="L196" s="446">
        <v>1682065.45</v>
      </c>
      <c r="M196" s="506">
        <f t="shared" si="12"/>
        <v>17860648.310000002</v>
      </c>
      <c r="N196" s="446">
        <v>1101910.6000000001</v>
      </c>
      <c r="O196" s="446">
        <v>61383.1</v>
      </c>
      <c r="P196" s="446">
        <v>474229.25</v>
      </c>
      <c r="Q196" s="446">
        <v>12972.19</v>
      </c>
      <c r="R196" s="446">
        <v>609396.55000000005</v>
      </c>
      <c r="S196" s="446">
        <v>93531.166496873309</v>
      </c>
      <c r="T196" s="506">
        <f t="shared" si="9"/>
        <v>20214071.16649688</v>
      </c>
      <c r="U196" s="446">
        <v>-190443.67</v>
      </c>
      <c r="V196" s="446"/>
      <c r="W196" s="446">
        <v>-112665.15</v>
      </c>
      <c r="X196" s="448">
        <v>55</v>
      </c>
      <c r="Y196" s="448">
        <v>1.4</v>
      </c>
      <c r="Z196" s="446">
        <v>4101</v>
      </c>
      <c r="AA196" s="269"/>
      <c r="AB196" s="446">
        <v>143028</v>
      </c>
      <c r="AC196" s="450">
        <f>AB196/VPI!R196</f>
        <v>0.4577974013216668</v>
      </c>
      <c r="AD196" s="452">
        <f t="shared" si="10"/>
        <v>557747</v>
      </c>
      <c r="AE196" s="450">
        <f>AD196/VPI!R196</f>
        <v>1.7852107782738742</v>
      </c>
      <c r="AF196" s="446">
        <v>700775</v>
      </c>
      <c r="AG196" s="446">
        <v>1055752</v>
      </c>
      <c r="AH196" s="446">
        <v>84474</v>
      </c>
      <c r="AI196" s="273"/>
      <c r="AJ196" s="446">
        <v>0</v>
      </c>
      <c r="AK196" s="450">
        <f>AJ196/VPI!R196</f>
        <v>0</v>
      </c>
      <c r="AL196" s="452">
        <f t="shared" si="11"/>
        <v>21657</v>
      </c>
      <c r="AM196" s="450">
        <f>AL196/VPI!R196</f>
        <v>6.9318723050195333E-2</v>
      </c>
      <c r="AN196" s="446">
        <v>21657</v>
      </c>
      <c r="AO196" s="273"/>
      <c r="AP196" s="541">
        <v>38.927317140534676</v>
      </c>
      <c r="AR196" s="178">
        <v>1</v>
      </c>
    </row>
    <row r="197" spans="1:44" x14ac:dyDescent="0.25">
      <c r="A197" s="193">
        <v>5726</v>
      </c>
      <c r="B197" s="454" t="s">
        <v>269</v>
      </c>
      <c r="C197" s="446">
        <v>3309540.49</v>
      </c>
      <c r="D197" s="446">
        <v>655150.18999999994</v>
      </c>
      <c r="E197" s="446"/>
      <c r="F197" s="446">
        <v>0</v>
      </c>
      <c r="G197" s="446">
        <v>37122.199999999997</v>
      </c>
      <c r="H197" s="446">
        <v>-7922.6</v>
      </c>
      <c r="I197" s="446">
        <v>0</v>
      </c>
      <c r="J197" s="446">
        <v>123021.68</v>
      </c>
      <c r="K197" s="446">
        <v>6611.15</v>
      </c>
      <c r="L197" s="446">
        <v>266920.95</v>
      </c>
      <c r="M197" s="506">
        <f t="shared" si="12"/>
        <v>4390444.0600000005</v>
      </c>
      <c r="N197" s="446">
        <v>38077.35</v>
      </c>
      <c r="O197" s="446">
        <v>22827.8</v>
      </c>
      <c r="P197" s="446">
        <v>272060.79999999999</v>
      </c>
      <c r="Q197" s="446">
        <v>540.36</v>
      </c>
      <c r="R197" s="446">
        <v>234275.15</v>
      </c>
      <c r="S197" s="446">
        <v>2864.7500511672092</v>
      </c>
      <c r="T197" s="506">
        <f t="shared" si="9"/>
        <v>4961090.2700511673</v>
      </c>
      <c r="U197" s="446">
        <v>-76675.289999999994</v>
      </c>
      <c r="V197" s="446"/>
      <c r="W197" s="446">
        <v>-6701.86</v>
      </c>
      <c r="X197" s="448">
        <v>65</v>
      </c>
      <c r="Y197" s="448">
        <v>1</v>
      </c>
      <c r="Z197" s="446">
        <v>1131</v>
      </c>
      <c r="AA197" s="269"/>
      <c r="AB197" s="446">
        <v>0</v>
      </c>
      <c r="AC197" s="450">
        <f>AB197/VPI!R197</f>
        <v>0</v>
      </c>
      <c r="AD197" s="452">
        <f t="shared" si="10"/>
        <v>0</v>
      </c>
      <c r="AE197" s="450">
        <f>AD197/VPI!R197</f>
        <v>0</v>
      </c>
      <c r="AF197" s="446">
        <v>0</v>
      </c>
      <c r="AG197" s="446">
        <v>0</v>
      </c>
      <c r="AH197" s="446">
        <v>0</v>
      </c>
      <c r="AI197" s="273"/>
      <c r="AJ197" s="446">
        <v>0</v>
      </c>
      <c r="AK197" s="450">
        <f>AJ197/VPI!R197</f>
        <v>0</v>
      </c>
      <c r="AL197" s="452">
        <f t="shared" si="11"/>
        <v>0</v>
      </c>
      <c r="AM197" s="450">
        <f>AL197/VPI!R197</f>
        <v>0</v>
      </c>
      <c r="AN197" s="446">
        <v>0</v>
      </c>
      <c r="AO197" s="273"/>
      <c r="AP197" s="541">
        <v>34.060374736205361</v>
      </c>
      <c r="AR197" s="178">
        <v>0</v>
      </c>
    </row>
    <row r="198" spans="1:44" x14ac:dyDescent="0.25">
      <c r="A198" s="193">
        <v>5727</v>
      </c>
      <c r="B198" s="454" t="s">
        <v>270</v>
      </c>
      <c r="C198" s="446">
        <v>5348000.72</v>
      </c>
      <c r="D198" s="446">
        <v>843909.1</v>
      </c>
      <c r="E198" s="446"/>
      <c r="F198" s="446">
        <v>0</v>
      </c>
      <c r="G198" s="446">
        <v>42946.35</v>
      </c>
      <c r="H198" s="446">
        <v>5677.3</v>
      </c>
      <c r="I198" s="446">
        <v>117296</v>
      </c>
      <c r="J198" s="446">
        <v>162032.23000000001</v>
      </c>
      <c r="K198" s="446">
        <v>12987.55</v>
      </c>
      <c r="L198" s="446">
        <v>788108</v>
      </c>
      <c r="M198" s="506">
        <f t="shared" si="12"/>
        <v>7320957.2499999991</v>
      </c>
      <c r="N198" s="446">
        <v>191922.4</v>
      </c>
      <c r="O198" s="446">
        <v>28210.9</v>
      </c>
      <c r="P198" s="446">
        <v>440442.05</v>
      </c>
      <c r="Q198" s="446">
        <v>15197.2</v>
      </c>
      <c r="R198" s="446">
        <v>180763</v>
      </c>
      <c r="S198" s="446">
        <v>4770.42849304225</v>
      </c>
      <c r="T198" s="506">
        <f t="shared" ref="T198:T261" si="13">SUM(M198:S198)</f>
        <v>8182263.2284930423</v>
      </c>
      <c r="U198" s="446">
        <v>-139243.04999999999</v>
      </c>
      <c r="V198" s="446"/>
      <c r="W198" s="446">
        <v>-1787.6</v>
      </c>
      <c r="X198" s="448">
        <v>66</v>
      </c>
      <c r="Y198" s="448">
        <v>1.5</v>
      </c>
      <c r="Z198" s="446">
        <v>2674</v>
      </c>
      <c r="AA198" s="269"/>
      <c r="AB198" s="446">
        <v>136030</v>
      </c>
      <c r="AC198" s="450">
        <f>AB198/VPI!R198</f>
        <v>1.2941807819469151</v>
      </c>
      <c r="AD198" s="452">
        <f t="shared" si="10"/>
        <v>619563</v>
      </c>
      <c r="AE198" s="450">
        <f>AD198/VPI!R198</f>
        <v>5.8944830390750313</v>
      </c>
      <c r="AF198" s="446">
        <v>755593</v>
      </c>
      <c r="AG198" s="446">
        <v>240125</v>
      </c>
      <c r="AH198" s="446">
        <v>119935</v>
      </c>
      <c r="AI198" s="273"/>
      <c r="AJ198" s="446">
        <v>0</v>
      </c>
      <c r="AK198" s="450">
        <f>AJ198/VPI!R198</f>
        <v>0</v>
      </c>
      <c r="AL198" s="452">
        <f t="shared" si="11"/>
        <v>31669</v>
      </c>
      <c r="AM198" s="450">
        <f>AL198/VPI!R198</f>
        <v>0.30129685498402453</v>
      </c>
      <c r="AN198" s="446">
        <v>31669</v>
      </c>
      <c r="AO198" s="273"/>
      <c r="AP198" s="541">
        <v>23.556166430962161</v>
      </c>
      <c r="AR198" s="178">
        <v>0</v>
      </c>
    </row>
    <row r="199" spans="1:44" x14ac:dyDescent="0.25">
      <c r="A199" s="193">
        <v>5728</v>
      </c>
      <c r="B199" s="454" t="s">
        <v>271</v>
      </c>
      <c r="C199" s="446">
        <v>1683505.22</v>
      </c>
      <c r="D199" s="446">
        <v>236380.76</v>
      </c>
      <c r="E199" s="446"/>
      <c r="F199" s="446">
        <v>0</v>
      </c>
      <c r="G199" s="446">
        <v>678234.05</v>
      </c>
      <c r="H199" s="446">
        <v>5159.55</v>
      </c>
      <c r="I199" s="446">
        <v>29967.200000000001</v>
      </c>
      <c r="J199" s="446">
        <v>-123996.3</v>
      </c>
      <c r="K199" s="446">
        <v>51471.45</v>
      </c>
      <c r="L199" s="446">
        <v>226272.4</v>
      </c>
      <c r="M199" s="506">
        <f t="shared" si="12"/>
        <v>2786994.3300000005</v>
      </c>
      <c r="N199" s="446">
        <v>219621.1</v>
      </c>
      <c r="O199" s="446">
        <v>0</v>
      </c>
      <c r="P199" s="446">
        <v>86694.3</v>
      </c>
      <c r="Q199" s="446">
        <v>84.58</v>
      </c>
      <c r="R199" s="446">
        <v>23554.2</v>
      </c>
      <c r="S199" s="446">
        <v>67047.214707302264</v>
      </c>
      <c r="T199" s="506">
        <f t="shared" si="13"/>
        <v>3183995.7247073031</v>
      </c>
      <c r="U199" s="446">
        <v>-5243.87</v>
      </c>
      <c r="V199" s="446">
        <v>-4197.5</v>
      </c>
      <c r="W199" s="446">
        <v>-972.86</v>
      </c>
      <c r="X199" s="448">
        <v>58</v>
      </c>
      <c r="Y199" s="448">
        <v>1</v>
      </c>
      <c r="Z199" s="446">
        <v>581</v>
      </c>
      <c r="AA199" s="269"/>
      <c r="AB199" s="446">
        <v>0</v>
      </c>
      <c r="AC199" s="450">
        <f>AB199/VPI!R199</f>
        <v>0</v>
      </c>
      <c r="AD199" s="452">
        <f t="shared" ref="AD199:AD262" si="14">AF199-AB199</f>
        <v>0</v>
      </c>
      <c r="AE199" s="450">
        <f>AD199/VPI!R199</f>
        <v>0</v>
      </c>
      <c r="AF199" s="446">
        <v>0</v>
      </c>
      <c r="AG199" s="446">
        <v>0</v>
      </c>
      <c r="AH199" s="446">
        <v>0</v>
      </c>
      <c r="AI199" s="273"/>
      <c r="AJ199" s="446">
        <v>0</v>
      </c>
      <c r="AK199" s="450">
        <f>AJ199/VPI!R199</f>
        <v>0</v>
      </c>
      <c r="AL199" s="452">
        <f t="shared" ref="AL199:AL211" si="15">AN199-AJ199</f>
        <v>0</v>
      </c>
      <c r="AM199" s="450">
        <f>AL199/VPI!R199</f>
        <v>0</v>
      </c>
      <c r="AN199" s="446">
        <v>0</v>
      </c>
      <c r="AO199" s="273"/>
      <c r="AP199" s="541">
        <v>39.564560600829168</v>
      </c>
      <c r="AR199" s="178">
        <v>0</v>
      </c>
    </row>
    <row r="200" spans="1:44" x14ac:dyDescent="0.25">
      <c r="A200" s="193">
        <v>5729</v>
      </c>
      <c r="B200" s="454" t="s">
        <v>272</v>
      </c>
      <c r="C200" s="446">
        <v>4915059.9400000004</v>
      </c>
      <c r="D200" s="446">
        <v>1796236.97</v>
      </c>
      <c r="E200" s="446"/>
      <c r="F200" s="446">
        <v>0</v>
      </c>
      <c r="G200" s="446">
        <v>317257.34999999998</v>
      </c>
      <c r="H200" s="446">
        <v>17292.3</v>
      </c>
      <c r="I200" s="446">
        <v>137925.35</v>
      </c>
      <c r="J200" s="446">
        <v>129611.93</v>
      </c>
      <c r="K200" s="446">
        <v>5699.5</v>
      </c>
      <c r="L200" s="446">
        <v>867101.9</v>
      </c>
      <c r="M200" s="506">
        <f t="shared" si="12"/>
        <v>8186185.2399999993</v>
      </c>
      <c r="N200" s="446">
        <v>15293.7</v>
      </c>
      <c r="O200" s="446">
        <v>0</v>
      </c>
      <c r="P200" s="446">
        <v>590034.25</v>
      </c>
      <c r="Q200" s="446">
        <v>168519.2</v>
      </c>
      <c r="R200" s="446">
        <v>532620.6</v>
      </c>
      <c r="S200" s="446">
        <v>32822.406024584998</v>
      </c>
      <c r="T200" s="506">
        <f t="shared" si="13"/>
        <v>9525475.3960245829</v>
      </c>
      <c r="U200" s="446">
        <v>-174957.96</v>
      </c>
      <c r="V200" s="446"/>
      <c r="W200" s="446">
        <v>-15827.25</v>
      </c>
      <c r="X200" s="448">
        <v>60.5</v>
      </c>
      <c r="Y200" s="448">
        <v>1.5</v>
      </c>
      <c r="Z200" s="446">
        <v>1636</v>
      </c>
      <c r="AA200" s="269"/>
      <c r="AB200" s="446">
        <v>0</v>
      </c>
      <c r="AC200" s="450">
        <f>AB200/VPI!R200</f>
        <v>0</v>
      </c>
      <c r="AD200" s="452">
        <f t="shared" si="14"/>
        <v>0</v>
      </c>
      <c r="AE200" s="450">
        <f>AD200/VPI!R200</f>
        <v>0</v>
      </c>
      <c r="AF200" s="446">
        <v>0</v>
      </c>
      <c r="AG200" s="446">
        <v>0</v>
      </c>
      <c r="AH200" s="446">
        <v>0</v>
      </c>
      <c r="AI200" s="273"/>
      <c r="AJ200" s="446">
        <v>0</v>
      </c>
      <c r="AK200" s="450">
        <f>AJ200/VPI!R200</f>
        <v>0</v>
      </c>
      <c r="AL200" s="452">
        <f t="shared" si="15"/>
        <v>0</v>
      </c>
      <c r="AM200" s="450">
        <f>AL200/VPI!R200</f>
        <v>0</v>
      </c>
      <c r="AN200" s="446">
        <v>0</v>
      </c>
      <c r="AO200" s="273"/>
      <c r="AP200" s="541">
        <v>46.561780419734511</v>
      </c>
      <c r="AR200" s="178">
        <v>0</v>
      </c>
    </row>
    <row r="201" spans="1:44" x14ac:dyDescent="0.25">
      <c r="A201" s="193">
        <v>5730</v>
      </c>
      <c r="B201" s="454" t="s">
        <v>273</v>
      </c>
      <c r="C201" s="446">
        <v>4735299.1100000003</v>
      </c>
      <c r="D201" s="446">
        <v>1087007.96</v>
      </c>
      <c r="E201" s="446"/>
      <c r="F201" s="446">
        <v>0</v>
      </c>
      <c r="G201" s="446">
        <v>-6597.45</v>
      </c>
      <c r="H201" s="446">
        <v>2061.75</v>
      </c>
      <c r="I201" s="446">
        <v>66554.25</v>
      </c>
      <c r="J201" s="446">
        <v>-1891.14</v>
      </c>
      <c r="K201" s="446">
        <v>6900.7</v>
      </c>
      <c r="L201" s="446">
        <v>391099.5</v>
      </c>
      <c r="M201" s="506">
        <f t="shared" si="12"/>
        <v>6280434.6800000006</v>
      </c>
      <c r="N201" s="446">
        <v>7297.75</v>
      </c>
      <c r="O201" s="446">
        <v>0</v>
      </c>
      <c r="P201" s="446">
        <v>552401.6</v>
      </c>
      <c r="Q201" s="446">
        <v>1316.23</v>
      </c>
      <c r="R201" s="446">
        <v>258777.7</v>
      </c>
      <c r="S201" s="446">
        <v>0</v>
      </c>
      <c r="T201" s="506">
        <f t="shared" si="13"/>
        <v>7100227.9600000009</v>
      </c>
      <c r="U201" s="446">
        <v>-55826.86</v>
      </c>
      <c r="V201" s="446"/>
      <c r="W201" s="446">
        <v>-73593.2</v>
      </c>
      <c r="X201" s="448">
        <v>55.5</v>
      </c>
      <c r="Y201" s="448">
        <v>0.9</v>
      </c>
      <c r="Z201" s="446">
        <v>1445</v>
      </c>
      <c r="AA201" s="269"/>
      <c r="AB201" s="446">
        <v>68453</v>
      </c>
      <c r="AC201" s="450">
        <f>AB201/VPI!R201</f>
        <v>0.61318148906151348</v>
      </c>
      <c r="AD201" s="452">
        <f t="shared" si="14"/>
        <v>172099</v>
      </c>
      <c r="AE201" s="450">
        <f>AD201/VPI!R201</f>
        <v>1.5416113404233183</v>
      </c>
      <c r="AF201" s="446">
        <v>240552</v>
      </c>
      <c r="AG201" s="446">
        <v>101516</v>
      </c>
      <c r="AH201" s="446">
        <v>87027</v>
      </c>
      <c r="AI201" s="273"/>
      <c r="AJ201" s="446">
        <v>0</v>
      </c>
      <c r="AK201" s="450">
        <f>AJ201/VPI!R201</f>
        <v>0</v>
      </c>
      <c r="AL201" s="452">
        <f t="shared" si="15"/>
        <v>31729</v>
      </c>
      <c r="AM201" s="450">
        <f>AL201/VPI!R201</f>
        <v>0.28421888692143166</v>
      </c>
      <c r="AN201" s="446">
        <v>31729</v>
      </c>
      <c r="AO201" s="273"/>
      <c r="AP201" s="541">
        <v>42.665425348731937</v>
      </c>
      <c r="AR201" s="178">
        <v>0</v>
      </c>
    </row>
    <row r="202" spans="1:44" x14ac:dyDescent="0.25">
      <c r="A202" s="193">
        <v>5731</v>
      </c>
      <c r="B202" s="454" t="s">
        <v>274</v>
      </c>
      <c r="C202" s="446">
        <v>3955625.16</v>
      </c>
      <c r="D202" s="446">
        <v>479179.06</v>
      </c>
      <c r="E202" s="446"/>
      <c r="F202" s="446">
        <v>0</v>
      </c>
      <c r="G202" s="446">
        <v>5989.25</v>
      </c>
      <c r="H202" s="446">
        <v>3883.85</v>
      </c>
      <c r="I202" s="446">
        <v>0</v>
      </c>
      <c r="J202" s="446">
        <v>18094.62</v>
      </c>
      <c r="K202" s="446">
        <v>2622.5</v>
      </c>
      <c r="L202" s="446">
        <v>403398.85</v>
      </c>
      <c r="M202" s="506">
        <f t="shared" si="12"/>
        <v>4868793.2899999991</v>
      </c>
      <c r="N202" s="446">
        <v>25723.95</v>
      </c>
      <c r="O202" s="446">
        <v>1782</v>
      </c>
      <c r="P202" s="446">
        <v>164927.15</v>
      </c>
      <c r="Q202" s="446">
        <v>49018.96</v>
      </c>
      <c r="R202" s="446">
        <v>122290</v>
      </c>
      <c r="S202" s="446">
        <v>968.64216393988181</v>
      </c>
      <c r="T202" s="506">
        <f t="shared" si="13"/>
        <v>5233503.9921639394</v>
      </c>
      <c r="U202" s="446">
        <v>-51330.74</v>
      </c>
      <c r="V202" s="446"/>
      <c r="W202" s="446">
        <v>-1476.19</v>
      </c>
      <c r="X202" s="448">
        <v>74</v>
      </c>
      <c r="Y202" s="448">
        <v>1.5</v>
      </c>
      <c r="Z202" s="446">
        <v>1366</v>
      </c>
      <c r="AA202" s="269"/>
      <c r="AB202" s="446">
        <v>86500</v>
      </c>
      <c r="AC202" s="450">
        <f>AB202/VPI!R202</f>
        <v>1.3528457385029564</v>
      </c>
      <c r="AD202" s="452">
        <f t="shared" si="14"/>
        <v>288953</v>
      </c>
      <c r="AE202" s="450">
        <f>AD202/VPI!R202</f>
        <v>4.5191772795103438</v>
      </c>
      <c r="AF202" s="446">
        <v>375453</v>
      </c>
      <c r="AG202" s="446">
        <v>57852</v>
      </c>
      <c r="AH202" s="446">
        <v>130896</v>
      </c>
      <c r="AI202" s="273"/>
      <c r="AJ202" s="446">
        <v>0</v>
      </c>
      <c r="AK202" s="450">
        <f>AJ202/VPI!R202</f>
        <v>0</v>
      </c>
      <c r="AL202" s="452">
        <f t="shared" si="15"/>
        <v>75083</v>
      </c>
      <c r="AM202" s="450">
        <f>AL202/VPI!R202</f>
        <v>1.1742857408556933</v>
      </c>
      <c r="AN202" s="446">
        <v>75083</v>
      </c>
      <c r="AO202" s="273"/>
      <c r="AP202" s="541">
        <v>30.646944840358529</v>
      </c>
      <c r="AR202" s="178">
        <v>0</v>
      </c>
    </row>
    <row r="203" spans="1:44" x14ac:dyDescent="0.25">
      <c r="A203" s="193">
        <v>5732</v>
      </c>
      <c r="B203" s="454" t="s">
        <v>275</v>
      </c>
      <c r="C203" s="446">
        <v>3124539.72</v>
      </c>
      <c r="D203" s="446">
        <v>684152.23</v>
      </c>
      <c r="E203" s="446"/>
      <c r="F203" s="446">
        <v>0</v>
      </c>
      <c r="G203" s="446">
        <v>18145.900000000001</v>
      </c>
      <c r="H203" s="446">
        <v>9532.4</v>
      </c>
      <c r="I203" s="446">
        <v>257945.60000000001</v>
      </c>
      <c r="J203" s="446">
        <v>40696.36</v>
      </c>
      <c r="K203" s="446">
        <v>23683.599999999999</v>
      </c>
      <c r="L203" s="446">
        <v>367886.6</v>
      </c>
      <c r="M203" s="506">
        <f t="shared" si="12"/>
        <v>4526582.41</v>
      </c>
      <c r="N203" s="446">
        <v>118685.7</v>
      </c>
      <c r="O203" s="446">
        <v>0</v>
      </c>
      <c r="P203" s="446">
        <v>364237.1</v>
      </c>
      <c r="Q203" s="446">
        <v>3664.05</v>
      </c>
      <c r="R203" s="446">
        <v>166940.45000000001</v>
      </c>
      <c r="S203" s="446">
        <v>2715.496491089651</v>
      </c>
      <c r="T203" s="506">
        <f t="shared" si="13"/>
        <v>5182825.2064910894</v>
      </c>
      <c r="U203" s="446">
        <v>-53257.83</v>
      </c>
      <c r="V203" s="446"/>
      <c r="W203" s="446">
        <v>-6869.3</v>
      </c>
      <c r="X203" s="448">
        <v>63</v>
      </c>
      <c r="Y203" s="448">
        <v>1</v>
      </c>
      <c r="Z203" s="446">
        <v>1156</v>
      </c>
      <c r="AA203" s="269"/>
      <c r="AB203" s="446">
        <v>98137</v>
      </c>
      <c r="AC203" s="450">
        <f>AB203/VPI!R203</f>
        <v>1.3822623101086509</v>
      </c>
      <c r="AD203" s="452">
        <f t="shared" si="14"/>
        <v>255880</v>
      </c>
      <c r="AE203" s="450">
        <f>AD203/VPI!R203</f>
        <v>3.6040767489387444</v>
      </c>
      <c r="AF203" s="446">
        <v>354017</v>
      </c>
      <c r="AG203" s="446">
        <v>79739</v>
      </c>
      <c r="AH203" s="446">
        <v>110326</v>
      </c>
      <c r="AI203" s="273"/>
      <c r="AJ203" s="446">
        <v>0</v>
      </c>
      <c r="AK203" s="450">
        <f>AJ203/VPI!R203</f>
        <v>0</v>
      </c>
      <c r="AL203" s="452">
        <f t="shared" si="15"/>
        <v>5761</v>
      </c>
      <c r="AM203" s="450">
        <f>AL203/VPI!R203</f>
        <v>8.1143841451602736E-2</v>
      </c>
      <c r="AN203" s="446">
        <v>5761</v>
      </c>
      <c r="AO203" s="273"/>
      <c r="AP203" s="541">
        <v>35.497636006242757</v>
      </c>
      <c r="AR203" s="178">
        <v>0</v>
      </c>
    </row>
    <row r="204" spans="1:44" x14ac:dyDescent="0.25">
      <c r="A204" s="193">
        <v>5741</v>
      </c>
      <c r="B204" s="454" t="s">
        <v>276</v>
      </c>
      <c r="C204" s="446">
        <v>486921.99</v>
      </c>
      <c r="D204" s="446">
        <v>76110.460000000006</v>
      </c>
      <c r="E204" s="446"/>
      <c r="F204" s="446">
        <v>1440</v>
      </c>
      <c r="G204" s="446">
        <v>4585.6000000000004</v>
      </c>
      <c r="H204" s="446">
        <v>874.25</v>
      </c>
      <c r="I204" s="446">
        <v>0</v>
      </c>
      <c r="J204" s="446">
        <v>1112.07</v>
      </c>
      <c r="K204" s="446">
        <v>0</v>
      </c>
      <c r="L204" s="446">
        <v>47791.45</v>
      </c>
      <c r="M204" s="506">
        <f t="shared" si="12"/>
        <v>618835.81999999983</v>
      </c>
      <c r="N204" s="446">
        <v>10634.3</v>
      </c>
      <c r="O204" s="446">
        <v>0</v>
      </c>
      <c r="P204" s="446">
        <v>18196.75</v>
      </c>
      <c r="Q204" s="446">
        <v>565.82000000000005</v>
      </c>
      <c r="R204" s="446">
        <v>25927.95</v>
      </c>
      <c r="S204" s="446">
        <v>535.66163806577094</v>
      </c>
      <c r="T204" s="506">
        <f t="shared" si="13"/>
        <v>674696.3016380656</v>
      </c>
      <c r="U204" s="446">
        <v>-15207.92</v>
      </c>
      <c r="V204" s="446"/>
      <c r="W204" s="446">
        <v>-0.06</v>
      </c>
      <c r="X204" s="448">
        <v>81</v>
      </c>
      <c r="Y204" s="448">
        <v>1.2</v>
      </c>
      <c r="Z204" s="446">
        <v>256</v>
      </c>
      <c r="AA204" s="269"/>
      <c r="AB204" s="446">
        <v>50147</v>
      </c>
      <c r="AC204" s="450">
        <f>AB204/VPI!R204</f>
        <v>6.8065541079393963</v>
      </c>
      <c r="AD204" s="452">
        <f t="shared" si="14"/>
        <v>89003</v>
      </c>
      <c r="AE204" s="450">
        <f>AD204/VPI!R204</f>
        <v>12.080557865254754</v>
      </c>
      <c r="AF204" s="446">
        <v>139150</v>
      </c>
      <c r="AG204" s="446">
        <v>10846</v>
      </c>
      <c r="AH204" s="446">
        <v>28191</v>
      </c>
      <c r="AI204" s="273"/>
      <c r="AJ204" s="446">
        <v>0</v>
      </c>
      <c r="AK204" s="450">
        <f>AJ204/VPI!R204</f>
        <v>0</v>
      </c>
      <c r="AL204" s="452">
        <f t="shared" si="15"/>
        <v>31501</v>
      </c>
      <c r="AM204" s="450">
        <f>AL204/VPI!R204</f>
        <v>4.2756946767343793</v>
      </c>
      <c r="AN204" s="446">
        <v>31501</v>
      </c>
      <c r="AO204" s="273"/>
      <c r="AP204" s="541">
        <v>15.847426156325987</v>
      </c>
      <c r="AR204" s="178">
        <v>0</v>
      </c>
    </row>
    <row r="205" spans="1:44" x14ac:dyDescent="0.25">
      <c r="A205" s="193">
        <v>5742</v>
      </c>
      <c r="B205" s="454" t="s">
        <v>277</v>
      </c>
      <c r="C205" s="446">
        <v>547295</v>
      </c>
      <c r="D205" s="446">
        <v>63158.720000000001</v>
      </c>
      <c r="E205" s="446"/>
      <c r="F205" s="446">
        <v>0</v>
      </c>
      <c r="G205" s="446">
        <v>3172.35</v>
      </c>
      <c r="H205" s="446">
        <v>-38.450000000000003</v>
      </c>
      <c r="I205" s="446">
        <v>0</v>
      </c>
      <c r="J205" s="446">
        <v>24170.26</v>
      </c>
      <c r="K205" s="446">
        <v>-6690.2</v>
      </c>
      <c r="L205" s="446">
        <v>27056.5</v>
      </c>
      <c r="M205" s="506">
        <f t="shared" si="12"/>
        <v>658124.18000000005</v>
      </c>
      <c r="N205" s="446">
        <v>0</v>
      </c>
      <c r="O205" s="446">
        <v>178.2</v>
      </c>
      <c r="P205" s="446">
        <v>17490</v>
      </c>
      <c r="Q205" s="446">
        <v>5903.49</v>
      </c>
      <c r="R205" s="446">
        <v>14262</v>
      </c>
      <c r="S205" s="446">
        <v>307.46449216266382</v>
      </c>
      <c r="T205" s="506">
        <f t="shared" si="13"/>
        <v>696265.33449216268</v>
      </c>
      <c r="U205" s="446">
        <v>-10427.08</v>
      </c>
      <c r="V205" s="446"/>
      <c r="W205" s="446">
        <v>-62.6</v>
      </c>
      <c r="X205" s="448">
        <v>76</v>
      </c>
      <c r="Y205" s="448">
        <v>0.5</v>
      </c>
      <c r="Z205" s="446">
        <v>377</v>
      </c>
      <c r="AA205" s="269"/>
      <c r="AB205" s="446">
        <v>0</v>
      </c>
      <c r="AC205" s="450">
        <f>AB205/VPI!R205</f>
        <v>0</v>
      </c>
      <c r="AD205" s="452">
        <f t="shared" si="14"/>
        <v>49058</v>
      </c>
      <c r="AE205" s="450">
        <f>AD205/VPI!R205</f>
        <v>5.4756899659375469</v>
      </c>
      <c r="AF205" s="446">
        <v>49058</v>
      </c>
      <c r="AG205" s="446">
        <v>15736</v>
      </c>
      <c r="AH205" s="446">
        <v>42689</v>
      </c>
      <c r="AI205" s="273"/>
      <c r="AJ205" s="446">
        <v>0</v>
      </c>
      <c r="AK205" s="450">
        <f>AJ205/VPI!R205</f>
        <v>0</v>
      </c>
      <c r="AL205" s="452">
        <f t="shared" si="15"/>
        <v>19754</v>
      </c>
      <c r="AM205" s="450">
        <f>AL205/VPI!R205</f>
        <v>2.2048754451288333</v>
      </c>
      <c r="AN205" s="446">
        <v>19754</v>
      </c>
      <c r="AO205" s="273"/>
      <c r="AP205" s="541">
        <v>11.645673025677498</v>
      </c>
      <c r="AR205" s="178">
        <v>0</v>
      </c>
    </row>
    <row r="206" spans="1:44" x14ac:dyDescent="0.25">
      <c r="A206" s="193">
        <v>5743</v>
      </c>
      <c r="B206" s="454" t="s">
        <v>227</v>
      </c>
      <c r="C206" s="446">
        <v>1223125.02</v>
      </c>
      <c r="D206" s="446">
        <v>137962.57</v>
      </c>
      <c r="E206" s="446"/>
      <c r="F206" s="446">
        <v>0</v>
      </c>
      <c r="G206" s="446">
        <v>10959.5</v>
      </c>
      <c r="H206" s="446">
        <v>716</v>
      </c>
      <c r="I206" s="446">
        <v>0</v>
      </c>
      <c r="J206" s="446">
        <v>437.06</v>
      </c>
      <c r="K206" s="446">
        <v>0</v>
      </c>
      <c r="L206" s="446">
        <v>69445.100000000006</v>
      </c>
      <c r="M206" s="506">
        <f t="shared" si="12"/>
        <v>1442645.2500000002</v>
      </c>
      <c r="N206" s="446">
        <v>24432.05</v>
      </c>
      <c r="O206" s="446">
        <v>-33.799999999999997</v>
      </c>
      <c r="P206" s="446">
        <v>38323.949999999997</v>
      </c>
      <c r="Q206" s="446">
        <v>1628.95</v>
      </c>
      <c r="R206" s="446">
        <v>13143.1</v>
      </c>
      <c r="S206" s="446">
        <v>1145.4742264415524</v>
      </c>
      <c r="T206" s="506">
        <f t="shared" si="13"/>
        <v>1521284.9742264417</v>
      </c>
      <c r="U206" s="446">
        <v>-3376.36</v>
      </c>
      <c r="V206" s="446"/>
      <c r="W206" s="446">
        <v>-639.04999999999995</v>
      </c>
      <c r="X206" s="448">
        <v>71</v>
      </c>
      <c r="Y206" s="448">
        <v>0.8</v>
      </c>
      <c r="Z206" s="446">
        <v>637</v>
      </c>
      <c r="AA206" s="269"/>
      <c r="AB206" s="446">
        <v>47057</v>
      </c>
      <c r="AC206" s="450">
        <f>AB206/VPI!R206</f>
        <v>2.2903248741204161</v>
      </c>
      <c r="AD206" s="452">
        <f t="shared" si="14"/>
        <v>90100</v>
      </c>
      <c r="AE206" s="450">
        <f>AD206/VPI!R206</f>
        <v>4.3852831918364847</v>
      </c>
      <c r="AF206" s="446">
        <v>137157</v>
      </c>
      <c r="AG206" s="446">
        <v>70344</v>
      </c>
      <c r="AH206" s="446">
        <v>69831</v>
      </c>
      <c r="AI206" s="273"/>
      <c r="AJ206" s="446">
        <v>0</v>
      </c>
      <c r="AK206" s="450">
        <f>AJ206/VPI!R206</f>
        <v>0</v>
      </c>
      <c r="AL206" s="452">
        <f t="shared" si="15"/>
        <v>9326</v>
      </c>
      <c r="AM206" s="450">
        <f>AL206/VPI!R206</f>
        <v>0.4539084466933081</v>
      </c>
      <c r="AN206" s="446">
        <v>9326</v>
      </c>
      <c r="AO206" s="273"/>
      <c r="AP206" s="541">
        <v>19.563021882891178</v>
      </c>
      <c r="AR206" s="178">
        <v>0</v>
      </c>
    </row>
    <row r="207" spans="1:44" x14ac:dyDescent="0.25">
      <c r="A207" s="193">
        <v>5744</v>
      </c>
      <c r="B207" s="454" t="s">
        <v>228</v>
      </c>
      <c r="C207" s="446">
        <v>1370470.81</v>
      </c>
      <c r="D207" s="446">
        <v>144396.04999999999</v>
      </c>
      <c r="E207" s="446"/>
      <c r="F207" s="446">
        <v>0</v>
      </c>
      <c r="G207" s="446">
        <v>758789.9</v>
      </c>
      <c r="H207" s="446">
        <v>16975.3</v>
      </c>
      <c r="I207" s="446">
        <v>0</v>
      </c>
      <c r="J207" s="446">
        <v>125282.45</v>
      </c>
      <c r="K207" s="446">
        <v>0</v>
      </c>
      <c r="L207" s="446">
        <v>180433.55</v>
      </c>
      <c r="M207" s="506">
        <f t="shared" si="12"/>
        <v>2596348.06</v>
      </c>
      <c r="N207" s="446">
        <v>1275736.1499999999</v>
      </c>
      <c r="O207" s="446">
        <v>38907.9</v>
      </c>
      <c r="P207" s="446">
        <v>81541.3</v>
      </c>
      <c r="Q207" s="446">
        <v>318.24</v>
      </c>
      <c r="R207" s="446">
        <v>36949.5</v>
      </c>
      <c r="S207" s="446">
        <v>76109.720557601497</v>
      </c>
      <c r="T207" s="506">
        <f t="shared" si="13"/>
        <v>4105910.8705576016</v>
      </c>
      <c r="U207" s="446">
        <v>-58554.74</v>
      </c>
      <c r="V207" s="446"/>
      <c r="W207" s="446">
        <v>-1693.86</v>
      </c>
      <c r="X207" s="448">
        <v>65</v>
      </c>
      <c r="Y207" s="448">
        <v>1</v>
      </c>
      <c r="Z207" s="446">
        <v>1143</v>
      </c>
      <c r="AA207" s="269"/>
      <c r="AB207" s="446">
        <v>210992</v>
      </c>
      <c r="AC207" s="450">
        <f>AB207/VPI!R207</f>
        <v>5.2495066241535815</v>
      </c>
      <c r="AD207" s="452">
        <f t="shared" si="14"/>
        <v>383921</v>
      </c>
      <c r="AE207" s="450">
        <f>AD207/VPI!R207</f>
        <v>9.5520011784886023</v>
      </c>
      <c r="AF207" s="446">
        <v>594913</v>
      </c>
      <c r="AG207" s="446">
        <v>49252</v>
      </c>
      <c r="AH207" s="446">
        <v>121571</v>
      </c>
      <c r="AI207" s="273"/>
      <c r="AJ207" s="446">
        <v>0</v>
      </c>
      <c r="AK207" s="450">
        <f>AJ207/VPI!R207</f>
        <v>0</v>
      </c>
      <c r="AL207" s="452">
        <f t="shared" si="15"/>
        <v>96819</v>
      </c>
      <c r="AM207" s="450">
        <f>AL207/VPI!R207</f>
        <v>2.4088684966440699</v>
      </c>
      <c r="AN207" s="446">
        <v>96819</v>
      </c>
      <c r="AO207" s="273"/>
      <c r="AP207" s="541">
        <v>34.207401471593947</v>
      </c>
      <c r="AR207" s="178">
        <v>0</v>
      </c>
    </row>
    <row r="208" spans="1:44" x14ac:dyDescent="0.25">
      <c r="A208" s="193">
        <v>5745</v>
      </c>
      <c r="B208" s="454" t="s">
        <v>229</v>
      </c>
      <c r="C208" s="446">
        <v>1680922.99</v>
      </c>
      <c r="D208" s="446">
        <v>205342.68</v>
      </c>
      <c r="E208" s="446"/>
      <c r="F208" s="446">
        <v>0</v>
      </c>
      <c r="G208" s="446">
        <v>7853.7</v>
      </c>
      <c r="H208" s="446">
        <v>6092.25</v>
      </c>
      <c r="I208" s="446">
        <v>0</v>
      </c>
      <c r="J208" s="446">
        <v>29002.38</v>
      </c>
      <c r="K208" s="446">
        <v>0</v>
      </c>
      <c r="L208" s="446">
        <v>136327</v>
      </c>
      <c r="M208" s="506">
        <f t="shared" si="12"/>
        <v>2065540.9999999998</v>
      </c>
      <c r="N208" s="446">
        <v>205276.15</v>
      </c>
      <c r="O208" s="446">
        <v>3960</v>
      </c>
      <c r="P208" s="446">
        <v>61580.6</v>
      </c>
      <c r="Q208" s="446">
        <v>14623.15</v>
      </c>
      <c r="R208" s="446">
        <v>23032.15</v>
      </c>
      <c r="S208" s="446">
        <v>1368.2263104999843</v>
      </c>
      <c r="T208" s="506">
        <f t="shared" si="13"/>
        <v>2375381.2763104998</v>
      </c>
      <c r="U208" s="446">
        <v>-29461.5</v>
      </c>
      <c r="V208" s="446"/>
      <c r="W208" s="446">
        <v>-64.849999999999994</v>
      </c>
      <c r="X208" s="448">
        <v>76.5</v>
      </c>
      <c r="Y208" s="448">
        <v>1</v>
      </c>
      <c r="Z208" s="446">
        <v>1074</v>
      </c>
      <c r="AA208" s="269"/>
      <c r="AB208" s="446">
        <v>23733</v>
      </c>
      <c r="AC208" s="450">
        <f>AB208/VPI!R208</f>
        <v>0.88478029631540467</v>
      </c>
      <c r="AD208" s="452">
        <f t="shared" si="14"/>
        <v>148031</v>
      </c>
      <c r="AE208" s="450">
        <f>AD208/VPI!R208</f>
        <v>5.5186833541425724</v>
      </c>
      <c r="AF208" s="446">
        <v>171764</v>
      </c>
      <c r="AG208" s="446">
        <v>115794</v>
      </c>
      <c r="AH208" s="446">
        <v>82778</v>
      </c>
      <c r="AI208" s="273"/>
      <c r="AJ208" s="446">
        <v>0</v>
      </c>
      <c r="AK208" s="450">
        <f>AJ208/VPI!R208</f>
        <v>0</v>
      </c>
      <c r="AL208" s="452">
        <f t="shared" si="15"/>
        <v>428376</v>
      </c>
      <c r="AM208" s="450">
        <f>AL208/VPI!R208</f>
        <v>15.970110993739006</v>
      </c>
      <c r="AN208" s="446">
        <v>428376</v>
      </c>
      <c r="AO208" s="273"/>
      <c r="AP208" s="541">
        <v>12.347641807649463</v>
      </c>
      <c r="AR208" s="178">
        <v>0</v>
      </c>
    </row>
    <row r="209" spans="1:44" x14ac:dyDescent="0.25">
      <c r="A209" s="193">
        <v>5746</v>
      </c>
      <c r="B209" s="454" t="s">
        <v>230</v>
      </c>
      <c r="C209" s="446">
        <v>1836127.63</v>
      </c>
      <c r="D209" s="446">
        <v>162046.48000000001</v>
      </c>
      <c r="E209" s="446"/>
      <c r="F209" s="446">
        <v>0</v>
      </c>
      <c r="G209" s="446">
        <v>4894.55</v>
      </c>
      <c r="H209" s="446">
        <v>1916.6</v>
      </c>
      <c r="I209" s="446">
        <v>0</v>
      </c>
      <c r="J209" s="446">
        <v>15801.14</v>
      </c>
      <c r="K209" s="446">
        <v>19580.25</v>
      </c>
      <c r="L209" s="446">
        <v>213207.4</v>
      </c>
      <c r="M209" s="506">
        <f t="shared" si="12"/>
        <v>2253574.0499999998</v>
      </c>
      <c r="N209" s="446">
        <v>22104.3</v>
      </c>
      <c r="O209" s="446">
        <v>250149</v>
      </c>
      <c r="P209" s="446">
        <v>87804.15</v>
      </c>
      <c r="Q209" s="446">
        <v>21672.13</v>
      </c>
      <c r="R209" s="446">
        <v>58860.95</v>
      </c>
      <c r="S209" s="446">
        <v>668.23663033081061</v>
      </c>
      <c r="T209" s="506">
        <f t="shared" si="13"/>
        <v>2694832.8166303304</v>
      </c>
      <c r="U209" s="446">
        <v>-16408.57</v>
      </c>
      <c r="V209" s="446"/>
      <c r="W209" s="446">
        <v>-57.41</v>
      </c>
      <c r="X209" s="448">
        <v>73</v>
      </c>
      <c r="Y209" s="448">
        <v>1.2</v>
      </c>
      <c r="Z209" s="446">
        <v>994</v>
      </c>
      <c r="AA209" s="269"/>
      <c r="AB209" s="446">
        <v>58219</v>
      </c>
      <c r="AC209" s="450">
        <f>AB209/VPI!R209</f>
        <v>1.9110393875413172</v>
      </c>
      <c r="AD209" s="452">
        <f t="shared" si="14"/>
        <v>184065</v>
      </c>
      <c r="AE209" s="450">
        <f>AD209/VPI!R209</f>
        <v>6.0419358777682977</v>
      </c>
      <c r="AF209" s="446">
        <v>242284</v>
      </c>
      <c r="AG209" s="446">
        <v>105793</v>
      </c>
      <c r="AH209" s="446">
        <v>124204</v>
      </c>
      <c r="AI209" s="273"/>
      <c r="AJ209" s="446">
        <v>0</v>
      </c>
      <c r="AK209" s="450">
        <f>AJ209/VPI!R209</f>
        <v>0</v>
      </c>
      <c r="AL209" s="452">
        <f t="shared" si="15"/>
        <v>44332</v>
      </c>
      <c r="AM209" s="450">
        <f>AL209/VPI!R209</f>
        <v>1.4551984425785682</v>
      </c>
      <c r="AN209" s="446">
        <v>44332</v>
      </c>
      <c r="AO209" s="273"/>
      <c r="AP209" s="541">
        <v>16.303911899460982</v>
      </c>
      <c r="AR209" s="178">
        <v>0</v>
      </c>
    </row>
    <row r="210" spans="1:44" x14ac:dyDescent="0.25">
      <c r="A210" s="193">
        <v>5747</v>
      </c>
      <c r="B210" s="454" t="s">
        <v>231</v>
      </c>
      <c r="C210" s="446">
        <v>292485.21999999997</v>
      </c>
      <c r="D210" s="446">
        <v>27661.63</v>
      </c>
      <c r="E210" s="446"/>
      <c r="F210" s="446">
        <v>0</v>
      </c>
      <c r="G210" s="446">
        <v>20413.150000000001</v>
      </c>
      <c r="H210" s="446">
        <v>211.25</v>
      </c>
      <c r="I210" s="446">
        <v>0</v>
      </c>
      <c r="J210" s="446">
        <v>11774.59</v>
      </c>
      <c r="K210" s="446">
        <v>0</v>
      </c>
      <c r="L210" s="446">
        <v>32074.9</v>
      </c>
      <c r="M210" s="506">
        <f t="shared" si="12"/>
        <v>384620.74000000005</v>
      </c>
      <c r="N210" s="446">
        <v>0</v>
      </c>
      <c r="O210" s="446">
        <v>0</v>
      </c>
      <c r="P210" s="446">
        <v>26165.599999999999</v>
      </c>
      <c r="Q210" s="446">
        <v>0</v>
      </c>
      <c r="R210" s="446">
        <v>22602.1</v>
      </c>
      <c r="S210" s="446">
        <v>2023.4438470147875</v>
      </c>
      <c r="T210" s="506">
        <f t="shared" si="13"/>
        <v>435411.8838470148</v>
      </c>
      <c r="U210" s="446">
        <v>-88.84</v>
      </c>
      <c r="V210" s="446"/>
      <c r="W210" s="446">
        <v>0</v>
      </c>
      <c r="X210" s="448">
        <v>69</v>
      </c>
      <c r="Y210" s="448">
        <v>1</v>
      </c>
      <c r="Z210" s="446">
        <v>206</v>
      </c>
      <c r="AA210" s="269"/>
      <c r="AB210" s="446">
        <v>28029</v>
      </c>
      <c r="AC210" s="450">
        <f>AB210/VPI!R210</f>
        <v>5.0031671551937222</v>
      </c>
      <c r="AD210" s="452">
        <f t="shared" si="14"/>
        <v>17997</v>
      </c>
      <c r="AE210" s="450">
        <f>AD210/VPI!R210</f>
        <v>3.2124584998402161</v>
      </c>
      <c r="AF210" s="446">
        <v>46026</v>
      </c>
      <c r="AG210" s="446">
        <v>8624</v>
      </c>
      <c r="AH210" s="446">
        <v>23220</v>
      </c>
      <c r="AI210" s="273"/>
      <c r="AJ210" s="446">
        <v>0</v>
      </c>
      <c r="AK210" s="450">
        <f>AJ210/VPI!R210</f>
        <v>0</v>
      </c>
      <c r="AL210" s="452">
        <f t="shared" si="15"/>
        <v>-12960</v>
      </c>
      <c r="AM210" s="450">
        <f>AL210/VPI!R210</f>
        <v>-2.3133556791648164</v>
      </c>
      <c r="AN210" s="446">
        <v>-12960</v>
      </c>
      <c r="AO210" s="273"/>
      <c r="AP210" s="541">
        <v>21.319181785437284</v>
      </c>
      <c r="AR210" s="178">
        <v>0</v>
      </c>
    </row>
    <row r="211" spans="1:44" x14ac:dyDescent="0.25">
      <c r="A211" s="193">
        <v>5748</v>
      </c>
      <c r="B211" s="454" t="s">
        <v>232</v>
      </c>
      <c r="C211" s="446">
        <v>319130.2</v>
      </c>
      <c r="D211" s="446">
        <v>44587.85</v>
      </c>
      <c r="E211" s="446"/>
      <c r="F211" s="446">
        <v>2130</v>
      </c>
      <c r="G211" s="446">
        <v>3491.2</v>
      </c>
      <c r="H211" s="446">
        <v>75.05</v>
      </c>
      <c r="I211" s="446">
        <v>0</v>
      </c>
      <c r="J211" s="446">
        <v>193.7</v>
      </c>
      <c r="K211" s="446">
        <v>0</v>
      </c>
      <c r="L211" s="446">
        <v>22491.200000000001</v>
      </c>
      <c r="M211" s="506">
        <f t="shared" si="12"/>
        <v>392099.2</v>
      </c>
      <c r="N211" s="446">
        <v>0</v>
      </c>
      <c r="O211" s="446">
        <v>0</v>
      </c>
      <c r="P211" s="446">
        <v>7315</v>
      </c>
      <c r="Q211" s="446">
        <v>12216.72</v>
      </c>
      <c r="R211" s="446">
        <v>21476.05</v>
      </c>
      <c r="S211" s="446">
        <v>349.88201447879629</v>
      </c>
      <c r="T211" s="506">
        <f t="shared" si="13"/>
        <v>433456.85201447876</v>
      </c>
      <c r="U211" s="446">
        <v>-11543.63</v>
      </c>
      <c r="V211" s="446"/>
      <c r="W211" s="446">
        <v>0</v>
      </c>
      <c r="X211" s="448">
        <v>70.5</v>
      </c>
      <c r="Y211" s="448">
        <v>0.6</v>
      </c>
      <c r="Z211" s="446">
        <v>268</v>
      </c>
      <c r="AA211" s="269"/>
      <c r="AB211" s="446">
        <v>42039</v>
      </c>
      <c r="AC211" s="450">
        <f>AB211/VPI!R211</f>
        <v>7.2620217843885975</v>
      </c>
      <c r="AD211" s="452">
        <f t="shared" si="14"/>
        <v>7826</v>
      </c>
      <c r="AE211" s="450">
        <f>AD211/VPI!R211</f>
        <v>1.351901388820504</v>
      </c>
      <c r="AF211" s="446">
        <v>49865</v>
      </c>
      <c r="AG211" s="446">
        <v>29893</v>
      </c>
      <c r="AH211" s="446">
        <v>31874</v>
      </c>
      <c r="AI211" s="273"/>
      <c r="AJ211" s="446">
        <v>0</v>
      </c>
      <c r="AK211" s="450">
        <f>AJ211/VPI!R211</f>
        <v>0</v>
      </c>
      <c r="AL211" s="452">
        <f t="shared" si="15"/>
        <v>7719</v>
      </c>
      <c r="AM211" s="450">
        <f>AL211/VPI!R211</f>
        <v>1.3334176872355572</v>
      </c>
      <c r="AN211" s="446">
        <v>7719</v>
      </c>
      <c r="AO211" s="273"/>
      <c r="AP211" s="541">
        <v>16.178081052133955</v>
      </c>
      <c r="AR211" s="178">
        <v>0</v>
      </c>
    </row>
    <row r="212" spans="1:44" x14ac:dyDescent="0.25">
      <c r="A212" s="193">
        <v>5749</v>
      </c>
      <c r="B212" s="454" t="s">
        <v>233</v>
      </c>
      <c r="C212" s="446">
        <v>8074024.3700000001</v>
      </c>
      <c r="D212" s="446">
        <v>725957.88</v>
      </c>
      <c r="E212" s="446"/>
      <c r="F212" s="446">
        <v>0</v>
      </c>
      <c r="G212" s="446">
        <v>97132.799999999901</v>
      </c>
      <c r="H212" s="446">
        <v>34149.15</v>
      </c>
      <c r="I212" s="446">
        <v>0</v>
      </c>
      <c r="J212" s="446">
        <v>210085.08</v>
      </c>
      <c r="K212" s="446">
        <v>49595.7</v>
      </c>
      <c r="L212" s="446">
        <v>833055.5</v>
      </c>
      <c r="M212" s="506">
        <f t="shared" si="12"/>
        <v>10024000.48</v>
      </c>
      <c r="N212" s="446">
        <v>712723.2</v>
      </c>
      <c r="O212" s="446">
        <v>121500</v>
      </c>
      <c r="P212" s="446">
        <v>392838.5</v>
      </c>
      <c r="Q212" s="446">
        <v>153959.79999999999</v>
      </c>
      <c r="R212" s="446">
        <v>232311.1</v>
      </c>
      <c r="S212" s="446">
        <v>12879.970033145353</v>
      </c>
      <c r="T212" s="506">
        <f t="shared" si="13"/>
        <v>11650213.050033145</v>
      </c>
      <c r="U212" s="446">
        <v>-272346.67</v>
      </c>
      <c r="V212" s="446"/>
      <c r="W212" s="446">
        <v>-3645.56</v>
      </c>
      <c r="X212" s="448">
        <v>70.5</v>
      </c>
      <c r="Y212" s="448">
        <v>1</v>
      </c>
      <c r="Z212" s="446">
        <v>5227</v>
      </c>
      <c r="AA212" s="269"/>
      <c r="AB212" s="446">
        <v>307664</v>
      </c>
      <c r="AC212" s="450">
        <f>AB212/VPI!R212</f>
        <v>2.1876595542538118</v>
      </c>
      <c r="AD212" s="452">
        <f t="shared" si="14"/>
        <v>308924</v>
      </c>
      <c r="AE212" s="450">
        <f>AD212/VPI!R212</f>
        <v>2.1966188443831731</v>
      </c>
      <c r="AF212" s="446">
        <v>616588</v>
      </c>
      <c r="AG212" s="446">
        <v>570639</v>
      </c>
      <c r="AH212" s="446">
        <v>679886</v>
      </c>
      <c r="AI212" s="273"/>
      <c r="AJ212" s="446">
        <v>8705</v>
      </c>
      <c r="AK212" s="450">
        <f>AJ212/VPI!R212</f>
        <v>6.1897317917531565E-2</v>
      </c>
      <c r="AL212" s="452">
        <f>AN212-AJ212</f>
        <v>219356</v>
      </c>
      <c r="AM212" s="450">
        <f>AL212/VPI!R212</f>
        <v>1.5597413060445784</v>
      </c>
      <c r="AN212" s="446">
        <v>228061</v>
      </c>
      <c r="AO212" s="273"/>
      <c r="AP212" s="541">
        <v>4.4790895573051328</v>
      </c>
      <c r="AR212" s="178">
        <v>0</v>
      </c>
    </row>
    <row r="213" spans="1:44" x14ac:dyDescent="0.25">
      <c r="A213" s="193">
        <v>5750</v>
      </c>
      <c r="B213" s="454" t="s">
        <v>234</v>
      </c>
      <c r="C213" s="446">
        <v>412663.95</v>
      </c>
      <c r="D213" s="446">
        <v>55061</v>
      </c>
      <c r="E213" s="446"/>
      <c r="F213" s="446">
        <v>1130</v>
      </c>
      <c r="G213" s="446">
        <v>-146.6</v>
      </c>
      <c r="H213" s="446">
        <v>77.8</v>
      </c>
      <c r="I213" s="446">
        <v>0</v>
      </c>
      <c r="J213" s="446">
        <v>-3129.71</v>
      </c>
      <c r="K213" s="446">
        <v>15.55</v>
      </c>
      <c r="L213" s="446">
        <v>13725.15</v>
      </c>
      <c r="M213" s="506">
        <f t="shared" si="12"/>
        <v>479397.14</v>
      </c>
      <c r="N213" s="446">
        <v>7784.9</v>
      </c>
      <c r="O213" s="446">
        <v>15.7</v>
      </c>
      <c r="P213" s="446">
        <v>1080.95</v>
      </c>
      <c r="Q213" s="446">
        <v>3011.5</v>
      </c>
      <c r="R213" s="446">
        <v>0</v>
      </c>
      <c r="S213" s="446">
        <v>0</v>
      </c>
      <c r="T213" s="506">
        <f t="shared" si="13"/>
        <v>491290.19000000006</v>
      </c>
      <c r="U213" s="446">
        <v>-7429.7</v>
      </c>
      <c r="V213" s="446"/>
      <c r="W213" s="446">
        <v>-1085.29</v>
      </c>
      <c r="X213" s="448">
        <v>80</v>
      </c>
      <c r="Y213" s="448">
        <v>0.6</v>
      </c>
      <c r="Z213" s="446">
        <v>187</v>
      </c>
      <c r="AA213" s="269"/>
      <c r="AB213" s="446">
        <v>28934</v>
      </c>
      <c r="AC213" s="450">
        <f>AB213/VPI!R213</f>
        <v>4.7919468992197913</v>
      </c>
      <c r="AD213" s="452">
        <f t="shared" si="14"/>
        <v>22161</v>
      </c>
      <c r="AE213" s="450">
        <f>AD213/VPI!R213</f>
        <v>3.6702265581533764</v>
      </c>
      <c r="AF213" s="446">
        <v>51095</v>
      </c>
      <c r="AG213" s="446">
        <v>0</v>
      </c>
      <c r="AH213" s="446">
        <v>19629</v>
      </c>
      <c r="AI213" s="273"/>
      <c r="AJ213" s="446">
        <v>0</v>
      </c>
      <c r="AK213" s="450">
        <f>AJ213/VPI!R213</f>
        <v>0</v>
      </c>
      <c r="AL213" s="452">
        <f t="shared" ref="AL213:AL276" si="16">AN213-AJ213</f>
        <v>38986</v>
      </c>
      <c r="AM213" s="450">
        <f>AL213/VPI!R213</f>
        <v>6.4567236404569979</v>
      </c>
      <c r="AN213" s="446">
        <v>38986</v>
      </c>
      <c r="AO213" s="273"/>
      <c r="AP213" s="541">
        <v>13.02460071816648</v>
      </c>
      <c r="AR213" s="178">
        <v>0</v>
      </c>
    </row>
    <row r="214" spans="1:44" x14ac:dyDescent="0.25">
      <c r="A214" s="193">
        <v>5752</v>
      </c>
      <c r="B214" s="454" t="s">
        <v>281</v>
      </c>
      <c r="C214" s="446">
        <v>549569.98</v>
      </c>
      <c r="D214" s="446">
        <v>86688.19</v>
      </c>
      <c r="E214" s="446"/>
      <c r="F214" s="446">
        <v>0</v>
      </c>
      <c r="G214" s="446">
        <v>10554.25</v>
      </c>
      <c r="H214" s="446">
        <v>659</v>
      </c>
      <c r="I214" s="446">
        <v>0</v>
      </c>
      <c r="J214" s="446">
        <v>10649.79</v>
      </c>
      <c r="K214" s="446">
        <v>833.4</v>
      </c>
      <c r="L214" s="446">
        <v>42401</v>
      </c>
      <c r="M214" s="506">
        <f t="shared" si="12"/>
        <v>701355.61</v>
      </c>
      <c r="N214" s="446">
        <v>34854.65</v>
      </c>
      <c r="O214" s="446">
        <v>1430.1</v>
      </c>
      <c r="P214" s="446">
        <v>20277.599999999999</v>
      </c>
      <c r="Q214" s="446">
        <v>0</v>
      </c>
      <c r="R214" s="446">
        <v>25630.6</v>
      </c>
      <c r="S214" s="446">
        <v>1100.123238374865</v>
      </c>
      <c r="T214" s="506">
        <f t="shared" si="13"/>
        <v>784648.68323837477</v>
      </c>
      <c r="U214" s="446">
        <v>-23961.74</v>
      </c>
      <c r="V214" s="446"/>
      <c r="W214" s="446">
        <v>-67.73</v>
      </c>
      <c r="X214" s="448">
        <v>74</v>
      </c>
      <c r="Y214" s="448">
        <v>0.7</v>
      </c>
      <c r="Z214" s="446">
        <v>397</v>
      </c>
      <c r="AA214" s="269"/>
      <c r="AB214" s="446"/>
      <c r="AC214" s="450">
        <f>AB214/VPI!R214</f>
        <v>0</v>
      </c>
      <c r="AD214" s="452">
        <f t="shared" si="14"/>
        <v>0</v>
      </c>
      <c r="AE214" s="450">
        <f>AD214/VPI!R214</f>
        <v>0</v>
      </c>
      <c r="AF214" s="446"/>
      <c r="AG214" s="446">
        <v>44785</v>
      </c>
      <c r="AH214" s="446">
        <v>32999</v>
      </c>
      <c r="AI214" s="273"/>
      <c r="AJ214" s="446">
        <v>0</v>
      </c>
      <c r="AK214" s="450">
        <f>AJ214/VPI!R214</f>
        <v>0</v>
      </c>
      <c r="AL214" s="452">
        <f t="shared" si="16"/>
        <v>8135</v>
      </c>
      <c r="AM214" s="450">
        <f>AL214/VPI!R214</f>
        <v>0.86418550723413501</v>
      </c>
      <c r="AN214" s="446">
        <v>8135</v>
      </c>
      <c r="AO214" s="273"/>
      <c r="AP214" s="541">
        <v>10.102186244291046</v>
      </c>
      <c r="AR214" s="178">
        <v>0</v>
      </c>
    </row>
    <row r="215" spans="1:44" x14ac:dyDescent="0.25">
      <c r="A215" s="193">
        <v>5754</v>
      </c>
      <c r="B215" s="454" t="s">
        <v>282</v>
      </c>
      <c r="C215" s="446">
        <v>544454.93000000005</v>
      </c>
      <c r="D215" s="446">
        <v>42775.13</v>
      </c>
      <c r="E215" s="446"/>
      <c r="F215" s="446">
        <v>0</v>
      </c>
      <c r="G215" s="446">
        <v>992.8</v>
      </c>
      <c r="H215" s="446">
        <v>919.95</v>
      </c>
      <c r="I215" s="446">
        <v>0</v>
      </c>
      <c r="J215" s="446">
        <v>2830.32</v>
      </c>
      <c r="K215" s="446">
        <v>1588.5</v>
      </c>
      <c r="L215" s="446">
        <v>41885.1</v>
      </c>
      <c r="M215" s="506">
        <f t="shared" si="12"/>
        <v>635446.73</v>
      </c>
      <c r="N215" s="446">
        <v>0</v>
      </c>
      <c r="O215" s="446">
        <v>1386</v>
      </c>
      <c r="P215" s="446">
        <v>21175</v>
      </c>
      <c r="Q215" s="446">
        <v>-837.37</v>
      </c>
      <c r="R215" s="446">
        <v>1849.15</v>
      </c>
      <c r="S215" s="446">
        <v>187.65841519644377</v>
      </c>
      <c r="T215" s="506">
        <f t="shared" si="13"/>
        <v>659207.16841519647</v>
      </c>
      <c r="U215" s="446">
        <v>705.93</v>
      </c>
      <c r="V215" s="446"/>
      <c r="W215" s="446">
        <v>-85.63</v>
      </c>
      <c r="X215" s="448">
        <v>79</v>
      </c>
      <c r="Y215" s="448">
        <v>1</v>
      </c>
      <c r="Z215" s="446">
        <v>336</v>
      </c>
      <c r="AA215" s="269"/>
      <c r="AB215" s="446">
        <v>17087</v>
      </c>
      <c r="AC215" s="450">
        <f>AB215/VPI!R215</f>
        <v>2.1243881160915441</v>
      </c>
      <c r="AD215" s="452">
        <f t="shared" si="14"/>
        <v>41183</v>
      </c>
      <c r="AE215" s="450">
        <f>AD215/VPI!R215</f>
        <v>5.1201893711592472</v>
      </c>
      <c r="AF215" s="446">
        <v>58270</v>
      </c>
      <c r="AG215" s="446">
        <v>14580</v>
      </c>
      <c r="AH215" s="446">
        <v>31961</v>
      </c>
      <c r="AI215" s="273"/>
      <c r="AJ215" s="446">
        <v>0</v>
      </c>
      <c r="AK215" s="450">
        <f>AJ215/VPI!R215</f>
        <v>0</v>
      </c>
      <c r="AL215" s="452">
        <f t="shared" si="16"/>
        <v>51931</v>
      </c>
      <c r="AM215" s="450">
        <f>AL215/VPI!R215</f>
        <v>6.4564639349651767</v>
      </c>
      <c r="AN215" s="446">
        <v>51931</v>
      </c>
      <c r="AO215" s="273"/>
      <c r="AP215" s="541">
        <v>14.906903113807246</v>
      </c>
      <c r="AR215" s="178">
        <v>0</v>
      </c>
    </row>
    <row r="216" spans="1:44" x14ac:dyDescent="0.25">
      <c r="A216" s="193">
        <v>5755</v>
      </c>
      <c r="B216" s="454" t="s">
        <v>283</v>
      </c>
      <c r="C216" s="446">
        <v>580072.43999999994</v>
      </c>
      <c r="D216" s="446">
        <v>56969.24</v>
      </c>
      <c r="E216" s="446"/>
      <c r="F216" s="446">
        <v>0</v>
      </c>
      <c r="G216" s="446">
        <v>6470.9</v>
      </c>
      <c r="H216" s="446">
        <v>1108.4000000000001</v>
      </c>
      <c r="I216" s="446">
        <v>0</v>
      </c>
      <c r="J216" s="446">
        <v>2001.7</v>
      </c>
      <c r="K216" s="446">
        <v>2533.1</v>
      </c>
      <c r="L216" s="446">
        <v>43841.9</v>
      </c>
      <c r="M216" s="506">
        <f t="shared" si="12"/>
        <v>692997.67999999993</v>
      </c>
      <c r="N216" s="446">
        <v>23527.15</v>
      </c>
      <c r="O216" s="446">
        <v>251932.6</v>
      </c>
      <c r="P216" s="446">
        <v>7650.5</v>
      </c>
      <c r="Q216" s="446">
        <v>355.56</v>
      </c>
      <c r="R216" s="446">
        <v>11972.4</v>
      </c>
      <c r="S216" s="446">
        <v>743.59922953778926</v>
      </c>
      <c r="T216" s="506">
        <f t="shared" si="13"/>
        <v>989179.48922953778</v>
      </c>
      <c r="U216" s="446">
        <v>-2212.75</v>
      </c>
      <c r="V216" s="446"/>
      <c r="W216" s="446">
        <v>0</v>
      </c>
      <c r="X216" s="448">
        <v>78.5</v>
      </c>
      <c r="Y216" s="448">
        <v>0.7</v>
      </c>
      <c r="Z216" s="446">
        <v>435</v>
      </c>
      <c r="AA216" s="269"/>
      <c r="AB216" s="446">
        <v>13490</v>
      </c>
      <c r="AC216" s="450">
        <f>AB216/VPI!R216</f>
        <v>1.4900865690586074</v>
      </c>
      <c r="AD216" s="452">
        <f t="shared" si="14"/>
        <v>621347</v>
      </c>
      <c r="AE216" s="450">
        <f>AD216/VPI!R216</f>
        <v>68.633122270189659</v>
      </c>
      <c r="AF216" s="446">
        <v>634837</v>
      </c>
      <c r="AG216" s="446">
        <v>19425</v>
      </c>
      <c r="AH216" s="446">
        <v>52180</v>
      </c>
      <c r="AI216" s="273"/>
      <c r="AJ216" s="446">
        <v>0</v>
      </c>
      <c r="AK216" s="450">
        <f>AJ216/VPI!R216</f>
        <v>0</v>
      </c>
      <c r="AL216" s="452">
        <f t="shared" si="16"/>
        <v>71125</v>
      </c>
      <c r="AM216" s="450">
        <f>AL216/VPI!R216</f>
        <v>7.8563682152923233</v>
      </c>
      <c r="AN216" s="446">
        <v>71125</v>
      </c>
      <c r="AO216" s="273"/>
      <c r="AP216" s="541">
        <v>2.9019000802757899</v>
      </c>
      <c r="AR216" s="178">
        <v>0</v>
      </c>
    </row>
    <row r="217" spans="1:44" x14ac:dyDescent="0.25">
      <c r="A217" s="193">
        <v>5756</v>
      </c>
      <c r="B217" s="454" t="s">
        <v>284</v>
      </c>
      <c r="C217" s="446">
        <v>846194.99</v>
      </c>
      <c r="D217" s="446">
        <v>183414.38</v>
      </c>
      <c r="E217" s="446"/>
      <c r="F217" s="446">
        <v>0</v>
      </c>
      <c r="G217" s="446">
        <v>16471.75</v>
      </c>
      <c r="H217" s="446">
        <v>888.4</v>
      </c>
      <c r="I217" s="446">
        <v>0</v>
      </c>
      <c r="J217" s="446">
        <v>7518.7</v>
      </c>
      <c r="K217" s="446">
        <v>-349.6</v>
      </c>
      <c r="L217" s="446">
        <v>87315</v>
      </c>
      <c r="M217" s="506">
        <f t="shared" si="12"/>
        <v>1141453.6199999999</v>
      </c>
      <c r="N217" s="446">
        <v>34587.5</v>
      </c>
      <c r="O217" s="446">
        <v>0</v>
      </c>
      <c r="P217" s="446">
        <v>38445</v>
      </c>
      <c r="Q217" s="446">
        <v>2224.9499999999998</v>
      </c>
      <c r="R217" s="446">
        <v>49479.25</v>
      </c>
      <c r="S217" s="446">
        <v>1703.1908177088192</v>
      </c>
      <c r="T217" s="506">
        <f t="shared" si="13"/>
        <v>1267893.5108177087</v>
      </c>
      <c r="U217" s="446">
        <v>-9371.33</v>
      </c>
      <c r="V217" s="446"/>
      <c r="W217" s="446">
        <v>-1791.32</v>
      </c>
      <c r="X217" s="448">
        <v>72</v>
      </c>
      <c r="Y217" s="448">
        <v>1</v>
      </c>
      <c r="Z217" s="446">
        <v>506</v>
      </c>
      <c r="AA217" s="269"/>
      <c r="AB217" s="446">
        <v>57648</v>
      </c>
      <c r="AC217" s="450">
        <f>AB217/VPI!R217</f>
        <v>3.6594833929465422</v>
      </c>
      <c r="AD217" s="452">
        <f t="shared" si="14"/>
        <v>81727</v>
      </c>
      <c r="AE217" s="450">
        <f>AD217/VPI!R217</f>
        <v>5.1880134480873936</v>
      </c>
      <c r="AF217" s="446">
        <v>139375</v>
      </c>
      <c r="AG217" s="446">
        <v>22447</v>
      </c>
      <c r="AH217" s="446">
        <v>62121</v>
      </c>
      <c r="AI217" s="273"/>
      <c r="AJ217" s="446">
        <v>0</v>
      </c>
      <c r="AK217" s="450">
        <f>AJ217/VPI!R217</f>
        <v>0</v>
      </c>
      <c r="AL217" s="452">
        <f t="shared" si="16"/>
        <v>10804</v>
      </c>
      <c r="AM217" s="450">
        <f>AL217/VPI!R217</f>
        <v>0.68583573718766377</v>
      </c>
      <c r="AN217" s="446">
        <v>10804</v>
      </c>
      <c r="AO217" s="273"/>
      <c r="AP217" s="541">
        <v>22.275397389322617</v>
      </c>
      <c r="AR217" s="178">
        <v>1</v>
      </c>
    </row>
    <row r="218" spans="1:44" x14ac:dyDescent="0.25">
      <c r="A218" s="193">
        <v>5757</v>
      </c>
      <c r="B218" s="454" t="s">
        <v>285</v>
      </c>
      <c r="C218" s="446">
        <v>11219078.699999999</v>
      </c>
      <c r="D218" s="446">
        <v>1074880.25</v>
      </c>
      <c r="E218" s="446"/>
      <c r="F218" s="446">
        <v>0</v>
      </c>
      <c r="G218" s="446">
        <v>998526.4</v>
      </c>
      <c r="H218" s="446">
        <v>60181.65</v>
      </c>
      <c r="I218" s="446">
        <v>0</v>
      </c>
      <c r="J218" s="446">
        <v>437458.61</v>
      </c>
      <c r="K218" s="446">
        <v>171329.3</v>
      </c>
      <c r="L218" s="446">
        <v>1559237</v>
      </c>
      <c r="M218" s="506">
        <f t="shared" si="12"/>
        <v>15520691.91</v>
      </c>
      <c r="N218" s="446">
        <v>2913726.35</v>
      </c>
      <c r="O218" s="446">
        <v>201441.5</v>
      </c>
      <c r="P218" s="446">
        <v>769220.45</v>
      </c>
      <c r="Q218" s="446">
        <v>22444.84</v>
      </c>
      <c r="R218" s="446">
        <v>235922.25</v>
      </c>
      <c r="S218" s="446">
        <v>103869.02356226237</v>
      </c>
      <c r="T218" s="506">
        <f t="shared" si="13"/>
        <v>19767316.323562264</v>
      </c>
      <c r="U218" s="446">
        <v>-281564.02</v>
      </c>
      <c r="V218" s="446"/>
      <c r="W218" s="446">
        <v>-2912.13</v>
      </c>
      <c r="X218" s="448">
        <v>75.5</v>
      </c>
      <c r="Y218" s="448">
        <v>1</v>
      </c>
      <c r="Z218" s="446">
        <v>7124</v>
      </c>
      <c r="AA218" s="269"/>
      <c r="AB218" s="446">
        <v>603164</v>
      </c>
      <c r="AC218" s="450">
        <f>AB218/VPI!R218</f>
        <v>2.96428277867434</v>
      </c>
      <c r="AD218" s="452">
        <f t="shared" si="14"/>
        <v>1896805</v>
      </c>
      <c r="AE218" s="450">
        <f>AD218/VPI!R218</f>
        <v>9.3219528950722879</v>
      </c>
      <c r="AF218" s="446">
        <v>2499969</v>
      </c>
      <c r="AG218" s="446">
        <v>965098</v>
      </c>
      <c r="AH218" s="446">
        <v>789359</v>
      </c>
      <c r="AI218" s="273"/>
      <c r="AJ218" s="446">
        <v>0</v>
      </c>
      <c r="AK218" s="450">
        <f>AJ218/VPI!R218</f>
        <v>0</v>
      </c>
      <c r="AL218" s="452">
        <f t="shared" si="16"/>
        <v>98544</v>
      </c>
      <c r="AM218" s="450">
        <f>AL218/VPI!R218</f>
        <v>0.48429992861258986</v>
      </c>
      <c r="AN218" s="446">
        <v>98544</v>
      </c>
      <c r="AO218" s="273"/>
      <c r="AP218" s="541">
        <v>5.6088596531538366</v>
      </c>
      <c r="AR218" s="178">
        <v>1</v>
      </c>
    </row>
    <row r="219" spans="1:44" x14ac:dyDescent="0.25">
      <c r="A219" s="193">
        <v>5758</v>
      </c>
      <c r="B219" s="454" t="s">
        <v>192</v>
      </c>
      <c r="C219" s="446">
        <v>290175.24</v>
      </c>
      <c r="D219" s="446">
        <v>28835.040000000001</v>
      </c>
      <c r="E219" s="446"/>
      <c r="F219" s="446">
        <v>920</v>
      </c>
      <c r="G219" s="446">
        <v>5309.35</v>
      </c>
      <c r="H219" s="446">
        <v>965.55</v>
      </c>
      <c r="I219" s="446">
        <v>0</v>
      </c>
      <c r="J219" s="446">
        <v>3129.12</v>
      </c>
      <c r="K219" s="446">
        <v>0</v>
      </c>
      <c r="L219" s="446">
        <v>25357.05</v>
      </c>
      <c r="M219" s="506">
        <f t="shared" si="12"/>
        <v>354691.34999999992</v>
      </c>
      <c r="N219" s="446">
        <v>6425.4</v>
      </c>
      <c r="O219" s="446">
        <v>2917.6</v>
      </c>
      <c r="P219" s="446">
        <v>17141.55</v>
      </c>
      <c r="Q219" s="446">
        <v>0</v>
      </c>
      <c r="R219" s="446">
        <v>874.8</v>
      </c>
      <c r="S219" s="446">
        <v>615.62555980455636</v>
      </c>
      <c r="T219" s="506">
        <f t="shared" si="13"/>
        <v>382666.32555980445</v>
      </c>
      <c r="U219" s="446">
        <v>-249.75</v>
      </c>
      <c r="V219" s="446"/>
      <c r="W219" s="446">
        <v>0</v>
      </c>
      <c r="X219" s="448">
        <v>83</v>
      </c>
      <c r="Y219" s="448">
        <v>0.9</v>
      </c>
      <c r="Z219" s="446">
        <v>175</v>
      </c>
      <c r="AA219" s="269"/>
      <c r="AB219" s="446">
        <v>2393</v>
      </c>
      <c r="AC219" s="450">
        <f>AB219/VPI!R219</f>
        <v>0.55499596245336658</v>
      </c>
      <c r="AD219" s="452">
        <f t="shared" si="14"/>
        <v>12509</v>
      </c>
      <c r="AE219" s="450">
        <f>AD219/VPI!R219</f>
        <v>2.9011468843832686</v>
      </c>
      <c r="AF219" s="446">
        <v>14902</v>
      </c>
      <c r="AG219" s="446">
        <v>7334</v>
      </c>
      <c r="AH219" s="446">
        <v>18116</v>
      </c>
      <c r="AI219" s="273"/>
      <c r="AJ219" s="446">
        <v>0</v>
      </c>
      <c r="AK219" s="450">
        <f>AJ219/VPI!R219</f>
        <v>0</v>
      </c>
      <c r="AL219" s="452">
        <f t="shared" si="16"/>
        <v>12529</v>
      </c>
      <c r="AM219" s="450">
        <f>AL219/VPI!R219</f>
        <v>2.9057853796816673</v>
      </c>
      <c r="AN219" s="446">
        <v>12529</v>
      </c>
      <c r="AO219" s="273"/>
      <c r="AP219" s="541">
        <v>11.902517480982496</v>
      </c>
      <c r="AR219" s="178">
        <v>0</v>
      </c>
    </row>
    <row r="220" spans="1:44" x14ac:dyDescent="0.25">
      <c r="A220" s="193">
        <v>5759</v>
      </c>
      <c r="B220" s="454" t="s">
        <v>193</v>
      </c>
      <c r="C220" s="446">
        <v>334364.01</v>
      </c>
      <c r="D220" s="446">
        <v>48677.88</v>
      </c>
      <c r="E220" s="446"/>
      <c r="F220" s="446">
        <v>0</v>
      </c>
      <c r="G220" s="446">
        <v>703.15</v>
      </c>
      <c r="H220" s="446">
        <v>172.15</v>
      </c>
      <c r="I220" s="446">
        <v>0</v>
      </c>
      <c r="J220" s="446">
        <v>2926.91</v>
      </c>
      <c r="K220" s="446">
        <v>242.95</v>
      </c>
      <c r="L220" s="446">
        <v>30520.7</v>
      </c>
      <c r="M220" s="506">
        <f t="shared" si="12"/>
        <v>417607.75000000006</v>
      </c>
      <c r="N220" s="446">
        <v>1530.1</v>
      </c>
      <c r="O220" s="446">
        <v>0</v>
      </c>
      <c r="P220" s="446">
        <v>22605</v>
      </c>
      <c r="Q220" s="446">
        <v>12976.44</v>
      </c>
      <c r="R220" s="446">
        <v>17548.650000000001</v>
      </c>
      <c r="S220" s="446">
        <v>85.87500238998679</v>
      </c>
      <c r="T220" s="506">
        <f t="shared" si="13"/>
        <v>472353.81500239007</v>
      </c>
      <c r="U220" s="446">
        <v>-8201.16</v>
      </c>
      <c r="V220" s="446"/>
      <c r="W220" s="446">
        <v>-543.04</v>
      </c>
      <c r="X220" s="448">
        <v>79.5</v>
      </c>
      <c r="Y220" s="448">
        <v>1</v>
      </c>
      <c r="Z220" s="446">
        <v>218</v>
      </c>
      <c r="AA220" s="269"/>
      <c r="AB220" s="446">
        <v>53273</v>
      </c>
      <c r="AC220" s="450">
        <f>AB220/VPI!R220</f>
        <v>10.037790643567227</v>
      </c>
      <c r="AD220" s="452">
        <f t="shared" si="14"/>
        <v>24713</v>
      </c>
      <c r="AE220" s="450">
        <f>AD220/VPI!R220</f>
        <v>4.6564661305816619</v>
      </c>
      <c r="AF220" s="446">
        <v>77986</v>
      </c>
      <c r="AG220" s="446">
        <v>9557</v>
      </c>
      <c r="AH220" s="446">
        <v>27013</v>
      </c>
      <c r="AI220" s="273"/>
      <c r="AJ220" s="446">
        <v>0</v>
      </c>
      <c r="AK220" s="450">
        <f>AJ220/VPI!R220</f>
        <v>0</v>
      </c>
      <c r="AL220" s="452">
        <f t="shared" si="16"/>
        <v>7599</v>
      </c>
      <c r="AM220" s="450">
        <f>AL220/VPI!R220</f>
        <v>1.4318167007765163</v>
      </c>
      <c r="AN220" s="446">
        <v>7599</v>
      </c>
      <c r="AO220" s="273"/>
      <c r="AP220" s="541">
        <v>7.1880360918911972</v>
      </c>
      <c r="AR220" s="178">
        <v>0</v>
      </c>
    </row>
    <row r="221" spans="1:44" x14ac:dyDescent="0.25">
      <c r="A221" s="193">
        <v>5760</v>
      </c>
      <c r="B221" s="454" t="s">
        <v>194</v>
      </c>
      <c r="C221" s="446">
        <v>838931.47</v>
      </c>
      <c r="D221" s="446">
        <v>79510.600000000006</v>
      </c>
      <c r="E221" s="446"/>
      <c r="F221" s="446">
        <v>0</v>
      </c>
      <c r="G221" s="446">
        <v>1359.75</v>
      </c>
      <c r="H221" s="446">
        <v>1487.35</v>
      </c>
      <c r="I221" s="446">
        <v>0</v>
      </c>
      <c r="J221" s="446">
        <v>832.32</v>
      </c>
      <c r="K221" s="446">
        <v>0</v>
      </c>
      <c r="L221" s="446">
        <v>113239.85</v>
      </c>
      <c r="M221" s="506">
        <f t="shared" si="12"/>
        <v>1035361.3399999999</v>
      </c>
      <c r="N221" s="446">
        <v>22152.05</v>
      </c>
      <c r="O221" s="446">
        <v>11202.7</v>
      </c>
      <c r="P221" s="446">
        <v>44138.9</v>
      </c>
      <c r="Q221" s="446">
        <v>10272.66</v>
      </c>
      <c r="R221" s="446">
        <v>40310.300000000003</v>
      </c>
      <c r="S221" s="446">
        <v>279.32676717072019</v>
      </c>
      <c r="T221" s="506">
        <f t="shared" si="13"/>
        <v>1163717.2767671705</v>
      </c>
      <c r="U221" s="446">
        <v>-25144.9</v>
      </c>
      <c r="V221" s="446"/>
      <c r="W221" s="446">
        <v>-1893.53</v>
      </c>
      <c r="X221" s="448">
        <v>76.5</v>
      </c>
      <c r="Y221" s="448">
        <v>1.5</v>
      </c>
      <c r="Z221" s="446">
        <v>513</v>
      </c>
      <c r="AA221" s="269"/>
      <c r="AB221" s="446">
        <v>5133</v>
      </c>
      <c r="AC221" s="450">
        <f>AB221/VPI!R221</f>
        <v>0.40022748091592625</v>
      </c>
      <c r="AD221" s="452">
        <f t="shared" si="14"/>
        <v>95304</v>
      </c>
      <c r="AE221" s="450">
        <f>AD221/VPI!R221</f>
        <v>7.430991591897806</v>
      </c>
      <c r="AF221" s="446">
        <v>100437</v>
      </c>
      <c r="AG221" s="446">
        <v>33672</v>
      </c>
      <c r="AH221" s="446">
        <v>53442</v>
      </c>
      <c r="AI221" s="273"/>
      <c r="AJ221" s="446">
        <v>0</v>
      </c>
      <c r="AK221" s="450">
        <f>AJ221/VPI!R221</f>
        <v>0</v>
      </c>
      <c r="AL221" s="452">
        <f t="shared" si="16"/>
        <v>132701</v>
      </c>
      <c r="AM221" s="450">
        <f>AL221/VPI!R221</f>
        <v>10.346890112025001</v>
      </c>
      <c r="AN221" s="446">
        <v>132701</v>
      </c>
      <c r="AO221" s="273"/>
      <c r="AP221" s="541">
        <v>8.7803002777378349</v>
      </c>
      <c r="AR221" s="178">
        <v>0</v>
      </c>
    </row>
    <row r="222" spans="1:44" x14ac:dyDescent="0.25">
      <c r="A222" s="193">
        <v>5761</v>
      </c>
      <c r="B222" s="454" t="s">
        <v>121</v>
      </c>
      <c r="C222" s="446">
        <v>802821.06</v>
      </c>
      <c r="D222" s="446">
        <v>100245.18</v>
      </c>
      <c r="E222" s="446"/>
      <c r="F222" s="446">
        <v>0</v>
      </c>
      <c r="G222" s="446">
        <v>3742</v>
      </c>
      <c r="H222" s="446">
        <v>833.3</v>
      </c>
      <c r="I222" s="446">
        <v>0</v>
      </c>
      <c r="J222" s="446">
        <v>11547.56</v>
      </c>
      <c r="K222" s="446">
        <v>3997.55</v>
      </c>
      <c r="L222" s="446">
        <v>91237.8</v>
      </c>
      <c r="M222" s="506">
        <f t="shared" si="12"/>
        <v>1014424.4500000002</v>
      </c>
      <c r="N222" s="446">
        <v>62764.25</v>
      </c>
      <c r="O222" s="446">
        <v>8830.5</v>
      </c>
      <c r="P222" s="446">
        <v>77623.199999999997</v>
      </c>
      <c r="Q222" s="446">
        <v>0</v>
      </c>
      <c r="R222" s="446">
        <v>48004.25</v>
      </c>
      <c r="S222" s="446">
        <v>448.87912536833841</v>
      </c>
      <c r="T222" s="506">
        <f t="shared" si="13"/>
        <v>1212095.5291253685</v>
      </c>
      <c r="U222" s="446">
        <v>-23743.54</v>
      </c>
      <c r="V222" s="446"/>
      <c r="W222" s="446">
        <v>0</v>
      </c>
      <c r="X222" s="448">
        <v>81</v>
      </c>
      <c r="Y222" s="448">
        <v>1.1000000000000001</v>
      </c>
      <c r="Z222" s="446">
        <v>525</v>
      </c>
      <c r="AA222" s="269"/>
      <c r="AB222" s="446">
        <v>6069</v>
      </c>
      <c r="AC222" s="450">
        <f>AB222/VPI!R222</f>
        <v>0.50017426942189713</v>
      </c>
      <c r="AD222" s="452">
        <f t="shared" si="14"/>
        <v>258683</v>
      </c>
      <c r="AE222" s="450">
        <f>AD222/VPI!R222</f>
        <v>21.319258615400329</v>
      </c>
      <c r="AF222" s="446">
        <v>264752</v>
      </c>
      <c r="AG222" s="446">
        <v>47562</v>
      </c>
      <c r="AH222" s="446">
        <v>50744</v>
      </c>
      <c r="AI222" s="273"/>
      <c r="AJ222" s="446">
        <v>0</v>
      </c>
      <c r="AK222" s="450">
        <f>AJ222/VPI!R222</f>
        <v>0</v>
      </c>
      <c r="AL222" s="452">
        <f t="shared" si="16"/>
        <v>4358</v>
      </c>
      <c r="AM222" s="450">
        <f>AL222/VPI!R222</f>
        <v>0.35916287133640262</v>
      </c>
      <c r="AN222" s="446">
        <v>4358</v>
      </c>
      <c r="AO222" s="273"/>
      <c r="AP222" s="541">
        <v>3.5554618729687766</v>
      </c>
      <c r="AR222" s="178">
        <v>0</v>
      </c>
    </row>
    <row r="223" spans="1:44" x14ac:dyDescent="0.25">
      <c r="A223" s="193">
        <v>5762</v>
      </c>
      <c r="B223" s="454" t="s">
        <v>122</v>
      </c>
      <c r="C223" s="446">
        <v>244337.46</v>
      </c>
      <c r="D223" s="446">
        <v>26289.18</v>
      </c>
      <c r="E223" s="446"/>
      <c r="F223" s="446">
        <v>0</v>
      </c>
      <c r="G223" s="446">
        <v>3645.9</v>
      </c>
      <c r="H223" s="446">
        <v>120.8</v>
      </c>
      <c r="I223" s="446">
        <v>0</v>
      </c>
      <c r="J223" s="446">
        <v>-1087.5</v>
      </c>
      <c r="K223" s="446">
        <v>75</v>
      </c>
      <c r="L223" s="446">
        <v>20516.599999999999</v>
      </c>
      <c r="M223" s="506">
        <f t="shared" si="12"/>
        <v>293897.44</v>
      </c>
      <c r="N223" s="446">
        <v>0</v>
      </c>
      <c r="O223" s="446">
        <v>0</v>
      </c>
      <c r="P223" s="446">
        <v>0</v>
      </c>
      <c r="Q223" s="446">
        <v>9.4</v>
      </c>
      <c r="R223" s="446">
        <v>0</v>
      </c>
      <c r="S223" s="446">
        <v>369.54800811420455</v>
      </c>
      <c r="T223" s="506">
        <f t="shared" si="13"/>
        <v>294276.38800811424</v>
      </c>
      <c r="U223" s="446">
        <v>-62.44</v>
      </c>
      <c r="V223" s="446"/>
      <c r="W223" s="446">
        <v>0</v>
      </c>
      <c r="X223" s="448">
        <v>78</v>
      </c>
      <c r="Y223" s="448">
        <v>1</v>
      </c>
      <c r="Z223" s="446">
        <v>145</v>
      </c>
      <c r="AA223" s="269"/>
      <c r="AB223" s="446">
        <v>8141</v>
      </c>
      <c r="AC223" s="450">
        <f>AB223/VPI!R223</f>
        <v>2.1582865268593152</v>
      </c>
      <c r="AD223" s="452">
        <f t="shared" si="14"/>
        <v>27114</v>
      </c>
      <c r="AE223" s="450">
        <f>AD223/VPI!R223</f>
        <v>7.1882791904266643</v>
      </c>
      <c r="AF223" s="446">
        <v>35255</v>
      </c>
      <c r="AG223" s="446">
        <v>6445</v>
      </c>
      <c r="AH223" s="446">
        <v>17356</v>
      </c>
      <c r="AI223" s="273"/>
      <c r="AJ223" s="446">
        <v>0</v>
      </c>
      <c r="AK223" s="450">
        <f>AJ223/VPI!R223</f>
        <v>0</v>
      </c>
      <c r="AL223" s="452">
        <f t="shared" si="16"/>
        <v>10854</v>
      </c>
      <c r="AM223" s="450">
        <f>AL223/VPI!R223</f>
        <v>2.8775386270152326</v>
      </c>
      <c r="AN223" s="446">
        <v>10854</v>
      </c>
      <c r="AO223" s="273"/>
      <c r="AP223" s="541">
        <v>14.345356813385095</v>
      </c>
      <c r="AR223" s="178">
        <v>0</v>
      </c>
    </row>
    <row r="224" spans="1:44" x14ac:dyDescent="0.25">
      <c r="A224" s="193">
        <v>5763</v>
      </c>
      <c r="B224" s="454" t="s">
        <v>123</v>
      </c>
      <c r="C224" s="446">
        <v>1148817.9099999999</v>
      </c>
      <c r="D224" s="446">
        <v>109998.57</v>
      </c>
      <c r="E224" s="446"/>
      <c r="F224" s="446">
        <v>0</v>
      </c>
      <c r="G224" s="446">
        <v>15735.95</v>
      </c>
      <c r="H224" s="446">
        <v>1410.35</v>
      </c>
      <c r="I224" s="446">
        <v>0</v>
      </c>
      <c r="J224" s="446">
        <v>27278.89</v>
      </c>
      <c r="K224" s="446">
        <v>3988.7</v>
      </c>
      <c r="L224" s="446">
        <v>88872.5</v>
      </c>
      <c r="M224" s="506">
        <f t="shared" si="12"/>
        <v>1396102.8699999999</v>
      </c>
      <c r="N224" s="446">
        <v>40842.1</v>
      </c>
      <c r="O224" s="446">
        <v>0</v>
      </c>
      <c r="P224" s="446">
        <v>21871.35</v>
      </c>
      <c r="Q224" s="446">
        <v>0</v>
      </c>
      <c r="R224" s="446">
        <v>8235.85</v>
      </c>
      <c r="S224" s="446">
        <v>1682.2101604928944</v>
      </c>
      <c r="T224" s="506">
        <f t="shared" si="13"/>
        <v>1468734.3801604931</v>
      </c>
      <c r="U224" s="446">
        <v>-6373.31</v>
      </c>
      <c r="V224" s="446"/>
      <c r="W224" s="446">
        <v>-752.01</v>
      </c>
      <c r="X224" s="448">
        <v>68</v>
      </c>
      <c r="Y224" s="448">
        <v>1</v>
      </c>
      <c r="Z224" s="446">
        <v>609</v>
      </c>
      <c r="AA224" s="269"/>
      <c r="AB224" s="446">
        <v>23360</v>
      </c>
      <c r="AC224" s="450">
        <f>AB224/VPI!R224</f>
        <v>1.1422492010674683</v>
      </c>
      <c r="AD224" s="452">
        <f t="shared" si="14"/>
        <v>123310</v>
      </c>
      <c r="AE224" s="450">
        <f>AD224/VPI!R224</f>
        <v>6.0295697338882501</v>
      </c>
      <c r="AF224" s="446">
        <v>146670</v>
      </c>
      <c r="AG224" s="446">
        <v>41339</v>
      </c>
      <c r="AH224" s="446">
        <v>79073</v>
      </c>
      <c r="AI224" s="273"/>
      <c r="AJ224" s="446">
        <v>0</v>
      </c>
      <c r="AK224" s="450">
        <f>AJ224/VPI!R224</f>
        <v>0</v>
      </c>
      <c r="AL224" s="452">
        <f t="shared" si="16"/>
        <v>70952</v>
      </c>
      <c r="AM224" s="450">
        <f>AL224/VPI!R224</f>
        <v>3.4693863576258139</v>
      </c>
      <c r="AN224" s="446">
        <v>70952</v>
      </c>
      <c r="AO224" s="273"/>
      <c r="AP224" s="541">
        <v>25.960016097338027</v>
      </c>
      <c r="AR224" s="178">
        <v>0</v>
      </c>
    </row>
    <row r="225" spans="1:47" x14ac:dyDescent="0.25">
      <c r="A225" s="193">
        <v>5764</v>
      </c>
      <c r="B225" s="454" t="s">
        <v>286</v>
      </c>
      <c r="C225" s="446">
        <v>4656608.49</v>
      </c>
      <c r="D225" s="446">
        <v>443702.2</v>
      </c>
      <c r="E225" s="446"/>
      <c r="F225" s="446">
        <v>0</v>
      </c>
      <c r="G225" s="446">
        <v>289952.59999999998</v>
      </c>
      <c r="H225" s="446">
        <v>43838.25</v>
      </c>
      <c r="I225" s="446">
        <v>0</v>
      </c>
      <c r="J225" s="446">
        <v>215461.1</v>
      </c>
      <c r="K225" s="446">
        <v>40595.599999999999</v>
      </c>
      <c r="L225" s="446">
        <v>463831.75</v>
      </c>
      <c r="M225" s="506">
        <f t="shared" si="12"/>
        <v>6153989.9899999993</v>
      </c>
      <c r="N225" s="446">
        <v>2315164.4</v>
      </c>
      <c r="O225" s="446">
        <v>135412.4</v>
      </c>
      <c r="P225" s="446">
        <v>164862.54999999999</v>
      </c>
      <c r="Q225" s="446">
        <v>29176.75</v>
      </c>
      <c r="R225" s="446">
        <v>54187.95</v>
      </c>
      <c r="S225" s="446">
        <v>32747.960746607703</v>
      </c>
      <c r="T225" s="506">
        <f t="shared" si="13"/>
        <v>8885542.0007466059</v>
      </c>
      <c r="U225" s="446">
        <v>-191456.46</v>
      </c>
      <c r="V225" s="446"/>
      <c r="W225" s="446">
        <v>-3532.07</v>
      </c>
      <c r="X225" s="448">
        <v>71.5</v>
      </c>
      <c r="Y225" s="448">
        <v>1</v>
      </c>
      <c r="Z225" s="446">
        <v>3874</v>
      </c>
      <c r="AA225" s="269"/>
      <c r="AB225" s="446">
        <v>357781</v>
      </c>
      <c r="AC225" s="450">
        <f>AB225/VPI!R225</f>
        <v>4.248738611725555</v>
      </c>
      <c r="AD225" s="452">
        <f t="shared" si="14"/>
        <v>1449140</v>
      </c>
      <c r="AE225" s="450">
        <f>AD225/VPI!R225</f>
        <v>17.208898940402008</v>
      </c>
      <c r="AF225" s="446">
        <v>1806921</v>
      </c>
      <c r="AG225" s="446">
        <v>428619</v>
      </c>
      <c r="AH225" s="446">
        <v>417894</v>
      </c>
      <c r="AI225" s="273"/>
      <c r="AJ225" s="446">
        <v>0</v>
      </c>
      <c r="AK225" s="450">
        <f>AJ225/VPI!R225</f>
        <v>0</v>
      </c>
      <c r="AL225" s="452">
        <f t="shared" si="16"/>
        <v>801409</v>
      </c>
      <c r="AM225" s="450">
        <f>AL225/VPI!R225</f>
        <v>9.5169317601671555</v>
      </c>
      <c r="AN225" s="446">
        <v>801409</v>
      </c>
      <c r="AO225" s="273"/>
      <c r="AP225" s="541">
        <v>-0.98164842777661832</v>
      </c>
      <c r="AR225" s="178">
        <v>0</v>
      </c>
    </row>
    <row r="226" spans="1:47" x14ac:dyDescent="0.25">
      <c r="A226" s="193">
        <v>5765</v>
      </c>
      <c r="B226" s="454" t="s">
        <v>287</v>
      </c>
      <c r="C226" s="446">
        <v>756147.51</v>
      </c>
      <c r="D226" s="446">
        <v>88921.59</v>
      </c>
      <c r="E226" s="446"/>
      <c r="F226" s="446">
        <v>0</v>
      </c>
      <c r="G226" s="446">
        <v>897.75</v>
      </c>
      <c r="H226" s="446">
        <v>970.15</v>
      </c>
      <c r="I226" s="446">
        <v>0</v>
      </c>
      <c r="J226" s="446">
        <v>12677.3</v>
      </c>
      <c r="K226" s="446">
        <v>0</v>
      </c>
      <c r="L226" s="446">
        <v>32449.3</v>
      </c>
      <c r="M226" s="506">
        <f t="shared" si="12"/>
        <v>892063.60000000009</v>
      </c>
      <c r="N226" s="446">
        <v>53317.25</v>
      </c>
      <c r="O226" s="446">
        <v>5642.5</v>
      </c>
      <c r="P226" s="446">
        <v>31419</v>
      </c>
      <c r="Q226" s="446">
        <v>29995.119999999999</v>
      </c>
      <c r="R226" s="446">
        <v>61265.5</v>
      </c>
      <c r="S226" s="446">
        <v>183.25821657061161</v>
      </c>
      <c r="T226" s="506">
        <f t="shared" si="13"/>
        <v>1073886.2282165708</v>
      </c>
      <c r="U226" s="446">
        <v>-38231.56</v>
      </c>
      <c r="V226" s="446"/>
      <c r="W226" s="446">
        <v>-18.149999999999999</v>
      </c>
      <c r="X226" s="448">
        <v>81</v>
      </c>
      <c r="Y226" s="448">
        <v>0.5</v>
      </c>
      <c r="Z226" s="446">
        <v>506</v>
      </c>
      <c r="AA226" s="269"/>
      <c r="AB226" s="446">
        <v>30310</v>
      </c>
      <c r="AC226" s="450">
        <f>AB226/VPI!R226</f>
        <v>2.6789596687301467</v>
      </c>
      <c r="AD226" s="452">
        <f t="shared" si="14"/>
        <v>141104</v>
      </c>
      <c r="AE226" s="450">
        <f>AD226/VPI!R226</f>
        <v>12.471525077416649</v>
      </c>
      <c r="AF226" s="446">
        <v>171414</v>
      </c>
      <c r="AG226" s="446">
        <v>22047</v>
      </c>
      <c r="AH226" s="446">
        <v>51133</v>
      </c>
      <c r="AI226" s="273"/>
      <c r="AJ226" s="446">
        <v>0</v>
      </c>
      <c r="AK226" s="450">
        <f>AJ226/VPI!R226</f>
        <v>0</v>
      </c>
      <c r="AL226" s="452">
        <f t="shared" si="16"/>
        <v>63982</v>
      </c>
      <c r="AM226" s="450">
        <f>AL226/VPI!R226</f>
        <v>5.6550708520188797</v>
      </c>
      <c r="AN226" s="446">
        <v>63982</v>
      </c>
      <c r="AO226" s="273"/>
      <c r="AP226" s="541">
        <v>6.230580067834171</v>
      </c>
      <c r="AR226" s="178">
        <v>0</v>
      </c>
    </row>
    <row r="227" spans="1:47" x14ac:dyDescent="0.25">
      <c r="A227" s="193">
        <v>5766</v>
      </c>
      <c r="B227" s="454" t="s">
        <v>288</v>
      </c>
      <c r="C227" s="446">
        <v>981665.95</v>
      </c>
      <c r="D227" s="446">
        <v>139105.19</v>
      </c>
      <c r="E227" s="446"/>
      <c r="F227" s="446">
        <v>0</v>
      </c>
      <c r="G227" s="446">
        <v>9412.5</v>
      </c>
      <c r="H227" s="446">
        <v>1692.6</v>
      </c>
      <c r="I227" s="446">
        <v>0</v>
      </c>
      <c r="J227" s="446">
        <v>30624.49</v>
      </c>
      <c r="K227" s="446">
        <v>-5391.85</v>
      </c>
      <c r="L227" s="446">
        <v>58987.6</v>
      </c>
      <c r="M227" s="506">
        <f t="shared" si="12"/>
        <v>1216096.48</v>
      </c>
      <c r="N227" s="446">
        <v>27786</v>
      </c>
      <c r="O227" s="446">
        <v>0</v>
      </c>
      <c r="P227" s="446">
        <v>20955</v>
      </c>
      <c r="Q227" s="446">
        <v>5493.2</v>
      </c>
      <c r="R227" s="446">
        <v>18660.849999999999</v>
      </c>
      <c r="S227" s="446">
        <v>1089.5127259694304</v>
      </c>
      <c r="T227" s="506">
        <f t="shared" si="13"/>
        <v>1290081.0427259696</v>
      </c>
      <c r="U227" s="446">
        <v>-16611.82</v>
      </c>
      <c r="V227" s="446"/>
      <c r="W227" s="446">
        <v>-86.19</v>
      </c>
      <c r="X227" s="448">
        <v>77</v>
      </c>
      <c r="Y227" s="448">
        <v>0.7</v>
      </c>
      <c r="Z227" s="446">
        <v>584</v>
      </c>
      <c r="AA227" s="269"/>
      <c r="AB227" s="446">
        <v>15354</v>
      </c>
      <c r="AC227" s="450">
        <f>AB227/VPI!R227</f>
        <v>0.96020051026242781</v>
      </c>
      <c r="AD227" s="452">
        <f t="shared" si="14"/>
        <v>143235</v>
      </c>
      <c r="AE227" s="450">
        <f>AD227/VPI!R227</f>
        <v>8.9575563428057094</v>
      </c>
      <c r="AF227" s="446">
        <v>158589</v>
      </c>
      <c r="AG227" s="446">
        <v>64009</v>
      </c>
      <c r="AH227" s="446">
        <v>56285</v>
      </c>
      <c r="AI227" s="273"/>
      <c r="AJ227" s="446">
        <v>0</v>
      </c>
      <c r="AK227" s="450">
        <f>AJ227/VPI!R227</f>
        <v>0</v>
      </c>
      <c r="AL227" s="452">
        <f t="shared" si="16"/>
        <v>15894</v>
      </c>
      <c r="AM227" s="450">
        <f>AL227/VPI!R227</f>
        <v>0.99397075095161047</v>
      </c>
      <c r="AN227" s="446">
        <v>15894</v>
      </c>
      <c r="AO227" s="273"/>
      <c r="AP227" s="541">
        <v>8.7234113244295255</v>
      </c>
      <c r="AR227" s="178">
        <v>0</v>
      </c>
    </row>
    <row r="228" spans="1:47" x14ac:dyDescent="0.25">
      <c r="A228" s="193">
        <v>5785</v>
      </c>
      <c r="B228" s="454" t="s">
        <v>240</v>
      </c>
      <c r="C228" s="446">
        <v>1073755.75</v>
      </c>
      <c r="D228" s="446">
        <v>188448.48</v>
      </c>
      <c r="E228" s="446"/>
      <c r="F228" s="446">
        <v>0</v>
      </c>
      <c r="G228" s="446">
        <v>2096.0500000000002</v>
      </c>
      <c r="H228" s="446">
        <v>297.25</v>
      </c>
      <c r="I228" s="446">
        <v>0</v>
      </c>
      <c r="J228" s="446">
        <v>19643.89</v>
      </c>
      <c r="K228" s="446">
        <v>1202.5999999999999</v>
      </c>
      <c r="L228" s="446">
        <v>74271.75</v>
      </c>
      <c r="M228" s="506">
        <f t="shared" si="12"/>
        <v>1359715.77</v>
      </c>
      <c r="N228" s="446">
        <v>0</v>
      </c>
      <c r="O228" s="446">
        <v>32518.2</v>
      </c>
      <c r="P228" s="446">
        <v>67824.5</v>
      </c>
      <c r="Q228" s="446">
        <v>399.81</v>
      </c>
      <c r="R228" s="446">
        <v>32452.7</v>
      </c>
      <c r="S228" s="446">
        <v>234.80480203353756</v>
      </c>
      <c r="T228" s="506">
        <f t="shared" si="13"/>
        <v>1493145.7848020336</v>
      </c>
      <c r="U228" s="446">
        <v>-10648.48</v>
      </c>
      <c r="V228" s="446"/>
      <c r="W228" s="446">
        <v>-1741.16</v>
      </c>
      <c r="X228" s="448">
        <v>77</v>
      </c>
      <c r="Y228" s="448">
        <v>1</v>
      </c>
      <c r="Z228" s="446">
        <v>451</v>
      </c>
      <c r="AA228" s="269"/>
      <c r="AB228" s="446">
        <v>1004</v>
      </c>
      <c r="AC228" s="450">
        <f>AB228/VPI!R228</f>
        <v>5.7351818514087161E-2</v>
      </c>
      <c r="AD228" s="452">
        <f t="shared" si="14"/>
        <v>129186</v>
      </c>
      <c r="AE228" s="450">
        <f>AD228/VPI!R228</f>
        <v>7.3795338909968757</v>
      </c>
      <c r="AF228" s="446">
        <v>130190</v>
      </c>
      <c r="AG228" s="446">
        <v>13105</v>
      </c>
      <c r="AH228" s="446">
        <v>59412</v>
      </c>
      <c r="AI228" s="273"/>
      <c r="AJ228" s="446">
        <v>0</v>
      </c>
      <c r="AK228" s="450">
        <f>AJ228/VPI!R228</f>
        <v>0</v>
      </c>
      <c r="AL228" s="452">
        <f t="shared" si="16"/>
        <v>41432</v>
      </c>
      <c r="AM228" s="450">
        <f>AL228/VPI!R228</f>
        <v>2.3667336102347201</v>
      </c>
      <c r="AN228" s="446">
        <v>41432</v>
      </c>
      <c r="AO228" s="273"/>
      <c r="AP228" s="541">
        <v>25.899479975054707</v>
      </c>
      <c r="AR228" s="178">
        <v>0</v>
      </c>
    </row>
    <row r="229" spans="1:47" x14ac:dyDescent="0.25">
      <c r="A229" s="193">
        <v>5790</v>
      </c>
      <c r="B229" s="454" t="s">
        <v>241</v>
      </c>
      <c r="C229" s="446">
        <v>779342.54</v>
      </c>
      <c r="D229" s="446">
        <v>92962.16</v>
      </c>
      <c r="E229" s="446"/>
      <c r="F229" s="446">
        <v>0</v>
      </c>
      <c r="G229" s="446">
        <v>7423.25</v>
      </c>
      <c r="H229" s="446">
        <v>648.20000000000005</v>
      </c>
      <c r="I229" s="446">
        <v>0</v>
      </c>
      <c r="J229" s="446">
        <v>23539.63</v>
      </c>
      <c r="K229" s="446">
        <v>2948</v>
      </c>
      <c r="L229" s="446">
        <v>90812.25</v>
      </c>
      <c r="M229" s="506">
        <f t="shared" si="12"/>
        <v>997676.03</v>
      </c>
      <c r="N229" s="446">
        <v>8885.9</v>
      </c>
      <c r="O229" s="446">
        <v>0</v>
      </c>
      <c r="P229" s="446">
        <v>38445.15</v>
      </c>
      <c r="Q229" s="446">
        <v>0</v>
      </c>
      <c r="R229" s="446">
        <v>17586.650000000001</v>
      </c>
      <c r="S229" s="446">
        <v>791.88368335503128</v>
      </c>
      <c r="T229" s="506">
        <f t="shared" si="13"/>
        <v>1063385.613683355</v>
      </c>
      <c r="U229" s="446">
        <v>-91.98</v>
      </c>
      <c r="V229" s="446"/>
      <c r="W229" s="446">
        <v>-394.87</v>
      </c>
      <c r="X229" s="448">
        <v>74.5</v>
      </c>
      <c r="Y229" s="448">
        <v>1</v>
      </c>
      <c r="Z229" s="446">
        <v>538</v>
      </c>
      <c r="AA229" s="269"/>
      <c r="AB229" s="446">
        <v>28372</v>
      </c>
      <c r="AC229" s="450">
        <f>AB229/VPI!R229</f>
        <v>2.1179900871051505</v>
      </c>
      <c r="AD229" s="452">
        <f t="shared" si="14"/>
        <v>71599</v>
      </c>
      <c r="AE229" s="450">
        <f>AD229/VPI!R229</f>
        <v>5.3449165461244075</v>
      </c>
      <c r="AF229" s="446">
        <v>99971</v>
      </c>
      <c r="AG229" s="446">
        <v>15394</v>
      </c>
      <c r="AH229" s="446">
        <v>70472</v>
      </c>
      <c r="AI229" s="273"/>
      <c r="AJ229" s="446">
        <v>0</v>
      </c>
      <c r="AK229" s="450">
        <f>AJ229/VPI!R229</f>
        <v>0</v>
      </c>
      <c r="AL229" s="452">
        <f t="shared" si="16"/>
        <v>6029</v>
      </c>
      <c r="AM229" s="450">
        <f>AL229/VPI!R229</f>
        <v>0.4500691609740925</v>
      </c>
      <c r="AN229" s="446">
        <v>6029</v>
      </c>
      <c r="AO229" s="273"/>
      <c r="AP229" s="541">
        <v>13.997158558972288</v>
      </c>
      <c r="AR229" s="178">
        <v>0</v>
      </c>
    </row>
    <row r="230" spans="1:47" x14ac:dyDescent="0.25">
      <c r="A230" s="193">
        <v>5792</v>
      </c>
      <c r="B230" s="454" t="s">
        <v>242</v>
      </c>
      <c r="C230" s="446">
        <v>1096366.48</v>
      </c>
      <c r="D230" s="446">
        <v>95741.17</v>
      </c>
      <c r="E230" s="446"/>
      <c r="F230" s="446">
        <v>0</v>
      </c>
      <c r="G230" s="446">
        <v>693.8</v>
      </c>
      <c r="H230" s="446">
        <v>2274.4</v>
      </c>
      <c r="I230" s="446">
        <v>0</v>
      </c>
      <c r="J230" s="446">
        <v>18841.11</v>
      </c>
      <c r="K230" s="446">
        <v>-1992</v>
      </c>
      <c r="L230" s="446">
        <v>118656.4</v>
      </c>
      <c r="M230" s="506">
        <f t="shared" si="12"/>
        <v>1330581.3599999999</v>
      </c>
      <c r="N230" s="446">
        <v>116.15</v>
      </c>
      <c r="O230" s="446">
        <v>7826.8</v>
      </c>
      <c r="P230" s="446">
        <v>52272</v>
      </c>
      <c r="Q230" s="446">
        <v>1084.8900000000001</v>
      </c>
      <c r="R230" s="446">
        <v>51778.25</v>
      </c>
      <c r="S230" s="446">
        <v>291.20779400657921</v>
      </c>
      <c r="T230" s="506">
        <f t="shared" si="13"/>
        <v>1443950.6577940064</v>
      </c>
      <c r="U230" s="446">
        <v>-11325.64</v>
      </c>
      <c r="V230" s="446"/>
      <c r="W230" s="446">
        <v>-4.33</v>
      </c>
      <c r="X230" s="448">
        <v>75</v>
      </c>
      <c r="Y230" s="448">
        <v>1</v>
      </c>
      <c r="Z230" s="446">
        <v>653</v>
      </c>
      <c r="AA230" s="269"/>
      <c r="AB230" s="446">
        <v>67045</v>
      </c>
      <c r="AC230" s="450">
        <f>AB230/VPI!R230</f>
        <v>3.8075649995741525</v>
      </c>
      <c r="AD230" s="452">
        <f t="shared" si="14"/>
        <v>191666</v>
      </c>
      <c r="AE230" s="450">
        <f>AD230/VPI!R230</f>
        <v>10.884939267781034</v>
      </c>
      <c r="AF230" s="446">
        <v>258711</v>
      </c>
      <c r="AG230" s="446">
        <v>28199</v>
      </c>
      <c r="AH230" s="446">
        <v>89318</v>
      </c>
      <c r="AI230" s="273"/>
      <c r="AJ230" s="446">
        <v>0</v>
      </c>
      <c r="AK230" s="450">
        <f>AJ230/VPI!R230</f>
        <v>0</v>
      </c>
      <c r="AL230" s="452">
        <f t="shared" si="16"/>
        <v>7988</v>
      </c>
      <c r="AM230" s="450">
        <f>AL230/VPI!R230</f>
        <v>0.45364798592882882</v>
      </c>
      <c r="AN230" s="446">
        <v>7988</v>
      </c>
      <c r="AO230" s="273"/>
      <c r="AP230" s="541">
        <v>19.278707260188284</v>
      </c>
      <c r="AR230" s="178">
        <v>0</v>
      </c>
    </row>
    <row r="231" spans="1:47" x14ac:dyDescent="0.25">
      <c r="A231" s="193">
        <v>5798</v>
      </c>
      <c r="B231" s="454" t="s">
        <v>243</v>
      </c>
      <c r="C231" s="446">
        <v>980135.85</v>
      </c>
      <c r="D231" s="446">
        <v>134403.87</v>
      </c>
      <c r="E231" s="446"/>
      <c r="F231" s="446">
        <v>0</v>
      </c>
      <c r="G231" s="446">
        <v>9506.1</v>
      </c>
      <c r="H231" s="446">
        <v>1528.15</v>
      </c>
      <c r="I231" s="446">
        <v>0</v>
      </c>
      <c r="J231" s="446">
        <v>21076.43</v>
      </c>
      <c r="K231" s="446">
        <v>6288.25</v>
      </c>
      <c r="L231" s="446">
        <v>40243.65</v>
      </c>
      <c r="M231" s="506">
        <f t="shared" si="12"/>
        <v>1193182.2999999998</v>
      </c>
      <c r="N231" s="446">
        <v>21843.25</v>
      </c>
      <c r="O231" s="446">
        <v>15707.6</v>
      </c>
      <c r="P231" s="446">
        <v>42477.9</v>
      </c>
      <c r="Q231" s="446">
        <v>791.08</v>
      </c>
      <c r="R231" s="446">
        <v>10790.15</v>
      </c>
      <c r="S231" s="446">
        <v>1082.5616875605074</v>
      </c>
      <c r="T231" s="506">
        <f t="shared" si="13"/>
        <v>1285874.8416875603</v>
      </c>
      <c r="U231" s="446">
        <v>-14050.28</v>
      </c>
      <c r="V231" s="446"/>
      <c r="W231" s="446">
        <v>-77.489999999999995</v>
      </c>
      <c r="X231" s="448">
        <v>77.5</v>
      </c>
      <c r="Y231" s="448">
        <v>0.5</v>
      </c>
      <c r="Z231" s="446">
        <v>528</v>
      </c>
      <c r="AA231" s="269"/>
      <c r="AB231" s="446">
        <v>11572</v>
      </c>
      <c r="AC231" s="450">
        <f>AB231/VPI!R231</f>
        <v>0.73440115802922279</v>
      </c>
      <c r="AD231" s="452">
        <f t="shared" si="14"/>
        <v>97002</v>
      </c>
      <c r="AE231" s="450">
        <f>AD231/VPI!R231</f>
        <v>6.1560993027264663</v>
      </c>
      <c r="AF231" s="446">
        <v>108574</v>
      </c>
      <c r="AG231" s="446">
        <v>13964</v>
      </c>
      <c r="AH231" s="446">
        <v>79831</v>
      </c>
      <c r="AI231" s="273"/>
      <c r="AJ231" s="446">
        <v>0</v>
      </c>
      <c r="AK231" s="450">
        <f>AJ231/VPI!R231</f>
        <v>0</v>
      </c>
      <c r="AL231" s="452">
        <f t="shared" si="16"/>
        <v>-2237</v>
      </c>
      <c r="AM231" s="450">
        <f>AL231/VPI!R231</f>
        <v>-0.1419681464320231</v>
      </c>
      <c r="AN231" s="446">
        <v>-2237</v>
      </c>
      <c r="AO231" s="273"/>
      <c r="AP231" s="541">
        <v>17.354559595364567</v>
      </c>
      <c r="AR231" s="178">
        <v>0</v>
      </c>
    </row>
    <row r="232" spans="1:47" x14ac:dyDescent="0.25">
      <c r="A232" s="193">
        <v>5799</v>
      </c>
      <c r="B232" s="454" t="s">
        <v>244</v>
      </c>
      <c r="C232" s="446">
        <v>3795368.05</v>
      </c>
      <c r="D232" s="446">
        <v>513167.28</v>
      </c>
      <c r="E232" s="446"/>
      <c r="F232" s="446">
        <v>0</v>
      </c>
      <c r="G232" s="446">
        <v>23065.65</v>
      </c>
      <c r="H232" s="446">
        <v>2587.4</v>
      </c>
      <c r="I232" s="446">
        <v>0</v>
      </c>
      <c r="J232" s="446">
        <v>61021.97</v>
      </c>
      <c r="K232" s="446">
        <v>20849.349999999999</v>
      </c>
      <c r="L232" s="446">
        <v>395030.85</v>
      </c>
      <c r="M232" s="506">
        <f t="shared" si="12"/>
        <v>4811090.55</v>
      </c>
      <c r="N232" s="446">
        <v>26847.85</v>
      </c>
      <c r="O232" s="446">
        <v>39892.699999999997</v>
      </c>
      <c r="P232" s="446">
        <v>284271.75</v>
      </c>
      <c r="Q232" s="446">
        <v>11812.31</v>
      </c>
      <c r="R232" s="446">
        <v>250111.05</v>
      </c>
      <c r="S232" s="446">
        <v>2516.8007883702167</v>
      </c>
      <c r="T232" s="506">
        <f t="shared" si="13"/>
        <v>5426543.010788369</v>
      </c>
      <c r="U232" s="446">
        <v>-37689.599999999999</v>
      </c>
      <c r="V232" s="446"/>
      <c r="W232" s="446">
        <v>-571.88</v>
      </c>
      <c r="X232" s="448">
        <v>69</v>
      </c>
      <c r="Y232" s="448">
        <v>1</v>
      </c>
      <c r="Z232" s="446">
        <v>2076</v>
      </c>
      <c r="AA232" s="269"/>
      <c r="AB232" s="446">
        <v>253531</v>
      </c>
      <c r="AC232" s="450">
        <f>AB232/VPI!R232</f>
        <v>3.6542847216130796</v>
      </c>
      <c r="AD232" s="452">
        <f t="shared" si="14"/>
        <v>378458</v>
      </c>
      <c r="AE232" s="450">
        <f>AD232/VPI!R232</f>
        <v>5.4549277491598378</v>
      </c>
      <c r="AF232" s="446">
        <v>631989</v>
      </c>
      <c r="AG232" s="446">
        <v>85713</v>
      </c>
      <c r="AH232" s="446">
        <v>276067</v>
      </c>
      <c r="AI232" s="273"/>
      <c r="AJ232" s="446">
        <v>0</v>
      </c>
      <c r="AK232" s="450">
        <f>AJ232/VPI!R232</f>
        <v>0</v>
      </c>
      <c r="AL232" s="452">
        <f t="shared" si="16"/>
        <v>39764</v>
      </c>
      <c r="AM232" s="450">
        <f>AL232/VPI!R232</f>
        <v>0.57314086904647754</v>
      </c>
      <c r="AN232" s="446">
        <v>39764</v>
      </c>
      <c r="AO232" s="273"/>
      <c r="AP232" s="541">
        <v>22.745454451564061</v>
      </c>
      <c r="AR232" s="178">
        <v>0</v>
      </c>
    </row>
    <row r="233" spans="1:47" x14ac:dyDescent="0.25">
      <c r="A233" s="193">
        <v>5803</v>
      </c>
      <c r="B233" s="454" t="s">
        <v>315</v>
      </c>
      <c r="C233" s="446">
        <v>1193997.79</v>
      </c>
      <c r="D233" s="446">
        <v>147057.65</v>
      </c>
      <c r="E233" s="446"/>
      <c r="F233" s="446">
        <v>0</v>
      </c>
      <c r="G233" s="446">
        <v>-2068</v>
      </c>
      <c r="H233" s="446">
        <v>580.29999999999995</v>
      </c>
      <c r="I233" s="446">
        <v>0</v>
      </c>
      <c r="J233" s="446">
        <v>26442.34</v>
      </c>
      <c r="K233" s="446">
        <v>0</v>
      </c>
      <c r="L233" s="446">
        <v>105284.85</v>
      </c>
      <c r="M233" s="506">
        <f t="shared" si="12"/>
        <v>1471294.9300000002</v>
      </c>
      <c r="N233" s="446">
        <v>959.9</v>
      </c>
      <c r="O233" s="446">
        <v>39814.300000000003</v>
      </c>
      <c r="P233" s="446">
        <v>12735.6</v>
      </c>
      <c r="Q233" s="446">
        <v>3726.78</v>
      </c>
      <c r="R233" s="446">
        <v>11322.85</v>
      </c>
      <c r="S233" s="446">
        <v>0</v>
      </c>
      <c r="T233" s="506">
        <f t="shared" si="13"/>
        <v>1539854.3600000003</v>
      </c>
      <c r="U233" s="446">
        <v>-39936.660000000003</v>
      </c>
      <c r="V233" s="446"/>
      <c r="W233" s="446">
        <v>-335.67</v>
      </c>
      <c r="X233" s="448">
        <v>76</v>
      </c>
      <c r="Y233" s="448">
        <v>1</v>
      </c>
      <c r="Z233" s="446">
        <v>624</v>
      </c>
      <c r="AA233" s="269"/>
      <c r="AB233" s="446">
        <v>19719</v>
      </c>
      <c r="AC233" s="450">
        <f>AB233/VPI!R233</f>
        <v>1.044533645311629</v>
      </c>
      <c r="AD233" s="452">
        <f t="shared" si="14"/>
        <v>100527</v>
      </c>
      <c r="AE233" s="450">
        <f>AD233/VPI!R233</f>
        <v>5.3250080512319151</v>
      </c>
      <c r="AF233" s="446">
        <v>120246</v>
      </c>
      <c r="AG233" s="446">
        <v>17569</v>
      </c>
      <c r="AH233" s="446">
        <v>88612</v>
      </c>
      <c r="AI233" s="273"/>
      <c r="AJ233" s="446">
        <v>0</v>
      </c>
      <c r="AK233" s="450">
        <f>AJ233/VPI!R233</f>
        <v>0</v>
      </c>
      <c r="AL233" s="452">
        <f t="shared" si="16"/>
        <v>52817</v>
      </c>
      <c r="AM233" s="450">
        <f>AL233/VPI!R233</f>
        <v>2.7977652793967396</v>
      </c>
      <c r="AN233" s="446">
        <v>52817</v>
      </c>
      <c r="AO233" s="273"/>
      <c r="AP233" s="541">
        <v>15.676072864606827</v>
      </c>
      <c r="AR233" s="178">
        <v>0</v>
      </c>
    </row>
    <row r="234" spans="1:47" x14ac:dyDescent="0.25">
      <c r="A234" s="193">
        <v>5804</v>
      </c>
      <c r="B234" s="454" t="s">
        <v>348</v>
      </c>
      <c r="C234" s="446">
        <v>2607873.27</v>
      </c>
      <c r="D234" s="446">
        <v>401016.37</v>
      </c>
      <c r="E234" s="446"/>
      <c r="F234" s="446">
        <v>0</v>
      </c>
      <c r="G234" s="446">
        <v>54944.3</v>
      </c>
      <c r="H234" s="446">
        <v>1302.4000000000001</v>
      </c>
      <c r="I234" s="446">
        <v>0</v>
      </c>
      <c r="J234" s="446">
        <v>17046.580000000002</v>
      </c>
      <c r="K234" s="446">
        <v>3532.6</v>
      </c>
      <c r="L234" s="446">
        <v>270624.8</v>
      </c>
      <c r="M234" s="506">
        <f t="shared" si="12"/>
        <v>3356340.32</v>
      </c>
      <c r="N234" s="446">
        <v>8222.75</v>
      </c>
      <c r="O234" s="446">
        <v>117376.8</v>
      </c>
      <c r="P234" s="446">
        <v>158492.65</v>
      </c>
      <c r="Q234" s="446">
        <v>603.1</v>
      </c>
      <c r="R234" s="446">
        <v>116405.75</v>
      </c>
      <c r="S234" s="446">
        <v>5518.3200010612009</v>
      </c>
      <c r="T234" s="506">
        <f t="shared" si="13"/>
        <v>3762959.6900010607</v>
      </c>
      <c r="U234" s="446">
        <v>-71782.210000000006</v>
      </c>
      <c r="V234" s="446"/>
      <c r="W234" s="446">
        <v>-60.84</v>
      </c>
      <c r="X234" s="448">
        <v>70.5</v>
      </c>
      <c r="Y234" s="448">
        <v>1</v>
      </c>
      <c r="Z234" s="446">
        <v>1602</v>
      </c>
      <c r="AA234" s="269"/>
      <c r="AB234" s="446">
        <v>73136</v>
      </c>
      <c r="AC234" s="450">
        <f>AB234/VPI!R234</f>
        <v>1.5669053408307045</v>
      </c>
      <c r="AD234" s="452">
        <f t="shared" si="14"/>
        <v>655920</v>
      </c>
      <c r="AE234" s="450">
        <f>AD234/VPI!R234</f>
        <v>14.052785921538991</v>
      </c>
      <c r="AF234" s="446">
        <v>729056</v>
      </c>
      <c r="AG234" s="446">
        <v>45525</v>
      </c>
      <c r="AH234" s="446">
        <v>127980</v>
      </c>
      <c r="AI234" s="273"/>
      <c r="AJ234" s="446">
        <v>0</v>
      </c>
      <c r="AK234" s="450">
        <f>AJ234/VPI!R234</f>
        <v>0</v>
      </c>
      <c r="AL234" s="452">
        <f t="shared" si="16"/>
        <v>176575</v>
      </c>
      <c r="AM234" s="450">
        <f>AL234/VPI!R234</f>
        <v>3.7830385932670865</v>
      </c>
      <c r="AN234" s="446">
        <v>176575</v>
      </c>
      <c r="AO234" s="273"/>
      <c r="AP234" s="541">
        <v>14.037741079062053</v>
      </c>
      <c r="AR234" s="178">
        <v>0</v>
      </c>
    </row>
    <row r="235" spans="1:47" s="240" customFormat="1" x14ac:dyDescent="0.25">
      <c r="A235" s="193">
        <v>5805</v>
      </c>
      <c r="B235" s="454" t="s">
        <v>350</v>
      </c>
      <c r="C235" s="446">
        <v>9089394.2999999989</v>
      </c>
      <c r="D235" s="446">
        <v>1026708.87</v>
      </c>
      <c r="E235" s="446"/>
      <c r="F235" s="446">
        <v>0</v>
      </c>
      <c r="G235" s="446">
        <v>553905.15</v>
      </c>
      <c r="H235" s="446">
        <v>59877.599999999999</v>
      </c>
      <c r="I235" s="446">
        <v>0</v>
      </c>
      <c r="J235" s="446">
        <v>194454.97</v>
      </c>
      <c r="K235" s="446">
        <v>6071.05</v>
      </c>
      <c r="L235" s="446">
        <v>1121078.5999999999</v>
      </c>
      <c r="M235" s="506">
        <f t="shared" si="12"/>
        <v>12051490.539999999</v>
      </c>
      <c r="N235" s="446">
        <v>124700.70000000001</v>
      </c>
      <c r="O235" s="446">
        <v>147130.09</v>
      </c>
      <c r="P235" s="446">
        <v>329213.35000000003</v>
      </c>
      <c r="Q235" s="446">
        <v>61779.53</v>
      </c>
      <c r="R235" s="446">
        <v>235879.7</v>
      </c>
      <c r="S235" s="446">
        <v>60217.748341348859</v>
      </c>
      <c r="T235" s="506">
        <f t="shared" si="13"/>
        <v>13010411.658341344</v>
      </c>
      <c r="U235" s="446">
        <v>-228471.39</v>
      </c>
      <c r="V235" s="446">
        <v>0</v>
      </c>
      <c r="W235" s="446">
        <v>-10762.72</v>
      </c>
      <c r="X235" s="448">
        <v>69.239999999999995</v>
      </c>
      <c r="Y235" s="448">
        <v>1</v>
      </c>
      <c r="Z235" s="446">
        <v>6052</v>
      </c>
      <c r="AA235" s="269"/>
      <c r="AB235" s="446">
        <v>272671</v>
      </c>
      <c r="AC235" s="450">
        <f>AB235/VPI!R235</f>
        <v>1.5819791083211316</v>
      </c>
      <c r="AD235" s="452">
        <f t="shared" si="14"/>
        <v>1114837</v>
      </c>
      <c r="AE235" s="450">
        <f>AD235/VPI!R235</f>
        <v>6.468046998703219</v>
      </c>
      <c r="AF235" s="446">
        <v>1387508</v>
      </c>
      <c r="AG235" s="446">
        <v>421845</v>
      </c>
      <c r="AH235" s="446">
        <v>766586</v>
      </c>
      <c r="AI235" s="273"/>
      <c r="AJ235" s="446">
        <v>0</v>
      </c>
      <c r="AK235" s="450">
        <f>AJ235/VPI!R235</f>
        <v>0</v>
      </c>
      <c r="AL235" s="452">
        <f t="shared" si="16"/>
        <v>55979</v>
      </c>
      <c r="AM235" s="450">
        <f>AL235/VPI!R235</f>
        <v>0.32477824376156111</v>
      </c>
      <c r="AN235" s="446">
        <v>55979</v>
      </c>
      <c r="AO235" s="273"/>
      <c r="AP235" s="541">
        <v>9.5504692282597219</v>
      </c>
      <c r="AR235" s="178">
        <v>0</v>
      </c>
      <c r="AU235" s="5"/>
    </row>
    <row r="236" spans="1:47" x14ac:dyDescent="0.25">
      <c r="A236" s="193">
        <v>5806</v>
      </c>
      <c r="B236" s="454" t="s">
        <v>375</v>
      </c>
      <c r="C236" s="446">
        <v>5324987.9800000004</v>
      </c>
      <c r="D236" s="446">
        <v>563139.16</v>
      </c>
      <c r="E236" s="446"/>
      <c r="F236" s="446">
        <v>0</v>
      </c>
      <c r="G236" s="446">
        <v>90461.85</v>
      </c>
      <c r="H236" s="446">
        <v>9574.4500000000007</v>
      </c>
      <c r="I236" s="446">
        <v>53124.25</v>
      </c>
      <c r="J236" s="446">
        <v>61110.42</v>
      </c>
      <c r="K236" s="446">
        <v>16744.75</v>
      </c>
      <c r="L236" s="446">
        <v>521911.25</v>
      </c>
      <c r="M236" s="506">
        <f t="shared" si="12"/>
        <v>6641054.1100000003</v>
      </c>
      <c r="N236" s="446">
        <v>30186.6</v>
      </c>
      <c r="O236" s="446">
        <v>99419.199999999997</v>
      </c>
      <c r="P236" s="446">
        <v>230887.7</v>
      </c>
      <c r="Q236" s="446">
        <v>26120.86</v>
      </c>
      <c r="R236" s="446">
        <v>197024.7</v>
      </c>
      <c r="S236" s="446">
        <v>9814.4836074322357</v>
      </c>
      <c r="T236" s="506">
        <f t="shared" si="13"/>
        <v>7234507.6536074327</v>
      </c>
      <c r="U236" s="446">
        <v>-28820.5</v>
      </c>
      <c r="V236" s="446"/>
      <c r="W236" s="446">
        <v>-2223.91</v>
      </c>
      <c r="X236" s="448">
        <v>73</v>
      </c>
      <c r="Y236" s="448">
        <v>1</v>
      </c>
      <c r="Z236" s="446">
        <v>2966</v>
      </c>
      <c r="AA236" s="269"/>
      <c r="AB236" s="446">
        <v>243846</v>
      </c>
      <c r="AC236" s="450">
        <f>AB236/VPI!R236</f>
        <v>2.6784389403162612</v>
      </c>
      <c r="AD236" s="452">
        <f t="shared" si="14"/>
        <v>474688</v>
      </c>
      <c r="AE236" s="450">
        <f>AD236/VPI!R236</f>
        <v>5.2140401060540063</v>
      </c>
      <c r="AF236" s="446">
        <v>718534</v>
      </c>
      <c r="AG236" s="446">
        <v>126575</v>
      </c>
      <c r="AH236" s="446">
        <v>434629</v>
      </c>
      <c r="AI236" s="273"/>
      <c r="AJ236" s="446">
        <v>74586</v>
      </c>
      <c r="AK236" s="450">
        <f>AJ236/VPI!R236</f>
        <v>0.81926316938735366</v>
      </c>
      <c r="AL236" s="452">
        <f t="shared" si="16"/>
        <v>12571</v>
      </c>
      <c r="AM236" s="450">
        <f>AL236/VPI!R236</f>
        <v>0.13808164135854481</v>
      </c>
      <c r="AN236" s="446">
        <v>87157</v>
      </c>
      <c r="AO236" s="273"/>
      <c r="AP236" s="541">
        <v>15.263888429508569</v>
      </c>
      <c r="AR236" s="178">
        <v>0</v>
      </c>
    </row>
    <row r="237" spans="1:47" x14ac:dyDescent="0.25">
      <c r="A237" s="193">
        <v>5812</v>
      </c>
      <c r="B237" s="454" t="s">
        <v>316</v>
      </c>
      <c r="C237" s="446">
        <v>150659.70000000001</v>
      </c>
      <c r="D237" s="446">
        <v>31222.799999999999</v>
      </c>
      <c r="E237" s="446"/>
      <c r="F237" s="446">
        <v>0</v>
      </c>
      <c r="G237" s="446">
        <v>-4529.45</v>
      </c>
      <c r="H237" s="446">
        <v>693.7</v>
      </c>
      <c r="I237" s="446">
        <v>0</v>
      </c>
      <c r="J237" s="446">
        <v>0</v>
      </c>
      <c r="K237" s="446">
        <v>637.5</v>
      </c>
      <c r="L237" s="446">
        <v>15827.8</v>
      </c>
      <c r="M237" s="506">
        <f t="shared" si="12"/>
        <v>194512.05</v>
      </c>
      <c r="N237" s="446">
        <v>0</v>
      </c>
      <c r="O237" s="446">
        <v>1716.7</v>
      </c>
      <c r="P237" s="446">
        <v>9223.0499999999993</v>
      </c>
      <c r="Q237" s="446">
        <v>0</v>
      </c>
      <c r="R237" s="446">
        <v>15795.2</v>
      </c>
      <c r="S237" s="446">
        <v>0</v>
      </c>
      <c r="T237" s="506">
        <f t="shared" si="13"/>
        <v>221247</v>
      </c>
      <c r="U237" s="446">
        <v>-5185.42</v>
      </c>
      <c r="V237" s="446"/>
      <c r="W237" s="446">
        <v>-82.27</v>
      </c>
      <c r="X237" s="448">
        <v>77</v>
      </c>
      <c r="Y237" s="448">
        <v>0.8</v>
      </c>
      <c r="Z237" s="446">
        <v>144</v>
      </c>
      <c r="AA237" s="269"/>
      <c r="AB237" s="446">
        <v>15747</v>
      </c>
      <c r="AC237" s="450">
        <f>AB237/VPI!R237</f>
        <v>6.2759357066471235</v>
      </c>
      <c r="AD237" s="452">
        <f t="shared" si="14"/>
        <v>21762</v>
      </c>
      <c r="AE237" s="450">
        <f>AD237/VPI!R237</f>
        <v>8.6732020605864424</v>
      </c>
      <c r="AF237" s="446">
        <v>37509</v>
      </c>
      <c r="AG237" s="446">
        <v>4906</v>
      </c>
      <c r="AH237" s="446">
        <v>17085</v>
      </c>
      <c r="AI237" s="273"/>
      <c r="AJ237" s="446">
        <v>200</v>
      </c>
      <c r="AK237" s="450">
        <f>AJ237/VPI!R237</f>
        <v>7.9709604453510177E-2</v>
      </c>
      <c r="AL237" s="452">
        <f t="shared" si="16"/>
        <v>1029</v>
      </c>
      <c r="AM237" s="450">
        <f>AL237/VPI!R237</f>
        <v>0.41010591491330989</v>
      </c>
      <c r="AN237" s="446">
        <v>1229</v>
      </c>
      <c r="AO237" s="273"/>
      <c r="AP237" s="541">
        <v>14.550669655500396</v>
      </c>
      <c r="AR237" s="178">
        <v>0</v>
      </c>
    </row>
    <row r="238" spans="1:47" x14ac:dyDescent="0.25">
      <c r="A238" s="193">
        <v>5813</v>
      </c>
      <c r="B238" s="454" t="s">
        <v>317</v>
      </c>
      <c r="C238" s="446">
        <v>814631.96</v>
      </c>
      <c r="D238" s="446">
        <v>104000.15</v>
      </c>
      <c r="E238" s="446"/>
      <c r="F238" s="446">
        <v>3140</v>
      </c>
      <c r="G238" s="446">
        <v>20282.599999999999</v>
      </c>
      <c r="H238" s="446">
        <v>386.35</v>
      </c>
      <c r="I238" s="446">
        <v>0</v>
      </c>
      <c r="J238" s="446">
        <v>19887.509999999998</v>
      </c>
      <c r="K238" s="446">
        <v>0</v>
      </c>
      <c r="L238" s="446">
        <v>111751.8</v>
      </c>
      <c r="M238" s="506">
        <f t="shared" si="12"/>
        <v>1074080.3699999999</v>
      </c>
      <c r="N238" s="446">
        <v>0</v>
      </c>
      <c r="O238" s="446">
        <v>0</v>
      </c>
      <c r="P238" s="446">
        <v>31951.200000000001</v>
      </c>
      <c r="Q238" s="446">
        <v>0</v>
      </c>
      <c r="R238" s="446">
        <v>21245.65</v>
      </c>
      <c r="S238" s="446">
        <v>2027.814612873892</v>
      </c>
      <c r="T238" s="506">
        <f t="shared" si="13"/>
        <v>1129305.0346128736</v>
      </c>
      <c r="U238" s="446">
        <v>-18087.39</v>
      </c>
      <c r="V238" s="446"/>
      <c r="W238" s="446">
        <v>-32.130000000000003</v>
      </c>
      <c r="X238" s="448">
        <v>68.5</v>
      </c>
      <c r="Y238" s="448">
        <v>1.2</v>
      </c>
      <c r="Z238" s="446">
        <v>495</v>
      </c>
      <c r="AA238" s="269"/>
      <c r="AB238" s="446">
        <v>107075</v>
      </c>
      <c r="AC238" s="450">
        <f>AB238/VPI!R238</f>
        <v>7.0568559078776971</v>
      </c>
      <c r="AD238" s="452">
        <f t="shared" si="14"/>
        <v>387465</v>
      </c>
      <c r="AE238" s="450">
        <f>AD238/VPI!R238</f>
        <v>25.536163197252691</v>
      </c>
      <c r="AF238" s="446">
        <v>494540</v>
      </c>
      <c r="AG238" s="446">
        <v>27852</v>
      </c>
      <c r="AH238" s="446">
        <v>35273</v>
      </c>
      <c r="AI238" s="273"/>
      <c r="AJ238" s="446">
        <v>0</v>
      </c>
      <c r="AK238" s="450">
        <f>AJ238/VPI!R238</f>
        <v>0</v>
      </c>
      <c r="AL238" s="452">
        <f t="shared" si="16"/>
        <v>4835</v>
      </c>
      <c r="AM238" s="450">
        <f>AL238/VPI!R238</f>
        <v>0.31865419859527122</v>
      </c>
      <c r="AN238" s="446">
        <v>4835</v>
      </c>
      <c r="AO238" s="273"/>
      <c r="AP238" s="541">
        <v>20.360182459620098</v>
      </c>
      <c r="AR238" s="178">
        <v>0</v>
      </c>
    </row>
    <row r="239" spans="1:47" x14ac:dyDescent="0.25">
      <c r="A239" s="193">
        <v>5816</v>
      </c>
      <c r="B239" s="454" t="s">
        <v>5</v>
      </c>
      <c r="C239" s="446">
        <v>3187254.37</v>
      </c>
      <c r="D239" s="446">
        <v>322933.43</v>
      </c>
      <c r="E239" s="446"/>
      <c r="F239" s="446">
        <v>0</v>
      </c>
      <c r="G239" s="446">
        <v>81218.5</v>
      </c>
      <c r="H239" s="446">
        <v>27613.7</v>
      </c>
      <c r="I239" s="446">
        <v>0</v>
      </c>
      <c r="J239" s="446">
        <v>141840.5</v>
      </c>
      <c r="K239" s="446">
        <v>35251</v>
      </c>
      <c r="L239" s="446">
        <v>266096.55</v>
      </c>
      <c r="M239" s="506">
        <f t="shared" si="12"/>
        <v>4062208.0500000003</v>
      </c>
      <c r="N239" s="446">
        <v>21017.599999999999</v>
      </c>
      <c r="O239" s="446">
        <v>1729.1</v>
      </c>
      <c r="P239" s="446">
        <v>274976.25</v>
      </c>
      <c r="Q239" s="446">
        <v>60788.11</v>
      </c>
      <c r="R239" s="446">
        <v>66491.5</v>
      </c>
      <c r="S239" s="446">
        <v>10677.442516974203</v>
      </c>
      <c r="T239" s="506">
        <f t="shared" si="13"/>
        <v>4497888.0525169745</v>
      </c>
      <c r="U239" s="446">
        <v>-103745.94</v>
      </c>
      <c r="V239" s="446"/>
      <c r="W239" s="446">
        <v>-109.39</v>
      </c>
      <c r="X239" s="448">
        <v>68.5</v>
      </c>
      <c r="Y239" s="448">
        <v>0.7</v>
      </c>
      <c r="Z239" s="446">
        <v>2681</v>
      </c>
      <c r="AA239" s="269"/>
      <c r="AB239" s="446">
        <v>182824</v>
      </c>
      <c r="AC239" s="450">
        <f>AB239/VPI!R239</f>
        <v>3.0221689570762038</v>
      </c>
      <c r="AD239" s="452">
        <f t="shared" si="14"/>
        <v>327388</v>
      </c>
      <c r="AE239" s="450">
        <f>AD239/VPI!R239</f>
        <v>5.4118816485760304</v>
      </c>
      <c r="AF239" s="446">
        <v>510212</v>
      </c>
      <c r="AG239" s="446">
        <v>242576</v>
      </c>
      <c r="AH239" s="446">
        <v>181457</v>
      </c>
      <c r="AI239" s="273"/>
      <c r="AJ239" s="446">
        <v>0</v>
      </c>
      <c r="AK239" s="450">
        <f>AJ239/VPI!R239</f>
        <v>0</v>
      </c>
      <c r="AL239" s="452">
        <f t="shared" si="16"/>
        <v>20422</v>
      </c>
      <c r="AM239" s="450">
        <f>AL239/VPI!R239</f>
        <v>0.33758551635130085</v>
      </c>
      <c r="AN239" s="446">
        <v>20422</v>
      </c>
      <c r="AO239" s="273"/>
      <c r="AP239" s="541">
        <v>5.2287482847822977</v>
      </c>
      <c r="AR239" s="178">
        <v>0</v>
      </c>
    </row>
    <row r="240" spans="1:47" x14ac:dyDescent="0.25">
      <c r="A240" s="193">
        <v>5817</v>
      </c>
      <c r="B240" s="454" t="s">
        <v>6</v>
      </c>
      <c r="C240" s="446">
        <v>1317629.3700000001</v>
      </c>
      <c r="D240" s="446">
        <v>140626.59</v>
      </c>
      <c r="E240" s="446"/>
      <c r="F240" s="446">
        <v>5550</v>
      </c>
      <c r="G240" s="446">
        <v>7545.75</v>
      </c>
      <c r="H240" s="446">
        <v>922.75</v>
      </c>
      <c r="I240" s="446">
        <v>0</v>
      </c>
      <c r="J240" s="446">
        <v>28493.41</v>
      </c>
      <c r="K240" s="446">
        <v>4565.45</v>
      </c>
      <c r="L240" s="446">
        <v>130590.9</v>
      </c>
      <c r="M240" s="506">
        <f t="shared" si="12"/>
        <v>1635924.22</v>
      </c>
      <c r="N240" s="446">
        <v>597.70000000000005</v>
      </c>
      <c r="O240" s="446">
        <v>0</v>
      </c>
      <c r="P240" s="446">
        <v>42402.65</v>
      </c>
      <c r="Q240" s="446">
        <v>0</v>
      </c>
      <c r="R240" s="446">
        <v>11832.55</v>
      </c>
      <c r="S240" s="446">
        <v>830.83795011950554</v>
      </c>
      <c r="T240" s="506">
        <f t="shared" si="13"/>
        <v>1691587.9579501194</v>
      </c>
      <c r="U240" s="446">
        <v>-30557.05</v>
      </c>
      <c r="V240" s="446"/>
      <c r="W240" s="446">
        <v>-58.94</v>
      </c>
      <c r="X240" s="448">
        <v>73.5</v>
      </c>
      <c r="Y240" s="448">
        <v>1</v>
      </c>
      <c r="Z240" s="446">
        <v>967</v>
      </c>
      <c r="AA240" s="269"/>
      <c r="AB240" s="446">
        <v>93892</v>
      </c>
      <c r="AC240" s="450">
        <f>AB240/VPI!R240</f>
        <v>4.2966777520751522</v>
      </c>
      <c r="AD240" s="452">
        <f t="shared" si="14"/>
        <v>121406</v>
      </c>
      <c r="AE240" s="450">
        <f>AD240/VPI!R240</f>
        <v>5.555771089852553</v>
      </c>
      <c r="AF240" s="446">
        <v>215298</v>
      </c>
      <c r="AG240" s="446">
        <v>35967</v>
      </c>
      <c r="AH240" s="446">
        <v>73839</v>
      </c>
      <c r="AI240" s="273"/>
      <c r="AJ240" s="446">
        <v>0</v>
      </c>
      <c r="AK240" s="450">
        <f>AJ240/VPI!R240</f>
        <v>0</v>
      </c>
      <c r="AL240" s="452">
        <f t="shared" si="16"/>
        <v>68517</v>
      </c>
      <c r="AM240" s="450">
        <f>AL240/VPI!R240</f>
        <v>3.135469151141026</v>
      </c>
      <c r="AN240" s="446">
        <v>68517</v>
      </c>
      <c r="AO240" s="273"/>
      <c r="AP240" s="541">
        <v>5.8455590078078368</v>
      </c>
      <c r="AR240" s="178">
        <v>0</v>
      </c>
    </row>
    <row r="241" spans="1:44" x14ac:dyDescent="0.25">
      <c r="A241" s="193">
        <v>5819</v>
      </c>
      <c r="B241" s="454" t="s">
        <v>7</v>
      </c>
      <c r="C241" s="446">
        <v>528859</v>
      </c>
      <c r="D241" s="446">
        <v>176748.12</v>
      </c>
      <c r="E241" s="446"/>
      <c r="F241" s="446">
        <v>0</v>
      </c>
      <c r="G241" s="446">
        <v>82194</v>
      </c>
      <c r="H241" s="446">
        <v>-958</v>
      </c>
      <c r="I241" s="446">
        <v>0</v>
      </c>
      <c r="J241" s="446">
        <v>11764.43</v>
      </c>
      <c r="K241" s="446">
        <v>2047.3</v>
      </c>
      <c r="L241" s="446">
        <v>84289.25</v>
      </c>
      <c r="M241" s="506">
        <f t="shared" si="12"/>
        <v>884944.10000000009</v>
      </c>
      <c r="N241" s="446">
        <v>4251.7</v>
      </c>
      <c r="O241" s="446">
        <v>-57.25</v>
      </c>
      <c r="P241" s="446">
        <v>39219.949999999997</v>
      </c>
      <c r="Q241" s="446">
        <v>7342.54</v>
      </c>
      <c r="R241" s="446">
        <v>0</v>
      </c>
      <c r="S241" s="446">
        <v>7970.0007930457741</v>
      </c>
      <c r="T241" s="506">
        <f t="shared" si="13"/>
        <v>943671.04079304577</v>
      </c>
      <c r="U241" s="446">
        <v>-110582.45</v>
      </c>
      <c r="V241" s="446"/>
      <c r="W241" s="446">
        <v>-141.16999999999999</v>
      </c>
      <c r="X241" s="448">
        <v>69</v>
      </c>
      <c r="Y241" s="448">
        <v>1</v>
      </c>
      <c r="Z241" s="446">
        <v>396</v>
      </c>
      <c r="AA241" s="269"/>
      <c r="AB241" s="446">
        <v>51072</v>
      </c>
      <c r="AC241" s="450">
        <f>AB241/VPI!R241</f>
        <v>4.4633573355302518</v>
      </c>
      <c r="AD241" s="452">
        <f t="shared" si="14"/>
        <v>84272</v>
      </c>
      <c r="AE241" s="450">
        <f>AD241/VPI!R241</f>
        <v>7.3648192626058382</v>
      </c>
      <c r="AF241" s="446">
        <v>135344</v>
      </c>
      <c r="AG241" s="446">
        <v>28506</v>
      </c>
      <c r="AH241" s="446">
        <v>62911</v>
      </c>
      <c r="AI241" s="273"/>
      <c r="AJ241" s="446">
        <v>0</v>
      </c>
      <c r="AK241" s="450">
        <f>AJ241/VPI!R241</f>
        <v>0</v>
      </c>
      <c r="AL241" s="452">
        <f t="shared" si="16"/>
        <v>0</v>
      </c>
      <c r="AM241" s="450">
        <f>AL241/VPI!R241</f>
        <v>0</v>
      </c>
      <c r="AN241" s="446">
        <v>0</v>
      </c>
      <c r="AO241" s="273"/>
      <c r="AP241" s="541">
        <v>22.426881535591441</v>
      </c>
      <c r="AR241" s="178">
        <v>0</v>
      </c>
    </row>
    <row r="242" spans="1:44" x14ac:dyDescent="0.25">
      <c r="A242" s="193">
        <v>5821</v>
      </c>
      <c r="B242" s="454" t="s">
        <v>8</v>
      </c>
      <c r="C242" s="446">
        <v>490051.39</v>
      </c>
      <c r="D242" s="446">
        <v>58055.65</v>
      </c>
      <c r="E242" s="446"/>
      <c r="F242" s="446">
        <v>0</v>
      </c>
      <c r="G242" s="446">
        <v>3495.65</v>
      </c>
      <c r="H242" s="446">
        <v>406.55</v>
      </c>
      <c r="I242" s="446">
        <v>0</v>
      </c>
      <c r="J242" s="446">
        <v>14087.59</v>
      </c>
      <c r="K242" s="446">
        <v>1305</v>
      </c>
      <c r="L242" s="446">
        <v>51709.8</v>
      </c>
      <c r="M242" s="506">
        <f t="shared" si="12"/>
        <v>619111.63000000012</v>
      </c>
      <c r="N242" s="446">
        <v>0</v>
      </c>
      <c r="O242" s="446">
        <v>0</v>
      </c>
      <c r="P242" s="446">
        <v>25626.400000000001</v>
      </c>
      <c r="Q242" s="446">
        <v>290.04000000000002</v>
      </c>
      <c r="R242" s="446">
        <v>6413.9</v>
      </c>
      <c r="S242" s="446">
        <v>382.84180775300632</v>
      </c>
      <c r="T242" s="506">
        <f t="shared" si="13"/>
        <v>651824.81180775317</v>
      </c>
      <c r="U242" s="446">
        <v>-53017.08</v>
      </c>
      <c r="V242" s="446"/>
      <c r="W242" s="446">
        <v>-15.82</v>
      </c>
      <c r="X242" s="448">
        <v>72</v>
      </c>
      <c r="Y242" s="448">
        <v>1</v>
      </c>
      <c r="Z242" s="446">
        <v>368</v>
      </c>
      <c r="AA242" s="269"/>
      <c r="AB242" s="446">
        <v>28004</v>
      </c>
      <c r="AC242" s="450">
        <f>AB242/VPI!R242</f>
        <v>3.5576219952312056</v>
      </c>
      <c r="AD242" s="452">
        <f t="shared" si="14"/>
        <v>20569</v>
      </c>
      <c r="AE242" s="450">
        <f>AD242/VPI!R242</f>
        <v>2.613081231963672</v>
      </c>
      <c r="AF242" s="446">
        <v>48573</v>
      </c>
      <c r="AG242" s="446">
        <v>13662</v>
      </c>
      <c r="AH242" s="446">
        <v>26553</v>
      </c>
      <c r="AI242" s="273"/>
      <c r="AJ242" s="446">
        <v>0</v>
      </c>
      <c r="AK242" s="450">
        <f>AJ242/VPI!R242</f>
        <v>0</v>
      </c>
      <c r="AL242" s="452">
        <f t="shared" si="16"/>
        <v>0</v>
      </c>
      <c r="AM242" s="450">
        <f>AL242/VPI!R242</f>
        <v>0</v>
      </c>
      <c r="AN242" s="446">
        <v>0</v>
      </c>
      <c r="AO242" s="273"/>
      <c r="AP242" s="541">
        <v>9.1767641606074886</v>
      </c>
      <c r="AR242" s="178">
        <v>0</v>
      </c>
    </row>
    <row r="243" spans="1:44" x14ac:dyDescent="0.25">
      <c r="A243" s="193">
        <v>5822</v>
      </c>
      <c r="B243" s="454" t="s">
        <v>9</v>
      </c>
      <c r="C243" s="446">
        <v>12985756.17</v>
      </c>
      <c r="D243" s="446">
        <v>1423089.49</v>
      </c>
      <c r="E243" s="446"/>
      <c r="F243" s="446">
        <v>0</v>
      </c>
      <c r="G243" s="446">
        <v>976716.9</v>
      </c>
      <c r="H243" s="446">
        <v>98606.6</v>
      </c>
      <c r="I243" s="446">
        <v>0</v>
      </c>
      <c r="J243" s="446">
        <v>604941.57999999996</v>
      </c>
      <c r="K243" s="446">
        <v>190380.7</v>
      </c>
      <c r="L243" s="446">
        <v>1440447.85</v>
      </c>
      <c r="M243" s="506">
        <f t="shared" si="12"/>
        <v>17719939.289999999</v>
      </c>
      <c r="N243" s="446">
        <v>57956.25</v>
      </c>
      <c r="O243" s="446">
        <v>225116.9</v>
      </c>
      <c r="P243" s="446">
        <v>687297.2</v>
      </c>
      <c r="Q243" s="446">
        <v>71942.77</v>
      </c>
      <c r="R243" s="446">
        <v>705567.35</v>
      </c>
      <c r="S243" s="446">
        <v>105499.15244203011</v>
      </c>
      <c r="T243" s="506">
        <f t="shared" si="13"/>
        <v>19573318.912442029</v>
      </c>
      <c r="U243" s="446">
        <v>-554597.1</v>
      </c>
      <c r="V243" s="446"/>
      <c r="W243" s="446">
        <v>-3101.92</v>
      </c>
      <c r="X243" s="448">
        <v>73</v>
      </c>
      <c r="Y243" s="448">
        <v>1</v>
      </c>
      <c r="Z243" s="446">
        <v>10108</v>
      </c>
      <c r="AA243" s="269"/>
      <c r="AB243" s="446">
        <v>464103</v>
      </c>
      <c r="AC243" s="450">
        <f>AB243/VPI!R243</f>
        <v>1.9538719697392899</v>
      </c>
      <c r="AD243" s="452">
        <f t="shared" si="14"/>
        <v>1670655</v>
      </c>
      <c r="AE243" s="450">
        <f>AD243/VPI!R243</f>
        <v>7.0334515734757019</v>
      </c>
      <c r="AF243" s="446">
        <v>2134758</v>
      </c>
      <c r="AG243" s="446">
        <v>1294334</v>
      </c>
      <c r="AH243" s="446">
        <v>744993</v>
      </c>
      <c r="AI243" s="273"/>
      <c r="AJ243" s="446">
        <v>0</v>
      </c>
      <c r="AK243" s="450">
        <f>AJ243/VPI!R243</f>
        <v>0</v>
      </c>
      <c r="AL243" s="452">
        <f t="shared" si="16"/>
        <v>147507</v>
      </c>
      <c r="AM243" s="450">
        <f>AL243/VPI!R243</f>
        <v>0.6210039423152478</v>
      </c>
      <c r="AN243" s="446">
        <v>147507</v>
      </c>
      <c r="AO243" s="273"/>
      <c r="AP243" s="541">
        <v>-6.230756850139791</v>
      </c>
      <c r="AR243" s="178">
        <v>0</v>
      </c>
    </row>
    <row r="244" spans="1:44" x14ac:dyDescent="0.25">
      <c r="A244" s="193">
        <v>5827</v>
      </c>
      <c r="B244" s="454" t="s">
        <v>10</v>
      </c>
      <c r="C244" s="446">
        <v>378201.61</v>
      </c>
      <c r="D244" s="446">
        <v>39377.360000000001</v>
      </c>
      <c r="E244" s="446"/>
      <c r="F244" s="446">
        <v>1610</v>
      </c>
      <c r="G244" s="446">
        <v>17784.900000000001</v>
      </c>
      <c r="H244" s="446">
        <v>1235.05</v>
      </c>
      <c r="I244" s="446">
        <v>0</v>
      </c>
      <c r="J244" s="446">
        <v>6017.26</v>
      </c>
      <c r="K244" s="446">
        <v>-155.65</v>
      </c>
      <c r="L244" s="446">
        <v>38030.15</v>
      </c>
      <c r="M244" s="506">
        <f t="shared" si="12"/>
        <v>482100.68</v>
      </c>
      <c r="N244" s="446">
        <v>0</v>
      </c>
      <c r="O244" s="446">
        <v>0</v>
      </c>
      <c r="P244" s="446">
        <v>12236.9</v>
      </c>
      <c r="Q244" s="446">
        <v>0</v>
      </c>
      <c r="R244" s="446">
        <v>13692.55</v>
      </c>
      <c r="S244" s="446">
        <v>1866.0325050924591</v>
      </c>
      <c r="T244" s="506">
        <f t="shared" si="13"/>
        <v>509896.16250509245</v>
      </c>
      <c r="U244" s="446">
        <v>-3618.99</v>
      </c>
      <c r="V244" s="446"/>
      <c r="W244" s="446">
        <v>0</v>
      </c>
      <c r="X244" s="448">
        <v>78</v>
      </c>
      <c r="Y244" s="448">
        <v>1</v>
      </c>
      <c r="Z244" s="446">
        <v>302</v>
      </c>
      <c r="AA244" s="269"/>
      <c r="AB244" s="446">
        <v>52616</v>
      </c>
      <c r="AC244" s="450">
        <f>AB244/VPI!R244</f>
        <v>8.5439106041696515</v>
      </c>
      <c r="AD244" s="452">
        <f t="shared" si="14"/>
        <v>29971</v>
      </c>
      <c r="AE244" s="450">
        <f>AD244/VPI!R244</f>
        <v>4.8667619111595064</v>
      </c>
      <c r="AF244" s="446">
        <v>82587</v>
      </c>
      <c r="AG244" s="446">
        <v>10756</v>
      </c>
      <c r="AH244" s="446">
        <v>28749</v>
      </c>
      <c r="AI244" s="273"/>
      <c r="AJ244" s="446">
        <v>0</v>
      </c>
      <c r="AK244" s="450">
        <f>AJ244/VPI!R244</f>
        <v>0</v>
      </c>
      <c r="AL244" s="452">
        <f t="shared" si="16"/>
        <v>-16462</v>
      </c>
      <c r="AM244" s="450">
        <f>AL244/VPI!R244</f>
        <v>-2.673138519952881</v>
      </c>
      <c r="AN244" s="446">
        <v>-16462</v>
      </c>
      <c r="AO244" s="273"/>
      <c r="AP244" s="541">
        <v>5.9429090583303266</v>
      </c>
      <c r="AR244" s="178">
        <v>0</v>
      </c>
    </row>
    <row r="245" spans="1:44" x14ac:dyDescent="0.25">
      <c r="A245" s="193">
        <v>5828</v>
      </c>
      <c r="B245" s="454" t="s">
        <v>374</v>
      </c>
      <c r="C245" s="446">
        <v>156893.87</v>
      </c>
      <c r="D245" s="446">
        <v>20438.78</v>
      </c>
      <c r="E245" s="446"/>
      <c r="F245" s="446">
        <v>0</v>
      </c>
      <c r="G245" s="446">
        <v>-73.5</v>
      </c>
      <c r="H245" s="446">
        <v>11.6</v>
      </c>
      <c r="I245" s="446">
        <v>0</v>
      </c>
      <c r="J245" s="446">
        <v>275.24</v>
      </c>
      <c r="K245" s="446">
        <v>0</v>
      </c>
      <c r="L245" s="446">
        <v>24629.8</v>
      </c>
      <c r="M245" s="506">
        <f t="shared" si="12"/>
        <v>202175.78999999998</v>
      </c>
      <c r="N245" s="446">
        <v>0</v>
      </c>
      <c r="O245" s="446">
        <v>318.10000000000002</v>
      </c>
      <c r="P245" s="446">
        <v>5731</v>
      </c>
      <c r="Q245" s="446">
        <v>0</v>
      </c>
      <c r="R245" s="446">
        <v>0</v>
      </c>
      <c r="S245" s="446">
        <v>0</v>
      </c>
      <c r="T245" s="506">
        <f t="shared" si="13"/>
        <v>208224.88999999998</v>
      </c>
      <c r="U245" s="446">
        <v>-1731.49</v>
      </c>
      <c r="V245" s="446"/>
      <c r="W245" s="446">
        <v>0</v>
      </c>
      <c r="X245" s="448">
        <v>84</v>
      </c>
      <c r="Y245" s="448">
        <v>1.5</v>
      </c>
      <c r="Z245" s="446">
        <v>114</v>
      </c>
      <c r="AA245" s="269"/>
      <c r="AB245" s="446">
        <v>20448</v>
      </c>
      <c r="AC245" s="450">
        <f>AB245/VPI!R245</f>
        <v>8.9350932915047618</v>
      </c>
      <c r="AD245" s="452">
        <f t="shared" si="14"/>
        <v>10273</v>
      </c>
      <c r="AE245" s="450">
        <f>AD245/VPI!R245</f>
        <v>4.4889580097627357</v>
      </c>
      <c r="AF245" s="446">
        <v>30721</v>
      </c>
      <c r="AG245" s="446">
        <v>4189</v>
      </c>
      <c r="AH245" s="446">
        <v>16429</v>
      </c>
      <c r="AI245" s="273"/>
      <c r="AJ245" s="446">
        <v>0</v>
      </c>
      <c r="AK245" s="450">
        <f>AJ245/VPI!R245</f>
        <v>0</v>
      </c>
      <c r="AL245" s="452">
        <f t="shared" si="16"/>
        <v>3834</v>
      </c>
      <c r="AM245" s="450">
        <f>AL245/VPI!R245</f>
        <v>1.675329992157143</v>
      </c>
      <c r="AN245" s="446">
        <v>3834</v>
      </c>
      <c r="AO245" s="273"/>
      <c r="AP245" s="541">
        <v>-1.6227052066156928</v>
      </c>
      <c r="AR245" s="178">
        <v>0</v>
      </c>
    </row>
    <row r="246" spans="1:44" x14ac:dyDescent="0.25">
      <c r="A246" s="193">
        <v>5830</v>
      </c>
      <c r="B246" s="454" t="s">
        <v>11</v>
      </c>
      <c r="C246" s="446">
        <v>797328.26</v>
      </c>
      <c r="D246" s="446">
        <v>96072.74</v>
      </c>
      <c r="E246" s="446"/>
      <c r="F246" s="446">
        <v>0</v>
      </c>
      <c r="G246" s="446">
        <v>5165.3500000000004</v>
      </c>
      <c r="H246" s="446">
        <v>274.85000000000002</v>
      </c>
      <c r="I246" s="446">
        <v>0</v>
      </c>
      <c r="J246" s="446">
        <v>10849.04</v>
      </c>
      <c r="K246" s="446">
        <v>2089.6999999999998</v>
      </c>
      <c r="L246" s="446">
        <v>57415</v>
      </c>
      <c r="M246" s="506">
        <f t="shared" si="12"/>
        <v>969194.94</v>
      </c>
      <c r="N246" s="446">
        <v>6516</v>
      </c>
      <c r="O246" s="446">
        <v>0</v>
      </c>
      <c r="P246" s="446">
        <v>59520</v>
      </c>
      <c r="Q246" s="446">
        <v>9106.51</v>
      </c>
      <c r="R246" s="446">
        <v>18343.95</v>
      </c>
      <c r="S246" s="446">
        <v>533.73379184508872</v>
      </c>
      <c r="T246" s="506">
        <f t="shared" si="13"/>
        <v>1063215.1337918451</v>
      </c>
      <c r="U246" s="446">
        <v>-18510.71</v>
      </c>
      <c r="V246" s="446"/>
      <c r="W246" s="446">
        <v>-182.73</v>
      </c>
      <c r="X246" s="448">
        <v>77</v>
      </c>
      <c r="Y246" s="448">
        <v>1</v>
      </c>
      <c r="Z246" s="446">
        <v>477</v>
      </c>
      <c r="AA246" s="269"/>
      <c r="AB246" s="446">
        <v>70497</v>
      </c>
      <c r="AC246" s="450">
        <f>AB246/VPI!R246</f>
        <v>5.6536121203962839</v>
      </c>
      <c r="AD246" s="452">
        <f t="shared" si="14"/>
        <v>53289</v>
      </c>
      <c r="AE246" s="450">
        <f>AD246/VPI!R246</f>
        <v>4.2735908802331677</v>
      </c>
      <c r="AF246" s="446">
        <v>123786</v>
      </c>
      <c r="AG246" s="446">
        <v>25531</v>
      </c>
      <c r="AH246" s="446">
        <v>74205</v>
      </c>
      <c r="AI246" s="273"/>
      <c r="AJ246" s="446">
        <v>0</v>
      </c>
      <c r="AK246" s="450">
        <f>AJ246/VPI!R246</f>
        <v>0</v>
      </c>
      <c r="AL246" s="452">
        <f t="shared" si="16"/>
        <v>8747</v>
      </c>
      <c r="AM246" s="450">
        <f>AL246/VPI!R246</f>
        <v>0.70147871848598242</v>
      </c>
      <c r="AN246" s="446">
        <v>8747</v>
      </c>
      <c r="AO246" s="273"/>
      <c r="AP246" s="541">
        <v>18.699244491689559</v>
      </c>
      <c r="AR246" s="178">
        <v>0</v>
      </c>
    </row>
    <row r="247" spans="1:44" x14ac:dyDescent="0.25">
      <c r="A247" s="193">
        <v>5831</v>
      </c>
      <c r="B247" s="454" t="s">
        <v>349</v>
      </c>
      <c r="C247" s="446">
        <v>4583089.24</v>
      </c>
      <c r="D247" s="446">
        <v>632740.66</v>
      </c>
      <c r="E247" s="446"/>
      <c r="F247" s="446">
        <v>0</v>
      </c>
      <c r="G247" s="446">
        <v>45607.5</v>
      </c>
      <c r="H247" s="446">
        <v>17249.05</v>
      </c>
      <c r="I247" s="446">
        <v>0</v>
      </c>
      <c r="J247" s="446">
        <v>170860.28</v>
      </c>
      <c r="K247" s="446">
        <v>24914.05</v>
      </c>
      <c r="L247" s="446">
        <v>295268.84999999998</v>
      </c>
      <c r="M247" s="506">
        <f t="shared" si="12"/>
        <v>5769729.6299999999</v>
      </c>
      <c r="N247" s="446">
        <v>22474.9</v>
      </c>
      <c r="O247" s="446">
        <v>83792.850000000006</v>
      </c>
      <c r="P247" s="446">
        <v>278845.59999999998</v>
      </c>
      <c r="Q247" s="446">
        <v>71958.5</v>
      </c>
      <c r="R247" s="446">
        <v>130362.9</v>
      </c>
      <c r="S247" s="446">
        <v>6166.8072449175415</v>
      </c>
      <c r="T247" s="506">
        <f t="shared" si="13"/>
        <v>6363331.1872449173</v>
      </c>
      <c r="U247" s="446">
        <v>-139996.24</v>
      </c>
      <c r="V247" s="446"/>
      <c r="W247" s="446">
        <v>-1227.58</v>
      </c>
      <c r="X247" s="448">
        <v>70.5</v>
      </c>
      <c r="Y247" s="448">
        <v>0.6</v>
      </c>
      <c r="Z247" s="446">
        <v>3373</v>
      </c>
      <c r="AA247" s="269"/>
      <c r="AB247" s="446">
        <v>497252</v>
      </c>
      <c r="AC247" s="450">
        <f>AB247/VPI!R247</f>
        <v>5.938240446705481</v>
      </c>
      <c r="AD247" s="452">
        <f t="shared" si="14"/>
        <v>415977</v>
      </c>
      <c r="AE247" s="450">
        <f>AD247/VPI!R247</f>
        <v>4.9676450699025967</v>
      </c>
      <c r="AF247" s="446">
        <v>913229</v>
      </c>
      <c r="AG247" s="446">
        <v>310981</v>
      </c>
      <c r="AH247" s="446">
        <v>495851</v>
      </c>
      <c r="AI247" s="273"/>
      <c r="AJ247" s="446">
        <v>200</v>
      </c>
      <c r="AK247" s="450">
        <f>AJ247/VPI!R247</f>
        <v>2.3884229512221092E-3</v>
      </c>
      <c r="AL247" s="452">
        <f t="shared" si="16"/>
        <v>34395</v>
      </c>
      <c r="AM247" s="450">
        <f>AL247/VPI!R247</f>
        <v>0.41074903703642224</v>
      </c>
      <c r="AN247" s="446">
        <v>34595</v>
      </c>
      <c r="AO247" s="273"/>
      <c r="AP247" s="541">
        <v>9.9447195985233119</v>
      </c>
      <c r="AR247" s="178">
        <v>0</v>
      </c>
    </row>
    <row r="248" spans="1:44" x14ac:dyDescent="0.25">
      <c r="A248" s="193">
        <v>5841</v>
      </c>
      <c r="B248" s="454" t="s">
        <v>12</v>
      </c>
      <c r="C248" s="446">
        <v>5501242.5</v>
      </c>
      <c r="D248" s="446">
        <v>1495685.1</v>
      </c>
      <c r="E248" s="446"/>
      <c r="F248" s="446">
        <v>0</v>
      </c>
      <c r="G248" s="446">
        <v>46403.65</v>
      </c>
      <c r="H248" s="446">
        <v>68547.649999999994</v>
      </c>
      <c r="I248" s="446">
        <v>531790.05000000005</v>
      </c>
      <c r="J248" s="446">
        <v>282488.05</v>
      </c>
      <c r="K248" s="446">
        <v>23768.85</v>
      </c>
      <c r="L248" s="446">
        <v>1499428.65</v>
      </c>
      <c r="M248" s="506">
        <f t="shared" si="12"/>
        <v>9449354.5</v>
      </c>
      <c r="N248" s="446">
        <v>7425.55</v>
      </c>
      <c r="O248" s="446">
        <v>1020620.5</v>
      </c>
      <c r="P248" s="446">
        <v>353825.05</v>
      </c>
      <c r="Q248" s="446">
        <v>15481.08</v>
      </c>
      <c r="R248" s="446">
        <v>252646.95</v>
      </c>
      <c r="S248" s="446">
        <v>11277.782659924698</v>
      </c>
      <c r="T248" s="506">
        <f t="shared" si="13"/>
        <v>11110631.412659926</v>
      </c>
      <c r="U248" s="446">
        <v>-109064.02</v>
      </c>
      <c r="V248" s="446"/>
      <c r="W248" s="446">
        <v>-14091.22</v>
      </c>
      <c r="X248" s="448">
        <v>81.5</v>
      </c>
      <c r="Y248" s="448">
        <v>1.5</v>
      </c>
      <c r="Z248" s="446">
        <v>3494</v>
      </c>
      <c r="AA248" s="269"/>
      <c r="AB248" s="446">
        <v>466081</v>
      </c>
      <c r="AC248" s="450">
        <f>AB248/VPI!R248</f>
        <v>4.2906318795220715</v>
      </c>
      <c r="AD248" s="452">
        <f t="shared" si="14"/>
        <v>2469377</v>
      </c>
      <c r="AE248" s="450">
        <f>AD248/VPI!R248</f>
        <v>22.732502888464829</v>
      </c>
      <c r="AF248" s="446">
        <v>2935458</v>
      </c>
      <c r="AG248" s="446">
        <v>298269</v>
      </c>
      <c r="AH248" s="446">
        <v>392058</v>
      </c>
      <c r="AI248" s="273"/>
      <c r="AJ248" s="446">
        <v>50373</v>
      </c>
      <c r="AK248" s="450">
        <f>AJ248/VPI!R248</f>
        <v>0.46372197035958412</v>
      </c>
      <c r="AL248" s="452">
        <f t="shared" si="16"/>
        <v>30007</v>
      </c>
      <c r="AM248" s="450">
        <f>AL248/VPI!R248</f>
        <v>0.2762373724928045</v>
      </c>
      <c r="AN248" s="446">
        <v>80380</v>
      </c>
      <c r="AO248" s="273"/>
      <c r="AP248" s="541">
        <v>16.535402644313749</v>
      </c>
      <c r="AR248" s="178">
        <v>0</v>
      </c>
    </row>
    <row r="249" spans="1:44" x14ac:dyDescent="0.25">
      <c r="A249" s="193">
        <v>5842</v>
      </c>
      <c r="B249" s="454" t="s">
        <v>13</v>
      </c>
      <c r="C249" s="446">
        <v>853231.4</v>
      </c>
      <c r="D249" s="446">
        <v>182023.81</v>
      </c>
      <c r="E249" s="446"/>
      <c r="F249" s="446">
        <v>0</v>
      </c>
      <c r="G249" s="446">
        <v>16817.599999999999</v>
      </c>
      <c r="H249" s="446">
        <v>2332.4499999999998</v>
      </c>
      <c r="I249" s="446">
        <v>0</v>
      </c>
      <c r="J249" s="446">
        <v>22435.73</v>
      </c>
      <c r="K249" s="446">
        <v>916.35</v>
      </c>
      <c r="L249" s="446">
        <v>145282.1</v>
      </c>
      <c r="M249" s="506">
        <f t="shared" si="12"/>
        <v>1223039.4400000002</v>
      </c>
      <c r="N249" s="446">
        <v>0</v>
      </c>
      <c r="O249" s="446">
        <v>0</v>
      </c>
      <c r="P249" s="446">
        <v>38379</v>
      </c>
      <c r="Q249" s="446">
        <v>143.91999999999999</v>
      </c>
      <c r="R249" s="446">
        <v>33838.050000000003</v>
      </c>
      <c r="S249" s="446">
        <v>1878.7965149301574</v>
      </c>
      <c r="T249" s="506">
        <f t="shared" si="13"/>
        <v>1297279.2065149304</v>
      </c>
      <c r="U249" s="446">
        <v>-216.64</v>
      </c>
      <c r="V249" s="446"/>
      <c r="W249" s="446">
        <v>-1530.31</v>
      </c>
      <c r="X249" s="448">
        <v>81</v>
      </c>
      <c r="Y249" s="448">
        <v>1.5</v>
      </c>
      <c r="Z249" s="446">
        <v>537</v>
      </c>
      <c r="AA249" s="269"/>
      <c r="AB249" s="446">
        <v>17801</v>
      </c>
      <c r="AC249" s="450">
        <f>AB249/VPI!R249</f>
        <v>1.2272499136481134</v>
      </c>
      <c r="AD249" s="452">
        <f t="shared" si="14"/>
        <v>448902</v>
      </c>
      <c r="AE249" s="450">
        <f>AD249/VPI!R249</f>
        <v>30.948538887504377</v>
      </c>
      <c r="AF249" s="446">
        <v>466703</v>
      </c>
      <c r="AG249" s="446">
        <v>47131</v>
      </c>
      <c r="AH249" s="446">
        <v>110000</v>
      </c>
      <c r="AI249" s="273"/>
      <c r="AJ249" s="446">
        <v>0</v>
      </c>
      <c r="AK249" s="450">
        <f>AJ249/VPI!R249</f>
        <v>0</v>
      </c>
      <c r="AL249" s="452">
        <f t="shared" si="16"/>
        <v>212</v>
      </c>
      <c r="AM249" s="450">
        <f>AL249/VPI!R249</f>
        <v>1.4615863248884897E-2</v>
      </c>
      <c r="AN249" s="446">
        <v>212</v>
      </c>
      <c r="AO249" s="273"/>
      <c r="AP249" s="541">
        <v>8.4582602732509784</v>
      </c>
      <c r="AR249" s="178">
        <v>0</v>
      </c>
    </row>
    <row r="250" spans="1:44" x14ac:dyDescent="0.25">
      <c r="A250" s="193">
        <v>5843</v>
      </c>
      <c r="B250" s="454" t="s">
        <v>14</v>
      </c>
      <c r="C250" s="446">
        <v>3300739.36</v>
      </c>
      <c r="D250" s="446">
        <v>1916664.67</v>
      </c>
      <c r="E250" s="446"/>
      <c r="F250" s="446">
        <v>0</v>
      </c>
      <c r="G250" s="446">
        <v>39652.949999999997</v>
      </c>
      <c r="H250" s="446">
        <v>14383.95</v>
      </c>
      <c r="I250" s="446">
        <v>1271760.1000000001</v>
      </c>
      <c r="J250" s="446">
        <v>95400.23</v>
      </c>
      <c r="K250" s="446">
        <v>33861.050000000003</v>
      </c>
      <c r="L250" s="446">
        <v>1191482.7</v>
      </c>
      <c r="M250" s="506">
        <f t="shared" si="12"/>
        <v>7863945.0099999998</v>
      </c>
      <c r="N250" s="446">
        <v>0</v>
      </c>
      <c r="O250" s="446">
        <v>674623.9</v>
      </c>
      <c r="P250" s="446">
        <v>404220.25</v>
      </c>
      <c r="Q250" s="446">
        <v>0</v>
      </c>
      <c r="R250" s="446">
        <v>194786.55</v>
      </c>
      <c r="S250" s="446">
        <v>5301.518241342942</v>
      </c>
      <c r="T250" s="506">
        <f t="shared" si="13"/>
        <v>9142877.2282413431</v>
      </c>
      <c r="U250" s="446">
        <v>-8788.98</v>
      </c>
      <c r="V250" s="446"/>
      <c r="W250" s="446">
        <v>-29770.84</v>
      </c>
      <c r="X250" s="448">
        <v>74</v>
      </c>
      <c r="Y250" s="448">
        <v>1.5</v>
      </c>
      <c r="Z250" s="446">
        <v>863</v>
      </c>
      <c r="AA250" s="269"/>
      <c r="AB250" s="446">
        <v>70778</v>
      </c>
      <c r="AC250" s="450">
        <f>AB250/VPI!R250</f>
        <v>0.70458785441939953</v>
      </c>
      <c r="AD250" s="452">
        <f t="shared" si="14"/>
        <v>653387</v>
      </c>
      <c r="AE250" s="450">
        <f>AD250/VPI!R250</f>
        <v>6.504401712898475</v>
      </c>
      <c r="AF250" s="446">
        <v>724165</v>
      </c>
      <c r="AG250" s="446">
        <v>92241</v>
      </c>
      <c r="AH250" s="446">
        <v>81710</v>
      </c>
      <c r="AI250" s="273"/>
      <c r="AJ250" s="446">
        <v>0</v>
      </c>
      <c r="AK250" s="450">
        <f>AJ250/VPI!R250</f>
        <v>0</v>
      </c>
      <c r="AL250" s="452">
        <f t="shared" si="16"/>
        <v>14952</v>
      </c>
      <c r="AM250" s="450">
        <f>AL250/VPI!R250</f>
        <v>0.14884565259372776</v>
      </c>
      <c r="AN250" s="446">
        <v>14952</v>
      </c>
      <c r="AO250" s="273"/>
      <c r="AP250" s="541">
        <v>47.946331754316624</v>
      </c>
      <c r="AR250" s="178">
        <v>0</v>
      </c>
    </row>
    <row r="251" spans="1:44" x14ac:dyDescent="0.25">
      <c r="A251" s="193">
        <v>5851</v>
      </c>
      <c r="B251" s="454" t="s">
        <v>15</v>
      </c>
      <c r="C251" s="446">
        <v>811569.12</v>
      </c>
      <c r="D251" s="446">
        <v>156228.74</v>
      </c>
      <c r="E251" s="446"/>
      <c r="F251" s="446">
        <v>0</v>
      </c>
      <c r="G251" s="446">
        <v>91027.35</v>
      </c>
      <c r="H251" s="446">
        <v>3485.35</v>
      </c>
      <c r="I251" s="446">
        <v>137387.79999999999</v>
      </c>
      <c r="J251" s="446">
        <v>29560.63</v>
      </c>
      <c r="K251" s="446">
        <v>29978.65</v>
      </c>
      <c r="L251" s="446">
        <v>243622.2</v>
      </c>
      <c r="M251" s="506">
        <f t="shared" si="12"/>
        <v>1502859.8399999999</v>
      </c>
      <c r="N251" s="446">
        <v>73719.45</v>
      </c>
      <c r="O251" s="446">
        <v>0</v>
      </c>
      <c r="P251" s="446">
        <v>207.65</v>
      </c>
      <c r="Q251" s="446">
        <v>0</v>
      </c>
      <c r="R251" s="446">
        <v>0</v>
      </c>
      <c r="S251" s="446">
        <v>9272.5675064367697</v>
      </c>
      <c r="T251" s="506">
        <f t="shared" si="13"/>
        <v>1586059.5075064364</v>
      </c>
      <c r="U251" s="446">
        <v>-32697.91</v>
      </c>
      <c r="V251" s="446"/>
      <c r="W251" s="446">
        <v>-498.12</v>
      </c>
      <c r="X251" s="448">
        <v>60</v>
      </c>
      <c r="Y251" s="448">
        <v>1.1000000000000001</v>
      </c>
      <c r="Z251" s="446">
        <v>443</v>
      </c>
      <c r="AA251" s="269"/>
      <c r="AB251" s="446">
        <v>0</v>
      </c>
      <c r="AC251" s="450">
        <f>AB251/VPI!R251</f>
        <v>0</v>
      </c>
      <c r="AD251" s="452">
        <f t="shared" si="14"/>
        <v>109057</v>
      </c>
      <c r="AE251" s="450">
        <f>AD251/VPI!R251</f>
        <v>4.4916734185258802</v>
      </c>
      <c r="AF251" s="446">
        <v>109057</v>
      </c>
      <c r="AG251" s="446">
        <v>33136</v>
      </c>
      <c r="AH251" s="446">
        <v>39232</v>
      </c>
      <c r="AI251" s="273"/>
      <c r="AJ251" s="446">
        <v>0</v>
      </c>
      <c r="AK251" s="450">
        <f>AJ251/VPI!R251</f>
        <v>0</v>
      </c>
      <c r="AL251" s="452">
        <f t="shared" si="16"/>
        <v>396</v>
      </c>
      <c r="AM251" s="450">
        <f>AL251/VPI!R251</f>
        <v>1.6309844152473007E-2</v>
      </c>
      <c r="AN251" s="446">
        <v>396</v>
      </c>
      <c r="AO251" s="273"/>
      <c r="AP251" s="541">
        <v>33.880449835240597</v>
      </c>
      <c r="AR251" s="178">
        <v>0</v>
      </c>
    </row>
    <row r="252" spans="1:44" x14ac:dyDescent="0.25">
      <c r="A252" s="193">
        <v>5852</v>
      </c>
      <c r="B252" s="454" t="s">
        <v>16</v>
      </c>
      <c r="C252" s="446">
        <v>1547012.28</v>
      </c>
      <c r="D252" s="446">
        <v>789882.52</v>
      </c>
      <c r="E252" s="446"/>
      <c r="F252" s="446">
        <v>0</v>
      </c>
      <c r="G252" s="446">
        <v>11358.9</v>
      </c>
      <c r="H252" s="446">
        <v>2212.9</v>
      </c>
      <c r="I252" s="446">
        <v>207092.4</v>
      </c>
      <c r="J252" s="446">
        <v>-64794.71</v>
      </c>
      <c r="K252" s="446">
        <v>7344.35</v>
      </c>
      <c r="L252" s="446">
        <v>139471</v>
      </c>
      <c r="M252" s="506">
        <f t="shared" si="12"/>
        <v>2639579.6399999997</v>
      </c>
      <c r="N252" s="446">
        <v>8183.75</v>
      </c>
      <c r="O252" s="446">
        <v>0</v>
      </c>
      <c r="P252" s="446">
        <v>61570.65</v>
      </c>
      <c r="Q252" s="446">
        <v>0</v>
      </c>
      <c r="R252" s="446">
        <v>13682.65</v>
      </c>
      <c r="S252" s="446">
        <v>1331.518744929079</v>
      </c>
      <c r="T252" s="506">
        <f t="shared" si="13"/>
        <v>2724348.2087449287</v>
      </c>
      <c r="U252" s="446">
        <v>-19184.080000000002</v>
      </c>
      <c r="V252" s="446"/>
      <c r="W252" s="446">
        <v>-2256.67</v>
      </c>
      <c r="X252" s="448">
        <v>65.5</v>
      </c>
      <c r="Y252" s="448">
        <v>0.75</v>
      </c>
      <c r="Z252" s="446">
        <v>491</v>
      </c>
      <c r="AA252" s="269"/>
      <c r="AB252" s="446">
        <v>6969</v>
      </c>
      <c r="AC252" s="450">
        <f>AB252/VPI!R252</f>
        <v>0.17122138852058152</v>
      </c>
      <c r="AD252" s="452">
        <f t="shared" si="14"/>
        <v>163228</v>
      </c>
      <c r="AE252" s="450">
        <f>AD252/VPI!R252</f>
        <v>4.0103493765873841</v>
      </c>
      <c r="AF252" s="446">
        <v>170197</v>
      </c>
      <c r="AG252" s="446">
        <v>29829</v>
      </c>
      <c r="AH252" s="446">
        <v>44320</v>
      </c>
      <c r="AI252" s="273"/>
      <c r="AJ252" s="446">
        <v>0</v>
      </c>
      <c r="AK252" s="450">
        <f>AJ252/VPI!R252</f>
        <v>0</v>
      </c>
      <c r="AL252" s="452">
        <f t="shared" si="16"/>
        <v>768</v>
      </c>
      <c r="AM252" s="450">
        <f>AL252/VPI!R252</f>
        <v>1.8868995032832056E-2</v>
      </c>
      <c r="AN252" s="446">
        <v>768</v>
      </c>
      <c r="AO252" s="273"/>
      <c r="AP252" s="541">
        <v>42.80283336126503</v>
      </c>
      <c r="AR252" s="178">
        <v>0</v>
      </c>
    </row>
    <row r="253" spans="1:44" x14ac:dyDescent="0.25">
      <c r="A253" s="193">
        <v>5853</v>
      </c>
      <c r="B253" s="454" t="s">
        <v>17</v>
      </c>
      <c r="C253" s="446">
        <v>2111873.56</v>
      </c>
      <c r="D253" s="446">
        <v>416006.79</v>
      </c>
      <c r="E253" s="446"/>
      <c r="F253" s="446">
        <v>0</v>
      </c>
      <c r="G253" s="446">
        <v>64598.85</v>
      </c>
      <c r="H253" s="446">
        <v>-3890.35</v>
      </c>
      <c r="I253" s="446">
        <v>192967.04000000001</v>
      </c>
      <c r="J253" s="446">
        <v>84796</v>
      </c>
      <c r="K253" s="446">
        <v>15561.65</v>
      </c>
      <c r="L253" s="446">
        <v>210822.3</v>
      </c>
      <c r="M253" s="506">
        <f t="shared" si="12"/>
        <v>3092735.84</v>
      </c>
      <c r="N253" s="446">
        <v>65850.05</v>
      </c>
      <c r="O253" s="446">
        <v>136346.20000000019</v>
      </c>
      <c r="P253" s="446">
        <v>221924.2</v>
      </c>
      <c r="Q253" s="446">
        <v>684.76</v>
      </c>
      <c r="R253" s="446">
        <v>268394.8</v>
      </c>
      <c r="S253" s="446">
        <v>5956.0637296841232</v>
      </c>
      <c r="T253" s="506">
        <f t="shared" si="13"/>
        <v>3791891.913729684</v>
      </c>
      <c r="U253" s="446">
        <v>-116166.46</v>
      </c>
      <c r="V253" s="446"/>
      <c r="W253" s="446">
        <v>-1408.33</v>
      </c>
      <c r="X253" s="448">
        <v>71</v>
      </c>
      <c r="Y253" s="448">
        <v>1</v>
      </c>
      <c r="Z253" s="446">
        <v>773</v>
      </c>
      <c r="AA253" s="269"/>
      <c r="AB253" s="446">
        <v>60426</v>
      </c>
      <c r="AC253" s="450">
        <f>AB253/VPI!R253</f>
        <v>1.4388098812996231</v>
      </c>
      <c r="AD253" s="452">
        <f t="shared" si="14"/>
        <v>129414</v>
      </c>
      <c r="AE253" s="450">
        <f>AD253/VPI!R253</f>
        <v>3.0814904507746572</v>
      </c>
      <c r="AF253" s="446">
        <v>189840</v>
      </c>
      <c r="AG253" s="446">
        <v>46878</v>
      </c>
      <c r="AH253" s="446">
        <v>69148</v>
      </c>
      <c r="AI253" s="273"/>
      <c r="AJ253" s="446">
        <v>0</v>
      </c>
      <c r="AK253" s="450">
        <f>AJ253/VPI!R253</f>
        <v>0</v>
      </c>
      <c r="AL253" s="452">
        <f t="shared" si="16"/>
        <v>47887</v>
      </c>
      <c r="AM253" s="450">
        <f>AL253/VPI!R253</f>
        <v>1.14024242521092</v>
      </c>
      <c r="AN253" s="446">
        <v>47887</v>
      </c>
      <c r="AO253" s="273"/>
      <c r="AP253" s="541">
        <v>32.386795858672599</v>
      </c>
      <c r="AR253" s="178">
        <v>0</v>
      </c>
    </row>
    <row r="254" spans="1:44" x14ac:dyDescent="0.25">
      <c r="A254" s="193">
        <v>5854</v>
      </c>
      <c r="B254" s="454" t="s">
        <v>18</v>
      </c>
      <c r="C254" s="446">
        <v>644956.29</v>
      </c>
      <c r="D254" s="446">
        <v>142661.87</v>
      </c>
      <c r="E254" s="446"/>
      <c r="F254" s="446">
        <v>0</v>
      </c>
      <c r="G254" s="446">
        <v>-765.650000000001</v>
      </c>
      <c r="H254" s="446">
        <v>772.35</v>
      </c>
      <c r="I254" s="446">
        <v>0</v>
      </c>
      <c r="J254" s="446">
        <v>4608.1000000000004</v>
      </c>
      <c r="K254" s="446">
        <v>2031.9</v>
      </c>
      <c r="L254" s="446">
        <v>112054.15</v>
      </c>
      <c r="M254" s="506">
        <f t="shared" ref="M254:M305" si="17">SUM(C254:L254)</f>
        <v>906319.01</v>
      </c>
      <c r="N254" s="446">
        <v>24487.9</v>
      </c>
      <c r="O254" s="446">
        <v>0</v>
      </c>
      <c r="P254" s="446">
        <v>37590</v>
      </c>
      <c r="Q254" s="446">
        <v>745.3</v>
      </c>
      <c r="R254" s="446">
        <v>68535.350000000006</v>
      </c>
      <c r="S254" s="446">
        <v>0.65733179025807842</v>
      </c>
      <c r="T254" s="506">
        <f t="shared" si="13"/>
        <v>1037678.2173317904</v>
      </c>
      <c r="U254" s="446">
        <v>-6688.48</v>
      </c>
      <c r="V254" s="446"/>
      <c r="W254" s="446">
        <v>-393.73</v>
      </c>
      <c r="X254" s="448">
        <v>80</v>
      </c>
      <c r="Y254" s="448">
        <v>1.5</v>
      </c>
      <c r="Z254" s="446">
        <v>404</v>
      </c>
      <c r="AA254" s="269"/>
      <c r="AB254" s="446">
        <v>0</v>
      </c>
      <c r="AC254" s="450">
        <f>AB254/VPI!R254</f>
        <v>0</v>
      </c>
      <c r="AD254" s="452">
        <f t="shared" si="14"/>
        <v>77640</v>
      </c>
      <c r="AE254" s="450">
        <f>AD254/VPI!R254</f>
        <v>7.200294572187806</v>
      </c>
      <c r="AF254" s="446">
        <v>77640</v>
      </c>
      <c r="AG254" s="446">
        <v>11044</v>
      </c>
      <c r="AH254" s="446">
        <v>40034</v>
      </c>
      <c r="AI254" s="273"/>
      <c r="AJ254" s="446">
        <v>0</v>
      </c>
      <c r="AK254" s="450">
        <f>AJ254/VPI!R254</f>
        <v>0</v>
      </c>
      <c r="AL254" s="452">
        <f t="shared" si="16"/>
        <v>17294</v>
      </c>
      <c r="AM254" s="450">
        <f>AL254/VPI!R254</f>
        <v>1.6038368667106635</v>
      </c>
      <c r="AN254" s="446">
        <v>17294</v>
      </c>
      <c r="AO254" s="273"/>
      <c r="AP254" s="541">
        <v>14.739200440010144</v>
      </c>
      <c r="AR254" s="178">
        <v>0</v>
      </c>
    </row>
    <row r="255" spans="1:44" x14ac:dyDescent="0.25">
      <c r="A255" s="193">
        <v>5855</v>
      </c>
      <c r="B255" s="454" t="s">
        <v>19</v>
      </c>
      <c r="C255" s="446">
        <v>2711534.14</v>
      </c>
      <c r="D255" s="446">
        <v>683023.02</v>
      </c>
      <c r="E255" s="446"/>
      <c r="F255" s="446">
        <v>0</v>
      </c>
      <c r="G255" s="446">
        <v>45759.9</v>
      </c>
      <c r="H255" s="446">
        <v>16464</v>
      </c>
      <c r="I255" s="446">
        <v>624296.19999999995</v>
      </c>
      <c r="J255" s="446">
        <v>20299.87</v>
      </c>
      <c r="K255" s="446">
        <v>12031</v>
      </c>
      <c r="L255" s="446">
        <v>355651.7</v>
      </c>
      <c r="M255" s="506">
        <f t="shared" si="17"/>
        <v>4469059.83</v>
      </c>
      <c r="N255" s="446">
        <v>1221.55</v>
      </c>
      <c r="O255" s="446">
        <v>0</v>
      </c>
      <c r="P255" s="446">
        <v>281968.5</v>
      </c>
      <c r="Q255" s="446">
        <v>13553.69</v>
      </c>
      <c r="R255" s="446">
        <v>259119.6</v>
      </c>
      <c r="S255" s="446">
        <v>6104.7384453493651</v>
      </c>
      <c r="T255" s="506">
        <f t="shared" si="13"/>
        <v>5031027.908445349</v>
      </c>
      <c r="U255" s="446">
        <v>-16694.16</v>
      </c>
      <c r="V255" s="446"/>
      <c r="W255" s="446">
        <v>-19267.39</v>
      </c>
      <c r="X255" s="448">
        <v>49</v>
      </c>
      <c r="Y255" s="448">
        <v>0.5</v>
      </c>
      <c r="Z255" s="446">
        <v>628</v>
      </c>
      <c r="AA255" s="269"/>
      <c r="AB255" s="446">
        <v>32540</v>
      </c>
      <c r="AC255" s="450">
        <f>AB255/VPI!R255</f>
        <v>0.33159828878086489</v>
      </c>
      <c r="AD255" s="452">
        <f t="shared" si="14"/>
        <v>242226</v>
      </c>
      <c r="AE255" s="450">
        <f>AD255/VPI!R255</f>
        <v>2.468399726436195</v>
      </c>
      <c r="AF255" s="446">
        <v>274766</v>
      </c>
      <c r="AG255" s="446">
        <v>31484</v>
      </c>
      <c r="AH255" s="446">
        <v>44403</v>
      </c>
      <c r="AI255" s="273"/>
      <c r="AJ255" s="446">
        <v>0</v>
      </c>
      <c r="AK255" s="450">
        <f>AJ255/VPI!R255</f>
        <v>0</v>
      </c>
      <c r="AL255" s="452">
        <f t="shared" si="16"/>
        <v>3304</v>
      </c>
      <c r="AM255" s="450">
        <f>AL255/VPI!R255</f>
        <v>3.3669352985002385E-2</v>
      </c>
      <c r="AN255" s="446">
        <v>3304</v>
      </c>
      <c r="AO255" s="273"/>
      <c r="AP255" s="541">
        <v>46.347827735540299</v>
      </c>
      <c r="AR255" s="178">
        <v>0</v>
      </c>
    </row>
    <row r="256" spans="1:44" x14ac:dyDescent="0.25">
      <c r="A256" s="193">
        <v>5856</v>
      </c>
      <c r="B256" s="454" t="s">
        <v>20</v>
      </c>
      <c r="C256" s="446">
        <v>1684915.18</v>
      </c>
      <c r="D256" s="446">
        <v>250682.95</v>
      </c>
      <c r="E256" s="446"/>
      <c r="F256" s="446">
        <v>0</v>
      </c>
      <c r="G256" s="446">
        <v>-111.65</v>
      </c>
      <c r="H256" s="446">
        <v>1542.8</v>
      </c>
      <c r="I256" s="446">
        <v>246810.25</v>
      </c>
      <c r="J256" s="446">
        <v>19297.080000000002</v>
      </c>
      <c r="K256" s="446">
        <v>974.25</v>
      </c>
      <c r="L256" s="446">
        <v>245409.85</v>
      </c>
      <c r="M256" s="506">
        <f t="shared" si="17"/>
        <v>2449520.7100000004</v>
      </c>
      <c r="N256" s="446">
        <v>7661.75</v>
      </c>
      <c r="O256" s="446">
        <v>2586.6</v>
      </c>
      <c r="P256" s="446">
        <v>174442.55</v>
      </c>
      <c r="Q256" s="446">
        <v>0</v>
      </c>
      <c r="R256" s="446">
        <v>98051.85</v>
      </c>
      <c r="S256" s="446">
        <v>140.40901367580216</v>
      </c>
      <c r="T256" s="506">
        <f t="shared" si="13"/>
        <v>2732403.8690136764</v>
      </c>
      <c r="U256" s="446">
        <v>-16746.740000000002</v>
      </c>
      <c r="V256" s="446"/>
      <c r="W256" s="446">
        <v>-1487.96</v>
      </c>
      <c r="X256" s="448">
        <v>66.5</v>
      </c>
      <c r="Y256" s="448">
        <v>1.3</v>
      </c>
      <c r="Z256" s="446">
        <v>740</v>
      </c>
      <c r="AA256" s="269"/>
      <c r="AB256" s="446">
        <v>39370</v>
      </c>
      <c r="AC256" s="450">
        <f>AB256/VPI!R256</f>
        <v>1.1024559128725162</v>
      </c>
      <c r="AD256" s="452">
        <f t="shared" si="14"/>
        <v>102408</v>
      </c>
      <c r="AE256" s="450">
        <f>AD256/VPI!R256</f>
        <v>2.8676734855333663</v>
      </c>
      <c r="AF256" s="446">
        <v>141778</v>
      </c>
      <c r="AG256" s="446">
        <v>20444</v>
      </c>
      <c r="AH256" s="446">
        <v>48396</v>
      </c>
      <c r="AI256" s="273"/>
      <c r="AJ256" s="446">
        <v>0</v>
      </c>
      <c r="AK256" s="450">
        <f>AJ256/VPI!R256</f>
        <v>0</v>
      </c>
      <c r="AL256" s="452">
        <f t="shared" si="16"/>
        <v>-718</v>
      </c>
      <c r="AM256" s="450">
        <f>AL256/VPI!R256</f>
        <v>-2.0105749185737022E-2</v>
      </c>
      <c r="AN256" s="446">
        <v>-718</v>
      </c>
      <c r="AO256" s="273"/>
      <c r="AP256" s="541">
        <v>33.726755140234161</v>
      </c>
      <c r="AR256" s="178">
        <v>0</v>
      </c>
    </row>
    <row r="257" spans="1:44" x14ac:dyDescent="0.25">
      <c r="A257" s="193">
        <v>5857</v>
      </c>
      <c r="B257" s="454" t="s">
        <v>21</v>
      </c>
      <c r="C257" s="446">
        <v>4121526.97</v>
      </c>
      <c r="D257" s="446">
        <v>730156.66</v>
      </c>
      <c r="E257" s="446"/>
      <c r="F257" s="446">
        <v>0</v>
      </c>
      <c r="G257" s="446">
        <v>-9539.0499999999993</v>
      </c>
      <c r="H257" s="446">
        <v>4083.55</v>
      </c>
      <c r="I257" s="446">
        <v>0</v>
      </c>
      <c r="J257" s="446">
        <v>44842.03</v>
      </c>
      <c r="K257" s="446">
        <v>12376.1</v>
      </c>
      <c r="L257" s="446">
        <v>416421.6</v>
      </c>
      <c r="M257" s="506">
        <f t="shared" si="17"/>
        <v>5319867.8599999994</v>
      </c>
      <c r="N257" s="446">
        <v>83818.8</v>
      </c>
      <c r="O257" s="446">
        <v>7273.5</v>
      </c>
      <c r="P257" s="446">
        <v>167585.70000000001</v>
      </c>
      <c r="Q257" s="446">
        <v>1.81</v>
      </c>
      <c r="R257" s="446">
        <v>55483.5</v>
      </c>
      <c r="S257" s="446">
        <v>0</v>
      </c>
      <c r="T257" s="506">
        <f t="shared" si="13"/>
        <v>5634031.169999999</v>
      </c>
      <c r="U257" s="446">
        <v>-20777.62</v>
      </c>
      <c r="V257" s="446"/>
      <c r="W257" s="446">
        <v>-1154.3499999999999</v>
      </c>
      <c r="X257" s="448">
        <v>64.5</v>
      </c>
      <c r="Y257" s="448">
        <v>1</v>
      </c>
      <c r="Z257" s="446">
        <v>1428</v>
      </c>
      <c r="AA257" s="269"/>
      <c r="AB257" s="446">
        <v>0</v>
      </c>
      <c r="AC257" s="450">
        <f>AB257/VPI!R257</f>
        <v>0</v>
      </c>
      <c r="AD257" s="452">
        <f t="shared" si="14"/>
        <v>0</v>
      </c>
      <c r="AE257" s="450">
        <f>AD257/VPI!R257</f>
        <v>0</v>
      </c>
      <c r="AF257" s="446">
        <v>0</v>
      </c>
      <c r="AG257" s="446">
        <v>0</v>
      </c>
      <c r="AH257" s="446">
        <v>0</v>
      </c>
      <c r="AI257" s="273"/>
      <c r="AJ257" s="446">
        <v>0</v>
      </c>
      <c r="AK257" s="450">
        <f>AJ257/VPI!R257</f>
        <v>0</v>
      </c>
      <c r="AL257" s="452">
        <f t="shared" si="16"/>
        <v>0</v>
      </c>
      <c r="AM257" s="450">
        <f>AL257/VPI!R257</f>
        <v>0</v>
      </c>
      <c r="AN257" s="446">
        <v>0</v>
      </c>
      <c r="AO257" s="273"/>
      <c r="AP257" s="541">
        <v>36.210934309566973</v>
      </c>
      <c r="AR257" s="178">
        <v>0</v>
      </c>
    </row>
    <row r="258" spans="1:44" x14ac:dyDescent="0.25">
      <c r="A258" s="193">
        <v>5858</v>
      </c>
      <c r="B258" s="454" t="s">
        <v>22</v>
      </c>
      <c r="C258" s="446">
        <v>1722015.64</v>
      </c>
      <c r="D258" s="446">
        <v>271762.64</v>
      </c>
      <c r="E258" s="446"/>
      <c r="F258" s="446">
        <v>0</v>
      </c>
      <c r="G258" s="446">
        <v>35061.1</v>
      </c>
      <c r="H258" s="446">
        <v>399.5</v>
      </c>
      <c r="I258" s="446">
        <v>176046.84</v>
      </c>
      <c r="J258" s="446">
        <v>34452.339999999997</v>
      </c>
      <c r="K258" s="446">
        <v>1071.1500000000001</v>
      </c>
      <c r="L258" s="446">
        <v>233519.8</v>
      </c>
      <c r="M258" s="506">
        <f t="shared" si="17"/>
        <v>2474329.0099999993</v>
      </c>
      <c r="N258" s="446">
        <v>4072.3</v>
      </c>
      <c r="O258" s="446">
        <v>19001.400000000001</v>
      </c>
      <c r="P258" s="446">
        <v>74517.25</v>
      </c>
      <c r="Q258" s="446">
        <v>1660.35</v>
      </c>
      <c r="R258" s="446">
        <v>21161.9</v>
      </c>
      <c r="S258" s="446">
        <v>3479.0118927800359</v>
      </c>
      <c r="T258" s="506">
        <f t="shared" si="13"/>
        <v>2598221.2218927792</v>
      </c>
      <c r="U258" s="446">
        <v>-41048.5</v>
      </c>
      <c r="V258" s="446"/>
      <c r="W258" s="446">
        <v>-4349.6899999999996</v>
      </c>
      <c r="X258" s="448">
        <v>58.5</v>
      </c>
      <c r="Y258" s="448">
        <v>1.5</v>
      </c>
      <c r="Z258" s="446">
        <v>619</v>
      </c>
      <c r="AA258" s="269"/>
      <c r="AB258" s="446">
        <v>0</v>
      </c>
      <c r="AC258" s="450">
        <f>AB258/VPI!R258</f>
        <v>0</v>
      </c>
      <c r="AD258" s="452">
        <f t="shared" si="14"/>
        <v>0</v>
      </c>
      <c r="AE258" s="450">
        <f>AD258/VPI!R258</f>
        <v>0</v>
      </c>
      <c r="AF258" s="446">
        <v>0</v>
      </c>
      <c r="AG258" s="446">
        <v>0</v>
      </c>
      <c r="AH258" s="446">
        <v>0</v>
      </c>
      <c r="AI258" s="273"/>
      <c r="AJ258" s="446">
        <v>0</v>
      </c>
      <c r="AK258" s="450">
        <f>AJ258/VPI!R258</f>
        <v>0</v>
      </c>
      <c r="AL258" s="452">
        <f t="shared" si="16"/>
        <v>0</v>
      </c>
      <c r="AM258" s="450">
        <f>AL258/VPI!R258</f>
        <v>0</v>
      </c>
      <c r="AN258" s="446">
        <v>0</v>
      </c>
      <c r="AO258" s="273"/>
      <c r="AP258" s="541">
        <v>40.05575536201502</v>
      </c>
      <c r="AR258" s="178">
        <v>0</v>
      </c>
    </row>
    <row r="259" spans="1:44" x14ac:dyDescent="0.25">
      <c r="A259" s="193">
        <v>5859</v>
      </c>
      <c r="B259" s="454" t="s">
        <v>23</v>
      </c>
      <c r="C259" s="446">
        <v>6729253.2199999997</v>
      </c>
      <c r="D259" s="446">
        <v>1430023.46</v>
      </c>
      <c r="E259" s="446"/>
      <c r="F259" s="446">
        <v>0</v>
      </c>
      <c r="G259" s="446">
        <v>67966.149999999994</v>
      </c>
      <c r="H259" s="446">
        <v>5080.95</v>
      </c>
      <c r="I259" s="446">
        <v>325204.3</v>
      </c>
      <c r="J259" s="446">
        <v>116484.27</v>
      </c>
      <c r="K259" s="446">
        <v>23121.5</v>
      </c>
      <c r="L259" s="446">
        <v>664772.1</v>
      </c>
      <c r="M259" s="506">
        <f t="shared" si="17"/>
        <v>9361905.9499999993</v>
      </c>
      <c r="N259" s="446">
        <v>117869.3</v>
      </c>
      <c r="O259" s="446">
        <v>102227.9</v>
      </c>
      <c r="P259" s="446">
        <v>342244.95</v>
      </c>
      <c r="Q259" s="446">
        <v>9685.19</v>
      </c>
      <c r="R259" s="446">
        <v>207997.85</v>
      </c>
      <c r="S259" s="446">
        <v>7166.5941815167425</v>
      </c>
      <c r="T259" s="506">
        <f t="shared" si="13"/>
        <v>10149097.734181516</v>
      </c>
      <c r="U259" s="446">
        <v>-59061.15</v>
      </c>
      <c r="V259" s="446"/>
      <c r="W259" s="446">
        <v>-20714.57</v>
      </c>
      <c r="X259" s="448">
        <v>63.5</v>
      </c>
      <c r="Y259" s="448">
        <v>1</v>
      </c>
      <c r="Z259" s="446">
        <v>2646</v>
      </c>
      <c r="AA259" s="269"/>
      <c r="AB259" s="446">
        <v>49611</v>
      </c>
      <c r="AC259" s="450">
        <f>AB259/VPI!R259</f>
        <v>0.33877885721206924</v>
      </c>
      <c r="AD259" s="452">
        <f t="shared" si="14"/>
        <v>279273</v>
      </c>
      <c r="AE259" s="450">
        <f>AD259/VPI!R259</f>
        <v>1.9070727820480582</v>
      </c>
      <c r="AF259" s="446">
        <v>328884</v>
      </c>
      <c r="AG259" s="446">
        <v>119503</v>
      </c>
      <c r="AH259" s="446">
        <v>227116</v>
      </c>
      <c r="AI259" s="273"/>
      <c r="AJ259" s="446">
        <v>0</v>
      </c>
      <c r="AK259" s="450">
        <f>AJ259/VPI!R259</f>
        <v>0</v>
      </c>
      <c r="AL259" s="452">
        <f t="shared" si="16"/>
        <v>2889</v>
      </c>
      <c r="AM259" s="450">
        <f>AL259/VPI!R259</f>
        <v>1.9728127199324104E-2</v>
      </c>
      <c r="AN259" s="446">
        <v>2889</v>
      </c>
      <c r="AO259" s="273"/>
      <c r="AP259" s="541">
        <v>30.993521629371489</v>
      </c>
      <c r="AR259" s="178">
        <v>0</v>
      </c>
    </row>
    <row r="260" spans="1:44" x14ac:dyDescent="0.25">
      <c r="A260" s="193">
        <v>5860</v>
      </c>
      <c r="B260" s="454" t="s">
        <v>24</v>
      </c>
      <c r="C260" s="446">
        <v>4294019.4000000004</v>
      </c>
      <c r="D260" s="446">
        <v>984191.96</v>
      </c>
      <c r="E260" s="446"/>
      <c r="F260" s="446">
        <v>0</v>
      </c>
      <c r="G260" s="446">
        <v>147539.15</v>
      </c>
      <c r="H260" s="446">
        <v>8321</v>
      </c>
      <c r="I260" s="446">
        <v>494034.2</v>
      </c>
      <c r="J260" s="446">
        <v>66967.210000000006</v>
      </c>
      <c r="K260" s="446">
        <v>28394.799999999999</v>
      </c>
      <c r="L260" s="446">
        <v>674032.8</v>
      </c>
      <c r="M260" s="506">
        <f t="shared" si="17"/>
        <v>6697500.5200000005</v>
      </c>
      <c r="N260" s="446">
        <v>22451.35</v>
      </c>
      <c r="O260" s="446">
        <v>27524.7</v>
      </c>
      <c r="P260" s="446">
        <v>480096.5</v>
      </c>
      <c r="Q260" s="446">
        <v>3443.13</v>
      </c>
      <c r="R260" s="446">
        <v>211859.84999999998</v>
      </c>
      <c r="S260" s="446">
        <v>15291.318123790359</v>
      </c>
      <c r="T260" s="506">
        <f t="shared" si="13"/>
        <v>7458167.3681237902</v>
      </c>
      <c r="U260" s="446">
        <v>-96821.82</v>
      </c>
      <c r="V260" s="446"/>
      <c r="W260" s="446">
        <v>-17501.400000000001</v>
      </c>
      <c r="X260" s="448">
        <v>58.5</v>
      </c>
      <c r="Y260" s="448">
        <v>1.3</v>
      </c>
      <c r="Z260" s="446">
        <v>1518</v>
      </c>
      <c r="AA260" s="269"/>
      <c r="AB260" s="446">
        <v>101081</v>
      </c>
      <c r="AC260" s="450">
        <f>AB260/VPI!R260</f>
        <v>0.91729801864649052</v>
      </c>
      <c r="AD260" s="452">
        <f t="shared" si="14"/>
        <v>173016</v>
      </c>
      <c r="AE260" s="450">
        <f>AD260/VPI!R260</f>
        <v>1.5700995636582662</v>
      </c>
      <c r="AF260" s="446">
        <v>274097</v>
      </c>
      <c r="AG260" s="446">
        <v>63586</v>
      </c>
      <c r="AH260" s="446">
        <v>125191</v>
      </c>
      <c r="AI260" s="273"/>
      <c r="AJ260" s="446">
        <v>0</v>
      </c>
      <c r="AK260" s="450">
        <f>AJ260/VPI!R260</f>
        <v>0</v>
      </c>
      <c r="AL260" s="452">
        <f t="shared" si="16"/>
        <v>14069</v>
      </c>
      <c r="AM260" s="450">
        <f>AL260/VPI!R260</f>
        <v>0.12767449693154476</v>
      </c>
      <c r="AN260" s="446">
        <v>14069</v>
      </c>
      <c r="AO260" s="273"/>
      <c r="AP260" s="541">
        <v>37.172716402628915</v>
      </c>
      <c r="AR260" s="178">
        <v>0</v>
      </c>
    </row>
    <row r="261" spans="1:44" x14ac:dyDescent="0.25">
      <c r="A261" s="193">
        <v>5861</v>
      </c>
      <c r="B261" s="454" t="s">
        <v>25</v>
      </c>
      <c r="C261" s="446">
        <v>14324702.609999999</v>
      </c>
      <c r="D261" s="446">
        <v>2945979.44</v>
      </c>
      <c r="E261" s="446"/>
      <c r="F261" s="446">
        <v>0</v>
      </c>
      <c r="G261" s="446">
        <v>9722893.200000003</v>
      </c>
      <c r="H261" s="446">
        <v>232192.8</v>
      </c>
      <c r="I261" s="446">
        <v>278867.45</v>
      </c>
      <c r="J261" s="446">
        <v>2067650.94</v>
      </c>
      <c r="K261" s="446">
        <v>146593.04999999999</v>
      </c>
      <c r="L261" s="446">
        <v>1845516.8</v>
      </c>
      <c r="M261" s="506">
        <f t="shared" si="17"/>
        <v>31564396.290000007</v>
      </c>
      <c r="N261" s="446">
        <v>582154.1</v>
      </c>
      <c r="O261" s="446">
        <v>287516.09999999998</v>
      </c>
      <c r="P261" s="446">
        <v>924862.7</v>
      </c>
      <c r="Q261" s="446">
        <v>33825.89</v>
      </c>
      <c r="R261" s="446">
        <v>514069.1</v>
      </c>
      <c r="S261" s="446">
        <v>8236768.2062167786</v>
      </c>
      <c r="T261" s="506">
        <f t="shared" si="13"/>
        <v>42143592.386216789</v>
      </c>
      <c r="U261" s="446">
        <v>-203108.18</v>
      </c>
      <c r="V261" s="446"/>
      <c r="W261" s="446">
        <v>-134280.85</v>
      </c>
      <c r="X261" s="448">
        <v>59.5</v>
      </c>
      <c r="Y261" s="448">
        <v>1</v>
      </c>
      <c r="Z261" s="446">
        <v>6259</v>
      </c>
      <c r="AA261" s="269"/>
      <c r="AB261" s="446">
        <v>802451</v>
      </c>
      <c r="AC261" s="450">
        <f>AB261/VPI!R261</f>
        <v>1.2088287101131772</v>
      </c>
      <c r="AD261" s="452">
        <f t="shared" si="14"/>
        <v>1708654</v>
      </c>
      <c r="AE261" s="450">
        <f>AD261/VPI!R261</f>
        <v>2.5739515694412751</v>
      </c>
      <c r="AF261" s="446">
        <v>2511105</v>
      </c>
      <c r="AG261" s="446">
        <v>549545</v>
      </c>
      <c r="AH261" s="446">
        <v>582969</v>
      </c>
      <c r="AI261" s="273"/>
      <c r="AJ261" s="446">
        <v>0</v>
      </c>
      <c r="AK261" s="450">
        <f>AJ261/VPI!R261</f>
        <v>0</v>
      </c>
      <c r="AL261" s="452">
        <f t="shared" si="16"/>
        <v>141510</v>
      </c>
      <c r="AM261" s="450">
        <f>AL261/VPI!R261</f>
        <v>0.21317357791082037</v>
      </c>
      <c r="AN261" s="446">
        <v>141510</v>
      </c>
      <c r="AO261" s="273"/>
      <c r="AP261" s="541">
        <v>39.200423529727033</v>
      </c>
      <c r="AR261" s="178">
        <v>0</v>
      </c>
    </row>
    <row r="262" spans="1:44" x14ac:dyDescent="0.25">
      <c r="A262" s="193">
        <v>5862</v>
      </c>
      <c r="B262" s="454" t="s">
        <v>26</v>
      </c>
      <c r="C262" s="446">
        <v>511535.32</v>
      </c>
      <c r="D262" s="446">
        <v>81412.039999999994</v>
      </c>
      <c r="E262" s="446"/>
      <c r="F262" s="446">
        <v>0</v>
      </c>
      <c r="G262" s="446">
        <v>8860.7000000000007</v>
      </c>
      <c r="H262" s="446">
        <v>64.7</v>
      </c>
      <c r="I262" s="446">
        <v>0</v>
      </c>
      <c r="J262" s="446">
        <v>-535.36</v>
      </c>
      <c r="K262" s="446">
        <v>0</v>
      </c>
      <c r="L262" s="446">
        <v>49658.5</v>
      </c>
      <c r="M262" s="506">
        <f t="shared" si="17"/>
        <v>650995.89999999991</v>
      </c>
      <c r="N262" s="446">
        <v>11024.15</v>
      </c>
      <c r="O262" s="446">
        <v>1757.6</v>
      </c>
      <c r="P262" s="446">
        <v>0</v>
      </c>
      <c r="Q262" s="446">
        <v>0.49</v>
      </c>
      <c r="R262" s="446">
        <v>-3733.3</v>
      </c>
      <c r="S262" s="446">
        <v>875.66405384621055</v>
      </c>
      <c r="T262" s="506">
        <f t="shared" ref="T262:T306" si="18">SUM(M262:S262)</f>
        <v>660920.50405384612</v>
      </c>
      <c r="U262" s="446">
        <v>-12404.54</v>
      </c>
      <c r="V262" s="446"/>
      <c r="W262" s="446">
        <v>-43.81</v>
      </c>
      <c r="X262" s="448">
        <v>79</v>
      </c>
      <c r="Y262" s="448">
        <v>1</v>
      </c>
      <c r="Z262" s="446">
        <v>236</v>
      </c>
      <c r="AA262" s="269"/>
      <c r="AB262" s="446">
        <v>0</v>
      </c>
      <c r="AC262" s="450">
        <f>AB262/VPI!R262</f>
        <v>0</v>
      </c>
      <c r="AD262" s="452">
        <f t="shared" si="14"/>
        <v>14170</v>
      </c>
      <c r="AE262" s="450">
        <f>AD262/VPI!R262</f>
        <v>1.7506858017664799</v>
      </c>
      <c r="AF262" s="446">
        <v>14170</v>
      </c>
      <c r="AG262" s="446">
        <v>12380</v>
      </c>
      <c r="AH262" s="446">
        <v>19241</v>
      </c>
      <c r="AI262" s="273"/>
      <c r="AJ262" s="446">
        <v>0</v>
      </c>
      <c r="AK262" s="450">
        <f>AJ262/VPI!R262</f>
        <v>0</v>
      </c>
      <c r="AL262" s="452">
        <f t="shared" si="16"/>
        <v>7569</v>
      </c>
      <c r="AM262" s="450">
        <f>AL262/VPI!R262</f>
        <v>0.93514049637053542</v>
      </c>
      <c r="AN262" s="446">
        <v>7569</v>
      </c>
      <c r="AO262" s="273"/>
      <c r="AP262" s="541">
        <v>32.656337698828594</v>
      </c>
      <c r="AR262" s="178">
        <v>0</v>
      </c>
    </row>
    <row r="263" spans="1:44" x14ac:dyDescent="0.25">
      <c r="A263" s="193">
        <v>5863</v>
      </c>
      <c r="B263" s="454" t="s">
        <v>27</v>
      </c>
      <c r="C263" s="446">
        <v>1005152.06</v>
      </c>
      <c r="D263" s="446">
        <v>243236.83</v>
      </c>
      <c r="E263" s="446"/>
      <c r="F263" s="446">
        <v>0</v>
      </c>
      <c r="G263" s="446">
        <v>33174.400000000001</v>
      </c>
      <c r="H263" s="446">
        <v>2026.3</v>
      </c>
      <c r="I263" s="446">
        <v>42786.85</v>
      </c>
      <c r="J263" s="446">
        <v>55477.87</v>
      </c>
      <c r="K263" s="446">
        <v>2606.4</v>
      </c>
      <c r="L263" s="446">
        <v>84223.3</v>
      </c>
      <c r="M263" s="506">
        <f t="shared" si="17"/>
        <v>1468684.0100000002</v>
      </c>
      <c r="N263" s="446">
        <v>23922.95</v>
      </c>
      <c r="O263" s="446">
        <v>1834.6</v>
      </c>
      <c r="P263" s="446">
        <v>57310</v>
      </c>
      <c r="Q263" s="446">
        <v>0</v>
      </c>
      <c r="R263" s="446">
        <v>41481.300000000003</v>
      </c>
      <c r="S263" s="446">
        <v>3453.5133058713673</v>
      </c>
      <c r="T263" s="506">
        <f t="shared" si="18"/>
        <v>1596686.3733058716</v>
      </c>
      <c r="U263" s="446">
        <v>-1184.92</v>
      </c>
      <c r="V263" s="446"/>
      <c r="W263" s="446">
        <v>-2163.7399999999998</v>
      </c>
      <c r="X263" s="448">
        <v>67</v>
      </c>
      <c r="Y263" s="448">
        <v>1</v>
      </c>
      <c r="Z263" s="446">
        <v>385</v>
      </c>
      <c r="AA263" s="269"/>
      <c r="AB263" s="446">
        <v>0</v>
      </c>
      <c r="AC263" s="450">
        <f>AB263/VPI!R263</f>
        <v>0</v>
      </c>
      <c r="AD263" s="452">
        <f t="shared" ref="AD263:AD305" si="19">AF263-AB263</f>
        <v>7672</v>
      </c>
      <c r="AE263" s="450">
        <f>AD263/VPI!R263</f>
        <v>0.34996452712955767</v>
      </c>
      <c r="AF263" s="446">
        <v>7672</v>
      </c>
      <c r="AG263" s="446">
        <v>18855</v>
      </c>
      <c r="AH263" s="446">
        <v>28572</v>
      </c>
      <c r="AI263" s="273"/>
      <c r="AJ263" s="446">
        <v>0</v>
      </c>
      <c r="AK263" s="450">
        <f>AJ263/VPI!R263</f>
        <v>0</v>
      </c>
      <c r="AL263" s="452">
        <f t="shared" si="16"/>
        <v>2072</v>
      </c>
      <c r="AM263" s="450">
        <f>AL263/VPI!R263</f>
        <v>9.4515967180975435E-2</v>
      </c>
      <c r="AN263" s="446">
        <v>2072</v>
      </c>
      <c r="AO263" s="273"/>
      <c r="AP263" s="541">
        <v>33.62684551947622</v>
      </c>
      <c r="AR263" s="178">
        <v>0</v>
      </c>
    </row>
    <row r="264" spans="1:44" x14ac:dyDescent="0.25">
      <c r="A264" s="193">
        <v>5871</v>
      </c>
      <c r="B264" s="454" t="s">
        <v>28</v>
      </c>
      <c r="C264" s="446">
        <v>2902630.91</v>
      </c>
      <c r="D264" s="446">
        <v>507392.42</v>
      </c>
      <c r="E264" s="446"/>
      <c r="F264" s="446">
        <v>0</v>
      </c>
      <c r="G264" s="446">
        <v>96263.15</v>
      </c>
      <c r="H264" s="446">
        <v>7575.2</v>
      </c>
      <c r="I264" s="446">
        <v>0</v>
      </c>
      <c r="J264" s="446">
        <v>80648.320000000007</v>
      </c>
      <c r="K264" s="446">
        <v>4789.3500000000004</v>
      </c>
      <c r="L264" s="446">
        <v>271625.09999999998</v>
      </c>
      <c r="M264" s="506">
        <f>SUM(C264:L264)</f>
        <v>3870924.45</v>
      </c>
      <c r="N264" s="446">
        <v>757257.95</v>
      </c>
      <c r="O264" s="446">
        <v>84633.75</v>
      </c>
      <c r="P264" s="446">
        <v>129090.45</v>
      </c>
      <c r="Q264" s="446">
        <v>28.04</v>
      </c>
      <c r="R264" s="446">
        <v>52955.5</v>
      </c>
      <c r="S264" s="446">
        <v>10187.49977655922</v>
      </c>
      <c r="T264" s="506">
        <f t="shared" si="18"/>
        <v>4905077.6397765595</v>
      </c>
      <c r="U264" s="446">
        <v>-42701.279999999999</v>
      </c>
      <c r="V264" s="446"/>
      <c r="W264" s="446">
        <v>-437.59</v>
      </c>
      <c r="X264" s="448">
        <v>77.56</v>
      </c>
      <c r="Y264" s="448">
        <v>1</v>
      </c>
      <c r="Z264" s="446">
        <v>1473</v>
      </c>
      <c r="AA264" s="269"/>
      <c r="AB264" s="446">
        <v>136972</v>
      </c>
      <c r="AC264" s="450">
        <f>AB264/VPI!R264</f>
        <v>2.7679898959014584</v>
      </c>
      <c r="AD264" s="452">
        <f t="shared" si="19"/>
        <v>360384</v>
      </c>
      <c r="AE264" s="450">
        <f>AD264/VPI!R264</f>
        <v>7.2827969997119935</v>
      </c>
      <c r="AF264" s="446">
        <v>497356</v>
      </c>
      <c r="AG264" s="446">
        <v>164580</v>
      </c>
      <c r="AH264" s="446">
        <v>200293</v>
      </c>
      <c r="AI264" s="273"/>
      <c r="AJ264" s="446">
        <v>0</v>
      </c>
      <c r="AK264" s="450">
        <f>AJ264/VPI!R264</f>
        <v>0</v>
      </c>
      <c r="AL264" s="452">
        <f t="shared" si="16"/>
        <v>35920</v>
      </c>
      <c r="AM264" s="450">
        <f>AL264/VPI!R264</f>
        <v>0.72588702114870474</v>
      </c>
      <c r="AN264" s="446">
        <v>35920</v>
      </c>
      <c r="AO264" s="273"/>
      <c r="AP264" s="541">
        <v>17.501421010897605</v>
      </c>
      <c r="AR264" s="178">
        <v>0</v>
      </c>
    </row>
    <row r="265" spans="1:44" x14ac:dyDescent="0.25">
      <c r="A265" s="193">
        <v>5872</v>
      </c>
      <c r="B265" s="454" t="s">
        <v>184</v>
      </c>
      <c r="C265" s="446">
        <v>7013888.5099999998</v>
      </c>
      <c r="D265" s="446">
        <v>1062250.6000000001</v>
      </c>
      <c r="E265" s="446"/>
      <c r="F265" s="446">
        <v>0</v>
      </c>
      <c r="G265" s="446">
        <v>5299070.6500000004</v>
      </c>
      <c r="H265" s="446">
        <v>660721.15</v>
      </c>
      <c r="I265" s="446">
        <v>0</v>
      </c>
      <c r="J265" s="446">
        <v>373594.06</v>
      </c>
      <c r="K265" s="446">
        <v>67449.3</v>
      </c>
      <c r="L265" s="446">
        <v>747071</v>
      </c>
      <c r="M265" s="506">
        <f t="shared" si="17"/>
        <v>15224045.270000001</v>
      </c>
      <c r="N265" s="446">
        <v>6124106.2999999998</v>
      </c>
      <c r="O265" s="446">
        <v>3501245.6</v>
      </c>
      <c r="P265" s="446">
        <v>231754.35</v>
      </c>
      <c r="Q265" s="446">
        <v>6153.84</v>
      </c>
      <c r="R265" s="446">
        <v>208071.35</v>
      </c>
      <c r="S265" s="446">
        <v>584710.53932231665</v>
      </c>
      <c r="T265" s="506">
        <f t="shared" si="18"/>
        <v>25880087.249322321</v>
      </c>
      <c r="U265" s="446">
        <v>-119434.9</v>
      </c>
      <c r="V265" s="446"/>
      <c r="W265" s="446">
        <v>-22558.400000000001</v>
      </c>
      <c r="X265" s="448">
        <v>66.95</v>
      </c>
      <c r="Y265" s="448">
        <v>1</v>
      </c>
      <c r="Z265" s="446">
        <v>4600</v>
      </c>
      <c r="AA265" s="269"/>
      <c r="AB265" s="446">
        <v>478047</v>
      </c>
      <c r="AC265" s="450">
        <f>AB265/VPI!R265</f>
        <v>2.0420734684380473</v>
      </c>
      <c r="AD265" s="452">
        <f t="shared" si="19"/>
        <v>2035180</v>
      </c>
      <c r="AE265" s="450">
        <f>AD265/VPI!R265</f>
        <v>8.6936788255040707</v>
      </c>
      <c r="AF265" s="446">
        <v>2513227</v>
      </c>
      <c r="AG265" s="446">
        <v>541582</v>
      </c>
      <c r="AH265" s="446">
        <v>646835</v>
      </c>
      <c r="AI265" s="273"/>
      <c r="AJ265" s="446">
        <v>0</v>
      </c>
      <c r="AK265" s="450">
        <f>AJ265/VPI!R265</f>
        <v>0</v>
      </c>
      <c r="AL265" s="452">
        <f t="shared" si="16"/>
        <v>456245</v>
      </c>
      <c r="AM265" s="450">
        <f>AL265/VPI!R265</f>
        <v>1.948941860544082</v>
      </c>
      <c r="AN265" s="446">
        <v>456245</v>
      </c>
      <c r="AO265" s="273"/>
      <c r="AP265" s="541">
        <v>30.578888579199941</v>
      </c>
      <c r="AR265" s="178">
        <v>0</v>
      </c>
    </row>
    <row r="266" spans="1:44" x14ac:dyDescent="0.25">
      <c r="A266" s="193">
        <v>5873</v>
      </c>
      <c r="B266" s="454" t="s">
        <v>185</v>
      </c>
      <c r="C266" s="446">
        <v>1609618.85</v>
      </c>
      <c r="D266" s="446">
        <v>265375.38</v>
      </c>
      <c r="E266" s="446"/>
      <c r="F266" s="446">
        <v>0</v>
      </c>
      <c r="G266" s="446">
        <v>78051.600000000006</v>
      </c>
      <c r="H266" s="446">
        <v>10960.3</v>
      </c>
      <c r="I266" s="446">
        <v>0</v>
      </c>
      <c r="J266" s="446">
        <v>26413.360000000001</v>
      </c>
      <c r="K266" s="446">
        <v>0</v>
      </c>
      <c r="L266" s="446">
        <v>115314.75</v>
      </c>
      <c r="M266" s="506">
        <f>SUM(C266:L266)</f>
        <v>2105734.2400000002</v>
      </c>
      <c r="N266" s="446">
        <v>1061298.2</v>
      </c>
      <c r="O266" s="446">
        <v>11484</v>
      </c>
      <c r="P266" s="446">
        <v>51848.55</v>
      </c>
      <c r="Q266" s="446">
        <v>3491.13</v>
      </c>
      <c r="R266" s="446">
        <v>40297.5</v>
      </c>
      <c r="S266" s="446">
        <v>8732.8882957126298</v>
      </c>
      <c r="T266" s="506">
        <f t="shared" si="18"/>
        <v>3282886.5082957125</v>
      </c>
      <c r="U266" s="446">
        <v>-17239.73</v>
      </c>
      <c r="V266" s="446"/>
      <c r="W266" s="446">
        <v>-662.44</v>
      </c>
      <c r="X266" s="448">
        <v>70</v>
      </c>
      <c r="Y266" s="448">
        <v>0.8</v>
      </c>
      <c r="Z266" s="446">
        <v>888</v>
      </c>
      <c r="AA266" s="269"/>
      <c r="AB266" s="446">
        <v>19530</v>
      </c>
      <c r="AC266" s="450">
        <f>AB266/VPI!R266</f>
        <v>0.64216721146357936</v>
      </c>
      <c r="AD266" s="452">
        <f t="shared" si="19"/>
        <v>765359</v>
      </c>
      <c r="AE266" s="450">
        <f>AD266/VPI!R266</f>
        <v>25.165819498133825</v>
      </c>
      <c r="AF266" s="446">
        <v>784889</v>
      </c>
      <c r="AG266" s="446">
        <v>100015</v>
      </c>
      <c r="AH266" s="446">
        <v>110719</v>
      </c>
      <c r="AI266" s="273"/>
      <c r="AJ266" s="446">
        <v>0</v>
      </c>
      <c r="AK266" s="450">
        <f>AJ266/VPI!R266</f>
        <v>0</v>
      </c>
      <c r="AL266" s="452">
        <f t="shared" si="16"/>
        <v>202518</v>
      </c>
      <c r="AM266" s="450">
        <f>AL266/VPI!R266</f>
        <v>6.6590076462458345</v>
      </c>
      <c r="AN266" s="446">
        <v>202518</v>
      </c>
      <c r="AO266" s="273"/>
      <c r="AP266" s="541">
        <v>22.274603826295845</v>
      </c>
      <c r="AR266" s="178">
        <v>0</v>
      </c>
    </row>
    <row r="267" spans="1:44" x14ac:dyDescent="0.25">
      <c r="A267" s="193">
        <v>5882</v>
      </c>
      <c r="B267" s="454" t="s">
        <v>186</v>
      </c>
      <c r="C267" s="446">
        <v>8696796</v>
      </c>
      <c r="D267" s="446">
        <v>1856762.65</v>
      </c>
      <c r="E267" s="446"/>
      <c r="F267" s="446">
        <v>0</v>
      </c>
      <c r="G267" s="446">
        <v>113522.15</v>
      </c>
      <c r="H267" s="446">
        <v>17631.5</v>
      </c>
      <c r="I267" s="446">
        <v>212678.05</v>
      </c>
      <c r="J267" s="446">
        <v>239252.6</v>
      </c>
      <c r="K267" s="446">
        <v>66179.25</v>
      </c>
      <c r="L267" s="446">
        <v>988422.55</v>
      </c>
      <c r="M267" s="506">
        <f t="shared" si="17"/>
        <v>12191244.750000002</v>
      </c>
      <c r="N267" s="446">
        <v>11194.95</v>
      </c>
      <c r="O267" s="446">
        <v>95838</v>
      </c>
      <c r="P267" s="446">
        <v>631834.94999999995</v>
      </c>
      <c r="Q267" s="446">
        <v>107884.07</v>
      </c>
      <c r="R267" s="446">
        <v>508255.7</v>
      </c>
      <c r="S267" s="446">
        <v>12867.382619908021</v>
      </c>
      <c r="T267" s="506">
        <f t="shared" si="18"/>
        <v>13559119.802619908</v>
      </c>
      <c r="U267" s="446">
        <v>-128511.67</v>
      </c>
      <c r="V267" s="446"/>
      <c r="W267" s="446">
        <v>-12147.19</v>
      </c>
      <c r="X267" s="448">
        <v>68</v>
      </c>
      <c r="Y267" s="448">
        <v>1</v>
      </c>
      <c r="Z267" s="446">
        <v>3093</v>
      </c>
      <c r="AA267" s="269"/>
      <c r="AB267" s="446">
        <v>406036</v>
      </c>
      <c r="AC267" s="450">
        <f>AB267/VPI!R267</f>
        <v>2.2684810405605589</v>
      </c>
      <c r="AD267" s="452">
        <f t="shared" si="19"/>
        <v>1061705</v>
      </c>
      <c r="AE267" s="450">
        <f>AD267/VPI!R267</f>
        <v>5.9316357740898544</v>
      </c>
      <c r="AF267" s="446">
        <v>1467741</v>
      </c>
      <c r="AG267" s="446">
        <v>325963</v>
      </c>
      <c r="AH267" s="446">
        <v>151060</v>
      </c>
      <c r="AI267" s="273"/>
      <c r="AJ267" s="446">
        <v>0</v>
      </c>
      <c r="AK267" s="450">
        <f>AJ267/VPI!R267</f>
        <v>0</v>
      </c>
      <c r="AL267" s="452">
        <f t="shared" si="16"/>
        <v>9801</v>
      </c>
      <c r="AM267" s="450">
        <f>AL267/VPI!R267</f>
        <v>5.4757170986154027E-2</v>
      </c>
      <c r="AN267" s="446">
        <v>9801</v>
      </c>
      <c r="AO267" s="273"/>
      <c r="AP267" s="541">
        <v>34.30126721058398</v>
      </c>
      <c r="AR267" s="178">
        <v>1</v>
      </c>
    </row>
    <row r="268" spans="1:44" x14ac:dyDescent="0.25">
      <c r="A268" s="193">
        <v>5883</v>
      </c>
      <c r="B268" s="454" t="s">
        <v>187</v>
      </c>
      <c r="C268" s="446">
        <v>7639774.4400000004</v>
      </c>
      <c r="D268" s="446">
        <v>2166925.09</v>
      </c>
      <c r="E268" s="446"/>
      <c r="F268" s="446">
        <v>0</v>
      </c>
      <c r="G268" s="446">
        <v>144358.95000000001</v>
      </c>
      <c r="H268" s="446">
        <v>36312.25</v>
      </c>
      <c r="I268" s="446">
        <v>517436.72</v>
      </c>
      <c r="J268" s="446">
        <v>203423.91</v>
      </c>
      <c r="K268" s="446">
        <v>12409.9</v>
      </c>
      <c r="L268" s="446">
        <v>666003.35</v>
      </c>
      <c r="M268" s="506">
        <f t="shared" si="17"/>
        <v>11386644.610000001</v>
      </c>
      <c r="N268" s="446">
        <v>0</v>
      </c>
      <c r="O268" s="446">
        <v>115406.1</v>
      </c>
      <c r="P268" s="446">
        <v>394138.15</v>
      </c>
      <c r="Q268" s="446">
        <v>32383.77</v>
      </c>
      <c r="R268" s="446">
        <v>346407.15</v>
      </c>
      <c r="S268" s="446">
        <v>17725.510946877392</v>
      </c>
      <c r="T268" s="506">
        <f t="shared" si="18"/>
        <v>12292705.290946878</v>
      </c>
      <c r="U268" s="446">
        <v>-94134.23</v>
      </c>
      <c r="V268" s="446"/>
      <c r="W268" s="446">
        <v>-13760.55</v>
      </c>
      <c r="X268" s="448">
        <v>67.5</v>
      </c>
      <c r="Y268" s="448">
        <v>1</v>
      </c>
      <c r="Z268" s="446">
        <v>2311</v>
      </c>
      <c r="AA268" s="269"/>
      <c r="AB268" s="446">
        <v>118036</v>
      </c>
      <c r="AC268" s="450">
        <f>AB268/VPI!R268</f>
        <v>0.70328617577221109</v>
      </c>
      <c r="AD268" s="452">
        <f t="shared" si="19"/>
        <v>336114</v>
      </c>
      <c r="AE268" s="450">
        <f>AD268/VPI!R268</f>
        <v>2.0026460544537339</v>
      </c>
      <c r="AF268" s="446">
        <v>454150</v>
      </c>
      <c r="AG268" s="446">
        <v>476185</v>
      </c>
      <c r="AH268" s="446">
        <v>108250</v>
      </c>
      <c r="AI268" s="273"/>
      <c r="AJ268" s="446">
        <v>0</v>
      </c>
      <c r="AK268" s="450">
        <f>AJ268/VPI!R268</f>
        <v>0</v>
      </c>
      <c r="AL268" s="452">
        <f t="shared" si="16"/>
        <v>1784</v>
      </c>
      <c r="AM268" s="450">
        <f>AL268/VPI!R268</f>
        <v>1.0629490473903085E-2</v>
      </c>
      <c r="AN268" s="446">
        <v>1784</v>
      </c>
      <c r="AO268" s="273"/>
      <c r="AP268" s="541">
        <v>38.318827971658472</v>
      </c>
      <c r="AR268" s="178">
        <v>1</v>
      </c>
    </row>
    <row r="269" spans="1:44" x14ac:dyDescent="0.25">
      <c r="A269" s="193">
        <v>5884</v>
      </c>
      <c r="B269" s="454" t="s">
        <v>45</v>
      </c>
      <c r="C269" s="446">
        <v>5773686.8200000003</v>
      </c>
      <c r="D269" s="446">
        <v>836336.35</v>
      </c>
      <c r="E269" s="446"/>
      <c r="F269" s="446">
        <v>0</v>
      </c>
      <c r="G269" s="446">
        <v>268358.59999999998</v>
      </c>
      <c r="H269" s="446">
        <v>63978.75</v>
      </c>
      <c r="I269" s="446">
        <v>26243.7</v>
      </c>
      <c r="J269" s="446">
        <v>129192.63</v>
      </c>
      <c r="K269" s="446">
        <v>184918.95</v>
      </c>
      <c r="L269" s="446">
        <v>968413.55</v>
      </c>
      <c r="M269" s="506">
        <f t="shared" si="17"/>
        <v>8251129.3499999996</v>
      </c>
      <c r="N269" s="446">
        <v>471954.75</v>
      </c>
      <c r="O269" s="446">
        <v>0</v>
      </c>
      <c r="P269" s="446">
        <v>312090.3</v>
      </c>
      <c r="Q269" s="446">
        <v>6608.53</v>
      </c>
      <c r="R269" s="446">
        <v>214673.65</v>
      </c>
      <c r="S269" s="446">
        <v>32605.358991810663</v>
      </c>
      <c r="T269" s="506">
        <f t="shared" si="18"/>
        <v>9289061.9389918111</v>
      </c>
      <c r="U269" s="446">
        <v>-68462.78</v>
      </c>
      <c r="V269" s="446"/>
      <c r="W269" s="446">
        <v>-4466.72</v>
      </c>
      <c r="X269" s="448">
        <v>66</v>
      </c>
      <c r="Y269" s="448">
        <v>1.2</v>
      </c>
      <c r="Z269" s="446">
        <v>3420</v>
      </c>
      <c r="AA269" s="269"/>
      <c r="AB269" s="446">
        <v>1042338</v>
      </c>
      <c r="AC269" s="450">
        <f>AB269/VPI!R269</f>
        <v>8.5394997468867722</v>
      </c>
      <c r="AD269" s="452">
        <f t="shared" si="19"/>
        <v>706729</v>
      </c>
      <c r="AE269" s="450">
        <f>AD269/VPI!R269</f>
        <v>5.7899761081506584</v>
      </c>
      <c r="AF269" s="446">
        <v>1749067</v>
      </c>
      <c r="AG269" s="446">
        <v>795571</v>
      </c>
      <c r="AH269" s="446">
        <v>190752</v>
      </c>
      <c r="AI269" s="273"/>
      <c r="AJ269" s="446">
        <v>0</v>
      </c>
      <c r="AK269" s="450">
        <f>AJ269/VPI!R269</f>
        <v>0</v>
      </c>
      <c r="AL269" s="452">
        <f t="shared" si="16"/>
        <v>-18070</v>
      </c>
      <c r="AM269" s="450">
        <f>AL269/VPI!R269</f>
        <v>-0.14804100054516287</v>
      </c>
      <c r="AN269" s="446">
        <v>-18070</v>
      </c>
      <c r="AO269" s="273"/>
      <c r="AP269" s="541">
        <v>22.830027994913792</v>
      </c>
      <c r="AR269" s="178">
        <v>1</v>
      </c>
    </row>
    <row r="270" spans="1:44" x14ac:dyDescent="0.25">
      <c r="A270" s="193">
        <v>5885</v>
      </c>
      <c r="B270" s="454" t="s">
        <v>46</v>
      </c>
      <c r="C270" s="446">
        <v>4629092.49</v>
      </c>
      <c r="D270" s="446">
        <v>712082.44</v>
      </c>
      <c r="E270" s="446"/>
      <c r="F270" s="446">
        <v>0</v>
      </c>
      <c r="G270" s="446">
        <v>-4833</v>
      </c>
      <c r="H270" s="446">
        <v>5043.1000000000004</v>
      </c>
      <c r="I270" s="446">
        <v>65358.400000000001</v>
      </c>
      <c r="J270" s="446">
        <v>105212.06</v>
      </c>
      <c r="K270" s="446">
        <v>-4704.55</v>
      </c>
      <c r="L270" s="446">
        <v>499533.85</v>
      </c>
      <c r="M270" s="506">
        <f t="shared" si="17"/>
        <v>6006784.7899999991</v>
      </c>
      <c r="N270" s="446">
        <v>2144.65</v>
      </c>
      <c r="O270" s="446">
        <v>24912.400000000001</v>
      </c>
      <c r="P270" s="446">
        <v>362478.35</v>
      </c>
      <c r="Q270" s="446">
        <v>0</v>
      </c>
      <c r="R270" s="446">
        <v>290352.55</v>
      </c>
      <c r="S270" s="446">
        <v>20.612747631824682</v>
      </c>
      <c r="T270" s="506">
        <f t="shared" si="18"/>
        <v>6686693.3527476313</v>
      </c>
      <c r="U270" s="446">
        <v>-5103.87</v>
      </c>
      <c r="V270" s="446"/>
      <c r="W270" s="446">
        <v>-3916.17</v>
      </c>
      <c r="X270" s="448">
        <v>69.5</v>
      </c>
      <c r="Y270" s="448">
        <v>1.2</v>
      </c>
      <c r="Z270" s="446">
        <v>1670</v>
      </c>
      <c r="AA270" s="269"/>
      <c r="AB270" s="446">
        <v>58294</v>
      </c>
      <c r="AC270" s="450">
        <f>AB270/VPI!R270</f>
        <v>0.68499664234666202</v>
      </c>
      <c r="AD270" s="452">
        <f t="shared" si="19"/>
        <v>497054</v>
      </c>
      <c r="AE270" s="450">
        <f>AD270/VPI!R270</f>
        <v>5.8407438340991824</v>
      </c>
      <c r="AF270" s="446">
        <v>555348</v>
      </c>
      <c r="AG270" s="446">
        <v>133667</v>
      </c>
      <c r="AH270" s="446">
        <v>90003</v>
      </c>
      <c r="AI270" s="273"/>
      <c r="AJ270" s="446">
        <v>0</v>
      </c>
      <c r="AK270" s="450">
        <f>AJ270/VPI!R270</f>
        <v>0</v>
      </c>
      <c r="AL270" s="452">
        <f t="shared" si="16"/>
        <v>-3096</v>
      </c>
      <c r="AM270" s="450">
        <f>AL270/VPI!R270</f>
        <v>-3.638023818412299E-2</v>
      </c>
      <c r="AN270" s="446">
        <v>-3096</v>
      </c>
      <c r="AO270" s="273"/>
      <c r="AP270" s="541">
        <v>32.327141851197077</v>
      </c>
      <c r="AR270" s="178">
        <v>1</v>
      </c>
    </row>
    <row r="271" spans="1:44" x14ac:dyDescent="0.25">
      <c r="A271" s="193">
        <v>5886</v>
      </c>
      <c r="B271" s="454" t="s">
        <v>47</v>
      </c>
      <c r="C271" s="446">
        <v>43386223.619999997</v>
      </c>
      <c r="D271" s="446">
        <v>11400811.4</v>
      </c>
      <c r="E271" s="446"/>
      <c r="F271" s="446">
        <v>0</v>
      </c>
      <c r="G271" s="446">
        <v>2613974.9500000002</v>
      </c>
      <c r="H271" s="446">
        <v>439182</v>
      </c>
      <c r="I271" s="446">
        <v>3440972.13</v>
      </c>
      <c r="J271" s="446">
        <v>2273892.98</v>
      </c>
      <c r="K271" s="446">
        <v>713553.05</v>
      </c>
      <c r="L271" s="446">
        <v>11309162</v>
      </c>
      <c r="M271" s="506">
        <f t="shared" si="17"/>
        <v>75577772.129999995</v>
      </c>
      <c r="N271" s="446">
        <v>1113954.95</v>
      </c>
      <c r="O271" s="446">
        <v>14175436.6</v>
      </c>
      <c r="P271" s="446">
        <v>4226896.3</v>
      </c>
      <c r="Q271" s="446">
        <v>233403.51</v>
      </c>
      <c r="R271" s="446">
        <v>3021737.75</v>
      </c>
      <c r="S271" s="446">
        <v>299542.85431081324</v>
      </c>
      <c r="T271" s="506">
        <f t="shared" si="18"/>
        <v>98648744.094310805</v>
      </c>
      <c r="U271" s="446">
        <v>-979478.85</v>
      </c>
      <c r="V271" s="446"/>
      <c r="W271" s="446">
        <v>-118292.14</v>
      </c>
      <c r="X271" s="448">
        <v>65</v>
      </c>
      <c r="Y271" s="448">
        <v>1.5</v>
      </c>
      <c r="Z271" s="446">
        <v>26180</v>
      </c>
      <c r="AA271" s="269"/>
      <c r="AB271" s="446">
        <v>1092952</v>
      </c>
      <c r="AC271" s="450">
        <f>AB271/VPI!R271</f>
        <v>0.9971738108086684</v>
      </c>
      <c r="AD271" s="452">
        <f t="shared" si="19"/>
        <v>8268918</v>
      </c>
      <c r="AE271" s="450">
        <f>AD271/VPI!R271</f>
        <v>7.5442914906824754</v>
      </c>
      <c r="AF271" s="446">
        <v>9361870</v>
      </c>
      <c r="AG271" s="446">
        <v>6588868</v>
      </c>
      <c r="AH271" s="446">
        <v>263014</v>
      </c>
      <c r="AI271" s="273"/>
      <c r="AJ271" s="446">
        <v>2090</v>
      </c>
      <c r="AK271" s="450">
        <f>AJ271/VPI!R271</f>
        <v>1.9068479353074215E-3</v>
      </c>
      <c r="AL271" s="452">
        <f t="shared" si="16"/>
        <v>2089597</v>
      </c>
      <c r="AM271" s="450">
        <f>AL271/VPI!R271</f>
        <v>1.9064802512318575</v>
      </c>
      <c r="AN271" s="446">
        <v>2091687</v>
      </c>
      <c r="AO271" s="273"/>
      <c r="AP271" s="541">
        <v>15.057680116685484</v>
      </c>
      <c r="AR271" s="178">
        <v>1</v>
      </c>
    </row>
    <row r="272" spans="1:44" x14ac:dyDescent="0.25">
      <c r="A272" s="193">
        <v>5889</v>
      </c>
      <c r="B272" s="454" t="s">
        <v>48</v>
      </c>
      <c r="C272" s="446">
        <v>28877988.780000001</v>
      </c>
      <c r="D272" s="446">
        <v>5931076</v>
      </c>
      <c r="E272" s="446"/>
      <c r="F272" s="446">
        <v>0</v>
      </c>
      <c r="G272" s="446">
        <v>4371006.4000000004</v>
      </c>
      <c r="H272" s="446">
        <v>21240.5</v>
      </c>
      <c r="I272" s="446">
        <v>496028.45</v>
      </c>
      <c r="J272" s="446">
        <v>567329.85</v>
      </c>
      <c r="K272" s="446">
        <v>211743.9</v>
      </c>
      <c r="L272" s="446">
        <v>2987312.4</v>
      </c>
      <c r="M272" s="506">
        <f t="shared" si="17"/>
        <v>43463726.280000001</v>
      </c>
      <c r="N272" s="446">
        <v>213995.45</v>
      </c>
      <c r="O272" s="446">
        <v>700990.6</v>
      </c>
      <c r="P272" s="446">
        <v>1610117.1</v>
      </c>
      <c r="Q272" s="446">
        <v>136325.79999999999</v>
      </c>
      <c r="R272" s="446">
        <v>968601.5</v>
      </c>
      <c r="S272" s="446">
        <v>430919.92806456314</v>
      </c>
      <c r="T272" s="506">
        <f t="shared" si="18"/>
        <v>47524676.658064567</v>
      </c>
      <c r="U272" s="446">
        <v>-279655.38</v>
      </c>
      <c r="V272" s="446"/>
      <c r="W272" s="446">
        <v>-87734.82</v>
      </c>
      <c r="X272" s="448">
        <v>64</v>
      </c>
      <c r="Y272" s="448">
        <v>1.2</v>
      </c>
      <c r="Z272" s="446">
        <v>12088</v>
      </c>
      <c r="AA272" s="269"/>
      <c r="AB272" s="446">
        <v>368171</v>
      </c>
      <c r="AC272" s="450">
        <f>AB272/VPI!R272</f>
        <v>0.54587197614626648</v>
      </c>
      <c r="AD272" s="452">
        <f t="shared" si="19"/>
        <v>2099944</v>
      </c>
      <c r="AE272" s="450">
        <f>AD272/VPI!R272</f>
        <v>3.1135004687400571</v>
      </c>
      <c r="AF272" s="446">
        <v>2468115</v>
      </c>
      <c r="AG272" s="446">
        <v>3122555</v>
      </c>
      <c r="AH272" s="446">
        <v>782</v>
      </c>
      <c r="AI272" s="273"/>
      <c r="AJ272" s="446">
        <v>0</v>
      </c>
      <c r="AK272" s="450">
        <f>AJ272/VPI!R272</f>
        <v>0</v>
      </c>
      <c r="AL272" s="452">
        <f t="shared" si="16"/>
        <v>8144</v>
      </c>
      <c r="AM272" s="450">
        <f>AL272/VPI!R272</f>
        <v>1.2074773335583723E-2</v>
      </c>
      <c r="AN272" s="446">
        <v>8144</v>
      </c>
      <c r="AO272" s="273"/>
      <c r="AP272" s="541">
        <v>28.215667746047149</v>
      </c>
      <c r="AR272" s="178">
        <v>1</v>
      </c>
    </row>
    <row r="273" spans="1:47" x14ac:dyDescent="0.25">
      <c r="A273" s="193">
        <v>5890</v>
      </c>
      <c r="B273" s="454" t="s">
        <v>49</v>
      </c>
      <c r="C273" s="446">
        <v>36593192.490000002</v>
      </c>
      <c r="D273" s="446">
        <v>4894427.3600000003</v>
      </c>
      <c r="E273" s="446"/>
      <c r="F273" s="446">
        <v>0</v>
      </c>
      <c r="G273" s="446">
        <v>11758942.699999999</v>
      </c>
      <c r="H273" s="446">
        <v>1039132.1</v>
      </c>
      <c r="I273" s="446">
        <v>301640.81</v>
      </c>
      <c r="J273" s="446">
        <v>3962548.39</v>
      </c>
      <c r="K273" s="446">
        <v>749667.7</v>
      </c>
      <c r="L273" s="446">
        <v>5674001.8399999999</v>
      </c>
      <c r="M273" s="506">
        <f t="shared" si="17"/>
        <v>64973553.390000001</v>
      </c>
      <c r="N273" s="446">
        <v>928887.1</v>
      </c>
      <c r="O273" s="446">
        <v>2559081.2000000002</v>
      </c>
      <c r="P273" s="446">
        <v>1570397.45</v>
      </c>
      <c r="Q273" s="446">
        <v>146582.91</v>
      </c>
      <c r="R273" s="446">
        <v>2095879.35</v>
      </c>
      <c r="S273" s="446">
        <v>1255609.1671852279</v>
      </c>
      <c r="T273" s="506">
        <f t="shared" si="18"/>
        <v>73529990.567185223</v>
      </c>
      <c r="U273" s="446">
        <v>-463900.91</v>
      </c>
      <c r="V273" s="446"/>
      <c r="W273" s="446">
        <v>-34364.050000000003</v>
      </c>
      <c r="X273" s="448">
        <v>74.5</v>
      </c>
      <c r="Y273" s="448">
        <v>1.5</v>
      </c>
      <c r="Z273" s="446">
        <v>19780</v>
      </c>
      <c r="AA273" s="269"/>
      <c r="AB273" s="446">
        <v>1436024</v>
      </c>
      <c r="AC273" s="450">
        <f>AB273/VPI!R273</f>
        <v>1.6719836050576031</v>
      </c>
      <c r="AD273" s="452">
        <f t="shared" si="19"/>
        <v>5529196</v>
      </c>
      <c r="AE273" s="450">
        <f>AD273/VPI!R273</f>
        <v>6.4377232282678278</v>
      </c>
      <c r="AF273" s="446">
        <v>6965220</v>
      </c>
      <c r="AG273" s="446">
        <v>4788740</v>
      </c>
      <c r="AH273" s="446">
        <v>102751</v>
      </c>
      <c r="AI273" s="273"/>
      <c r="AJ273" s="446">
        <v>0</v>
      </c>
      <c r="AK273" s="450">
        <f>AJ273/VPI!R273</f>
        <v>0</v>
      </c>
      <c r="AL273" s="452">
        <f t="shared" si="16"/>
        <v>100000</v>
      </c>
      <c r="AM273" s="450">
        <f>AL273/VPI!R273</f>
        <v>0.11643145275131915</v>
      </c>
      <c r="AN273" s="446">
        <v>100000</v>
      </c>
      <c r="AO273" s="273"/>
      <c r="AP273" s="541">
        <v>20.275745223662241</v>
      </c>
      <c r="AR273" s="178">
        <v>1</v>
      </c>
    </row>
    <row r="274" spans="1:47" x14ac:dyDescent="0.25">
      <c r="A274" s="193">
        <v>5891</v>
      </c>
      <c r="B274" s="454" t="s">
        <v>50</v>
      </c>
      <c r="C274" s="446">
        <v>2132943.9500000002</v>
      </c>
      <c r="D274" s="446">
        <v>571965.80000000005</v>
      </c>
      <c r="E274" s="446"/>
      <c r="F274" s="446">
        <v>0</v>
      </c>
      <c r="G274" s="446">
        <v>23606.2</v>
      </c>
      <c r="H274" s="446">
        <v>8117.3</v>
      </c>
      <c r="I274" s="446">
        <v>33065.75</v>
      </c>
      <c r="J274" s="446">
        <v>60261.36</v>
      </c>
      <c r="K274" s="446">
        <v>13791.35</v>
      </c>
      <c r="L274" s="446">
        <v>447474.05</v>
      </c>
      <c r="M274" s="506">
        <f t="shared" si="17"/>
        <v>3291225.76</v>
      </c>
      <c r="N274" s="446">
        <v>413.25</v>
      </c>
      <c r="O274" s="446">
        <v>192719</v>
      </c>
      <c r="P274" s="446">
        <v>82503.95</v>
      </c>
      <c r="Q274" s="446">
        <v>25585.96</v>
      </c>
      <c r="R274" s="446">
        <v>39283.199999999997</v>
      </c>
      <c r="S274" s="446">
        <v>3112.3679176496585</v>
      </c>
      <c r="T274" s="506">
        <f t="shared" si="18"/>
        <v>3634843.4879176496</v>
      </c>
      <c r="U274" s="446">
        <v>-113319.94</v>
      </c>
      <c r="V274" s="446"/>
      <c r="W274" s="446">
        <v>-3587.09</v>
      </c>
      <c r="X274" s="448">
        <v>69.5</v>
      </c>
      <c r="Y274" s="448">
        <v>1.5</v>
      </c>
      <c r="Z274" s="446">
        <v>956</v>
      </c>
      <c r="AA274" s="269"/>
      <c r="AB274" s="446">
        <v>0</v>
      </c>
      <c r="AC274" s="450">
        <f>AB274/VPI!R274</f>
        <v>0</v>
      </c>
      <c r="AD274" s="452">
        <f t="shared" si="19"/>
        <v>156816</v>
      </c>
      <c r="AE274" s="450">
        <f>AD274/VPI!R274</f>
        <v>3.5688326975090017</v>
      </c>
      <c r="AF274" s="446">
        <v>156816</v>
      </c>
      <c r="AG274" s="446">
        <v>416175</v>
      </c>
      <c r="AH274" s="446">
        <v>30000</v>
      </c>
      <c r="AI274" s="273"/>
      <c r="AJ274" s="446">
        <v>20503</v>
      </c>
      <c r="AK274" s="450">
        <f>AJ274/VPI!R274</f>
        <v>0.46660912660077458</v>
      </c>
      <c r="AL274" s="452">
        <f t="shared" si="16"/>
        <v>381620</v>
      </c>
      <c r="AM274" s="450">
        <f>AL274/VPI!R274</f>
        <v>8.6849424422468715</v>
      </c>
      <c r="AN274" s="446">
        <v>402123</v>
      </c>
      <c r="AO274" s="273"/>
      <c r="AP274" s="541">
        <v>28.964439302557491</v>
      </c>
      <c r="AR274" s="178">
        <v>1</v>
      </c>
    </row>
    <row r="275" spans="1:47" s="240" customFormat="1" x14ac:dyDescent="0.25">
      <c r="A275" s="193">
        <v>5892</v>
      </c>
      <c r="B275" s="454" t="s">
        <v>400</v>
      </c>
      <c r="C275" s="446">
        <v>34105379.350000001</v>
      </c>
      <c r="D275" s="446">
        <v>7570660.7300000004</v>
      </c>
      <c r="E275" s="446"/>
      <c r="F275" s="446">
        <v>0</v>
      </c>
      <c r="G275" s="446">
        <v>411835.25</v>
      </c>
      <c r="H275" s="446">
        <v>117985.15000000001</v>
      </c>
      <c r="I275" s="446">
        <v>1071038.42</v>
      </c>
      <c r="J275" s="446">
        <v>670355.16999999993</v>
      </c>
      <c r="K275" s="446">
        <v>148213.54999999999</v>
      </c>
      <c r="L275" s="446">
        <v>3545350.9</v>
      </c>
      <c r="M275" s="506">
        <f t="shared" ref="M275" si="20">SUM(C275:L275)</f>
        <v>47640818.519999996</v>
      </c>
      <c r="N275" s="446">
        <v>289237.25</v>
      </c>
      <c r="O275" s="446">
        <v>1231607.1800000002</v>
      </c>
      <c r="P275" s="446">
        <v>2438088.85</v>
      </c>
      <c r="Q275" s="446">
        <v>25559.26</v>
      </c>
      <c r="R275" s="446">
        <v>1928383.9500000002</v>
      </c>
      <c r="S275" s="446">
        <v>51980.267469740393</v>
      </c>
      <c r="T275" s="506">
        <f t="shared" si="18"/>
        <v>53605675.277469739</v>
      </c>
      <c r="U275" s="446">
        <v>-148071.67999999999</v>
      </c>
      <c r="V275" s="446">
        <v>0</v>
      </c>
      <c r="W275" s="446">
        <v>-87718.68</v>
      </c>
      <c r="X275" s="448">
        <v>68.5</v>
      </c>
      <c r="Y275" s="448">
        <v>1</v>
      </c>
      <c r="Z275" s="446">
        <v>11737</v>
      </c>
      <c r="AA275" s="269"/>
      <c r="AB275" s="446">
        <v>1023868</v>
      </c>
      <c r="AC275" s="450">
        <f>AB275/VPI!R275</f>
        <v>1.4770675095253547</v>
      </c>
      <c r="AD275" s="452">
        <f t="shared" si="19"/>
        <v>3351577</v>
      </c>
      <c r="AE275" s="450">
        <f>AD275/VPI!R275</f>
        <v>4.8351012946712464</v>
      </c>
      <c r="AF275" s="446">
        <v>4375445</v>
      </c>
      <c r="AG275" s="446">
        <v>2448543</v>
      </c>
      <c r="AH275" s="446">
        <v>714837</v>
      </c>
      <c r="AI275" s="273"/>
      <c r="AJ275" s="446">
        <v>66669</v>
      </c>
      <c r="AK275" s="450">
        <f>AJ275/VPI!R275</f>
        <v>9.6179013107691488E-2</v>
      </c>
      <c r="AL275" s="452">
        <f t="shared" si="16"/>
        <v>1134508</v>
      </c>
      <c r="AM275" s="450">
        <f>AL275/VPI!R275</f>
        <v>1.63668061322025</v>
      </c>
      <c r="AN275" s="446">
        <v>1201177</v>
      </c>
      <c r="AO275" s="273"/>
      <c r="AP275" s="541">
        <v>32.513816050731265</v>
      </c>
      <c r="AR275" s="178">
        <v>1</v>
      </c>
      <c r="AU275" s="5"/>
    </row>
    <row r="276" spans="1:47" x14ac:dyDescent="0.25">
      <c r="A276" s="193">
        <v>5902</v>
      </c>
      <c r="B276" s="454" t="s">
        <v>51</v>
      </c>
      <c r="C276" s="446">
        <v>680372.81</v>
      </c>
      <c r="D276" s="446">
        <v>75931.8</v>
      </c>
      <c r="E276" s="446"/>
      <c r="F276" s="446">
        <v>0</v>
      </c>
      <c r="G276" s="446">
        <v>3990.91</v>
      </c>
      <c r="H276" s="446">
        <v>166.95</v>
      </c>
      <c r="I276" s="446">
        <v>0</v>
      </c>
      <c r="J276" s="446">
        <v>2866.92</v>
      </c>
      <c r="K276" s="446">
        <v>0</v>
      </c>
      <c r="L276" s="446">
        <v>56555.93</v>
      </c>
      <c r="M276" s="506">
        <f t="shared" si="17"/>
        <v>819885.32000000018</v>
      </c>
      <c r="N276" s="446">
        <v>0</v>
      </c>
      <c r="O276" s="446">
        <v>78113.899999999994</v>
      </c>
      <c r="P276" s="446">
        <v>59304.9</v>
      </c>
      <c r="Q276" s="446">
        <v>0</v>
      </c>
      <c r="R276" s="446">
        <v>31121.5</v>
      </c>
      <c r="S276" s="446">
        <v>389.4347475000726</v>
      </c>
      <c r="T276" s="506">
        <f t="shared" si="18"/>
        <v>988815.05474750034</v>
      </c>
      <c r="U276" s="446">
        <v>-9.7200000000000006</v>
      </c>
      <c r="V276" s="446"/>
      <c r="W276" s="446">
        <v>0</v>
      </c>
      <c r="X276" s="448">
        <v>70</v>
      </c>
      <c r="Y276" s="448">
        <v>1</v>
      </c>
      <c r="Z276" s="446">
        <v>396</v>
      </c>
      <c r="AA276" s="269"/>
      <c r="AB276" s="446">
        <v>0</v>
      </c>
      <c r="AC276" s="450">
        <f>AB276/VPI!R276</f>
        <v>0</v>
      </c>
      <c r="AD276" s="452">
        <f t="shared" si="19"/>
        <v>12793</v>
      </c>
      <c r="AE276" s="450">
        <f>AD276/VPI!R276</f>
        <v>1.0917325035994765</v>
      </c>
      <c r="AF276" s="446">
        <v>12793</v>
      </c>
      <c r="AG276" s="446">
        <v>16625</v>
      </c>
      <c r="AH276" s="446">
        <v>47715</v>
      </c>
      <c r="AI276" s="273"/>
      <c r="AJ276" s="446">
        <v>0</v>
      </c>
      <c r="AK276" s="450">
        <f>AJ276/VPI!R276</f>
        <v>0</v>
      </c>
      <c r="AL276" s="452">
        <f t="shared" si="16"/>
        <v>17576</v>
      </c>
      <c r="AM276" s="450">
        <f>AL276/VPI!R276</f>
        <v>1.4999054548006252</v>
      </c>
      <c r="AN276" s="446">
        <v>17576</v>
      </c>
      <c r="AO276" s="273"/>
      <c r="AP276" s="541">
        <v>17.011431986611662</v>
      </c>
      <c r="AR276" s="178">
        <v>0</v>
      </c>
    </row>
    <row r="277" spans="1:47" x14ac:dyDescent="0.25">
      <c r="A277" s="193">
        <v>5903</v>
      </c>
      <c r="B277" s="454" t="s">
        <v>52</v>
      </c>
      <c r="C277" s="446">
        <v>290269.96999999997</v>
      </c>
      <c r="D277" s="446">
        <v>35810.870000000003</v>
      </c>
      <c r="E277" s="446"/>
      <c r="F277" s="446">
        <v>0</v>
      </c>
      <c r="G277" s="446">
        <v>-4241.55</v>
      </c>
      <c r="H277" s="446">
        <v>297.14999999999998</v>
      </c>
      <c r="I277" s="446">
        <v>0</v>
      </c>
      <c r="J277" s="446">
        <v>4873.83</v>
      </c>
      <c r="K277" s="446">
        <v>0</v>
      </c>
      <c r="L277" s="446">
        <v>25651</v>
      </c>
      <c r="M277" s="506">
        <f t="shared" si="17"/>
        <v>352661.27</v>
      </c>
      <c r="N277" s="446">
        <v>24639.1</v>
      </c>
      <c r="O277" s="446">
        <v>0</v>
      </c>
      <c r="P277" s="446">
        <v>2591.9499999999998</v>
      </c>
      <c r="Q277" s="446">
        <v>0</v>
      </c>
      <c r="R277" s="446">
        <v>4523.55</v>
      </c>
      <c r="S277" s="446">
        <v>0</v>
      </c>
      <c r="T277" s="506">
        <f t="shared" si="18"/>
        <v>384415.87</v>
      </c>
      <c r="U277" s="446">
        <v>-1937.45</v>
      </c>
      <c r="V277" s="446"/>
      <c r="W277" s="446">
        <v>-4.63</v>
      </c>
      <c r="X277" s="448">
        <v>72</v>
      </c>
      <c r="Y277" s="448">
        <v>0.7</v>
      </c>
      <c r="Z277" s="446">
        <v>230</v>
      </c>
      <c r="AA277" s="269"/>
      <c r="AB277" s="446">
        <v>152667</v>
      </c>
      <c r="AC277" s="450">
        <f>AB277/VPI!R277</f>
        <v>30.38884400736713</v>
      </c>
      <c r="AD277" s="452">
        <f t="shared" si="19"/>
        <v>23737</v>
      </c>
      <c r="AE277" s="450">
        <f>AD277/VPI!R277</f>
        <v>4.7249241172150729</v>
      </c>
      <c r="AF277" s="446">
        <v>176404</v>
      </c>
      <c r="AG277" s="446">
        <v>10135</v>
      </c>
      <c r="AH277" s="446">
        <v>18662</v>
      </c>
      <c r="AI277" s="273"/>
      <c r="AJ277" s="446">
        <v>0</v>
      </c>
      <c r="AK277" s="450">
        <f>AJ277/VPI!R277</f>
        <v>0</v>
      </c>
      <c r="AL277" s="452">
        <f t="shared" ref="AL277:AL305" si="21">AN277-AJ277</f>
        <v>25330</v>
      </c>
      <c r="AM277" s="450">
        <f>AL277/VPI!R277</f>
        <v>5.042015751318945</v>
      </c>
      <c r="AN277" s="446">
        <v>25330</v>
      </c>
      <c r="AO277" s="273"/>
      <c r="AP277" s="541">
        <v>17.143076373642756</v>
      </c>
      <c r="AR277" s="178">
        <v>0</v>
      </c>
    </row>
    <row r="278" spans="1:47" x14ac:dyDescent="0.25">
      <c r="A278" s="193">
        <v>5904</v>
      </c>
      <c r="B278" s="454" t="s">
        <v>53</v>
      </c>
      <c r="C278" s="446">
        <v>1169285.06</v>
      </c>
      <c r="D278" s="446">
        <v>151914.60999999999</v>
      </c>
      <c r="E278" s="446"/>
      <c r="F278" s="446">
        <v>0</v>
      </c>
      <c r="G278" s="446">
        <v>2906.4</v>
      </c>
      <c r="H278" s="446">
        <v>602.95000000000005</v>
      </c>
      <c r="I278" s="446">
        <v>0</v>
      </c>
      <c r="J278" s="446">
        <v>17456.939999999999</v>
      </c>
      <c r="K278" s="446">
        <v>3864.65</v>
      </c>
      <c r="L278" s="446">
        <v>95964.1</v>
      </c>
      <c r="M278" s="506">
        <f t="shared" si="17"/>
        <v>1441994.7099999997</v>
      </c>
      <c r="N278" s="446">
        <v>34103.599999999999</v>
      </c>
      <c r="O278" s="446">
        <v>0</v>
      </c>
      <c r="P278" s="446">
        <v>50985</v>
      </c>
      <c r="Q278" s="446">
        <v>441.06</v>
      </c>
      <c r="R278" s="446">
        <v>21469.3</v>
      </c>
      <c r="S278" s="446">
        <v>344.29959972272383</v>
      </c>
      <c r="T278" s="506">
        <f t="shared" si="18"/>
        <v>1549337.9695997227</v>
      </c>
      <c r="U278" s="446">
        <v>-10795.87</v>
      </c>
      <c r="V278" s="446"/>
      <c r="W278" s="446">
        <v>-253.12</v>
      </c>
      <c r="X278" s="448">
        <v>66</v>
      </c>
      <c r="Y278" s="448">
        <v>1</v>
      </c>
      <c r="Z278" s="446">
        <v>559</v>
      </c>
      <c r="AA278" s="269"/>
      <c r="AB278" s="446">
        <v>0</v>
      </c>
      <c r="AC278" s="450">
        <f>AB278/VPI!R278</f>
        <v>0</v>
      </c>
      <c r="AD278" s="452">
        <f t="shared" si="19"/>
        <v>59114</v>
      </c>
      <c r="AE278" s="450">
        <f>AD278/VPI!R278</f>
        <v>2.7250396779056945</v>
      </c>
      <c r="AF278" s="446">
        <v>59114</v>
      </c>
      <c r="AG278" s="446">
        <v>24004</v>
      </c>
      <c r="AH278" s="446">
        <v>15744</v>
      </c>
      <c r="AI278" s="273"/>
      <c r="AJ278" s="446">
        <v>0</v>
      </c>
      <c r="AK278" s="450">
        <f>AJ278/VPI!R278</f>
        <v>0</v>
      </c>
      <c r="AL278" s="452">
        <f t="shared" si="21"/>
        <v>415</v>
      </c>
      <c r="AM278" s="450">
        <f>AL278/VPI!R278</f>
        <v>1.9130687592293926E-2</v>
      </c>
      <c r="AN278" s="446">
        <v>415</v>
      </c>
      <c r="AO278" s="273"/>
      <c r="AP278" s="541">
        <v>29.645790558500348</v>
      </c>
      <c r="AR278" s="178">
        <v>1</v>
      </c>
    </row>
    <row r="279" spans="1:47" x14ac:dyDescent="0.25">
      <c r="A279" s="193">
        <v>5905</v>
      </c>
      <c r="B279" s="454" t="s">
        <v>54</v>
      </c>
      <c r="C279" s="446">
        <v>1142195.71</v>
      </c>
      <c r="D279" s="446">
        <v>126078.03</v>
      </c>
      <c r="E279" s="446"/>
      <c r="F279" s="446">
        <v>0</v>
      </c>
      <c r="G279" s="446">
        <v>120352.9</v>
      </c>
      <c r="H279" s="446">
        <v>8414.7999999999993</v>
      </c>
      <c r="I279" s="446">
        <v>0</v>
      </c>
      <c r="J279" s="446">
        <v>31182.99</v>
      </c>
      <c r="K279" s="446">
        <v>-3012.45</v>
      </c>
      <c r="L279" s="446">
        <v>103440.55</v>
      </c>
      <c r="M279" s="506">
        <f t="shared" si="17"/>
        <v>1528652.53</v>
      </c>
      <c r="N279" s="446">
        <v>1903.55</v>
      </c>
      <c r="O279" s="446">
        <v>0</v>
      </c>
      <c r="P279" s="446">
        <v>54574.85</v>
      </c>
      <c r="Q279" s="446">
        <v>-665.43</v>
      </c>
      <c r="R279" s="446">
        <v>87319.85</v>
      </c>
      <c r="S279" s="446">
        <v>12633.298920659319</v>
      </c>
      <c r="T279" s="506">
        <f t="shared" si="18"/>
        <v>1684418.6489206597</v>
      </c>
      <c r="U279" s="446">
        <v>-4598.74</v>
      </c>
      <c r="V279" s="446"/>
      <c r="W279" s="446">
        <v>-24.88</v>
      </c>
      <c r="X279" s="448">
        <v>71</v>
      </c>
      <c r="Y279" s="448">
        <v>1</v>
      </c>
      <c r="Z279" s="446">
        <v>696</v>
      </c>
      <c r="AA279" s="269"/>
      <c r="AB279" s="446">
        <v>12352</v>
      </c>
      <c r="AC279" s="450">
        <f>AB279/VPI!R279</f>
        <v>0.57095953066793514</v>
      </c>
      <c r="AD279" s="452">
        <f t="shared" si="19"/>
        <v>174119</v>
      </c>
      <c r="AE279" s="450">
        <f>AD279/VPI!R279</f>
        <v>8.048486279175048</v>
      </c>
      <c r="AF279" s="446">
        <v>186471</v>
      </c>
      <c r="AG279" s="446">
        <v>76567</v>
      </c>
      <c r="AH279" s="446">
        <v>28725</v>
      </c>
      <c r="AI279" s="273"/>
      <c r="AJ279" s="446">
        <v>0</v>
      </c>
      <c r="AK279" s="450">
        <f>AJ279/VPI!R279</f>
        <v>0</v>
      </c>
      <c r="AL279" s="452">
        <f t="shared" si="21"/>
        <v>-36255</v>
      </c>
      <c r="AM279" s="450">
        <f>AL279/VPI!R279</f>
        <v>-1.6758531237342931</v>
      </c>
      <c r="AN279" s="446">
        <v>-36255</v>
      </c>
      <c r="AO279" s="273"/>
      <c r="AP279" s="541">
        <v>24.124737699758025</v>
      </c>
      <c r="AR279" s="178">
        <v>0</v>
      </c>
    </row>
    <row r="280" spans="1:47" x14ac:dyDescent="0.25">
      <c r="A280" s="193">
        <v>5907</v>
      </c>
      <c r="B280" s="454" t="s">
        <v>55</v>
      </c>
      <c r="C280" s="446">
        <v>645814.72</v>
      </c>
      <c r="D280" s="446">
        <v>57117.01</v>
      </c>
      <c r="E280" s="446"/>
      <c r="F280" s="446">
        <v>1950</v>
      </c>
      <c r="G280" s="446">
        <v>844.8</v>
      </c>
      <c r="H280" s="446">
        <v>-310.05</v>
      </c>
      <c r="I280" s="446">
        <v>0</v>
      </c>
      <c r="J280" s="446">
        <v>-1250.77</v>
      </c>
      <c r="K280" s="446">
        <v>520.70000000000005</v>
      </c>
      <c r="L280" s="446">
        <v>44658.25</v>
      </c>
      <c r="M280" s="506">
        <f t="shared" si="17"/>
        <v>749344.65999999992</v>
      </c>
      <c r="N280" s="446">
        <v>7607.85</v>
      </c>
      <c r="O280" s="446">
        <v>0</v>
      </c>
      <c r="P280" s="446">
        <v>14552.4</v>
      </c>
      <c r="Q280" s="446">
        <v>2826.42</v>
      </c>
      <c r="R280" s="446">
        <v>17180.400000000001</v>
      </c>
      <c r="S280" s="446">
        <v>52.463906692614458</v>
      </c>
      <c r="T280" s="506">
        <f t="shared" si="18"/>
        <v>791564.19390669256</v>
      </c>
      <c r="U280" s="446">
        <v>-10393.469999999999</v>
      </c>
      <c r="V280" s="446"/>
      <c r="W280" s="446">
        <v>-13.33</v>
      </c>
      <c r="X280" s="448">
        <v>75</v>
      </c>
      <c r="Y280" s="448">
        <v>1</v>
      </c>
      <c r="Z280" s="446">
        <v>324</v>
      </c>
      <c r="AA280" s="269"/>
      <c r="AB280" s="446">
        <v>54400</v>
      </c>
      <c r="AC280" s="450">
        <f>AB280/VPI!R280</f>
        <v>5.5000106610065833</v>
      </c>
      <c r="AD280" s="452">
        <f t="shared" si="19"/>
        <v>47939</v>
      </c>
      <c r="AE280" s="450">
        <f>AD280/VPI!R280</f>
        <v>4.8467832918749005</v>
      </c>
      <c r="AF280" s="446">
        <v>102339</v>
      </c>
      <c r="AG280" s="446">
        <v>13824</v>
      </c>
      <c r="AH280" s="446">
        <v>27596</v>
      </c>
      <c r="AI280" s="273"/>
      <c r="AJ280" s="446">
        <v>0</v>
      </c>
      <c r="AK280" s="450">
        <f>AJ280/VPI!R280</f>
        <v>0</v>
      </c>
      <c r="AL280" s="452">
        <f t="shared" si="21"/>
        <v>8149</v>
      </c>
      <c r="AM280" s="450">
        <f>AL280/VPI!R280</f>
        <v>0.82388946464232815</v>
      </c>
      <c r="AN280" s="446">
        <v>8149</v>
      </c>
      <c r="AO280" s="273"/>
      <c r="AP280" s="541">
        <v>18.629534317815324</v>
      </c>
      <c r="AR280" s="178">
        <v>0</v>
      </c>
    </row>
    <row r="281" spans="1:47" x14ac:dyDescent="0.25">
      <c r="A281" s="193">
        <v>5908</v>
      </c>
      <c r="B281" s="454" t="s">
        <v>56</v>
      </c>
      <c r="C281" s="446">
        <v>438227.64</v>
      </c>
      <c r="D281" s="446">
        <v>41689.279999999999</v>
      </c>
      <c r="E281" s="446"/>
      <c r="F281" s="446">
        <v>0</v>
      </c>
      <c r="G281" s="446">
        <v>107.25</v>
      </c>
      <c r="H281" s="446">
        <v>399.95</v>
      </c>
      <c r="I281" s="446">
        <v>0</v>
      </c>
      <c r="J281" s="446">
        <v>12982.5</v>
      </c>
      <c r="K281" s="446">
        <v>92.95</v>
      </c>
      <c r="L281" s="446">
        <v>21328.25</v>
      </c>
      <c r="M281" s="506">
        <f t="shared" si="17"/>
        <v>514827.82000000007</v>
      </c>
      <c r="N281" s="446">
        <v>4476.1000000000004</v>
      </c>
      <c r="O281" s="446">
        <v>0</v>
      </c>
      <c r="P281" s="446">
        <v>5995</v>
      </c>
      <c r="Q281" s="446">
        <v>0</v>
      </c>
      <c r="R281" s="446">
        <v>2762.55</v>
      </c>
      <c r="S281" s="446">
        <v>49.760997614762132</v>
      </c>
      <c r="T281" s="506">
        <f t="shared" si="18"/>
        <v>528111.2309976148</v>
      </c>
      <c r="U281" s="446">
        <v>-1088.49</v>
      </c>
      <c r="V281" s="446"/>
      <c r="W281" s="446">
        <v>-103.75</v>
      </c>
      <c r="X281" s="448">
        <v>79</v>
      </c>
      <c r="Y281" s="448">
        <v>1</v>
      </c>
      <c r="Z281" s="446">
        <v>144</v>
      </c>
      <c r="AA281" s="269"/>
      <c r="AB281" s="446">
        <v>4020</v>
      </c>
      <c r="AC281" s="450">
        <f>AB281/VPI!R281</f>
        <v>0.61823839353335686</v>
      </c>
      <c r="AD281" s="452">
        <f t="shared" si="19"/>
        <v>8162</v>
      </c>
      <c r="AE281" s="450">
        <f>AD281/VPI!R281</f>
        <v>1.2552392457759349</v>
      </c>
      <c r="AF281" s="446">
        <v>12182</v>
      </c>
      <c r="AG281" s="446">
        <v>6801</v>
      </c>
      <c r="AH281" s="446">
        <v>12705</v>
      </c>
      <c r="AI281" s="273"/>
      <c r="AJ281" s="446">
        <v>0</v>
      </c>
      <c r="AK281" s="450">
        <f>AJ281/VPI!R281</f>
        <v>0</v>
      </c>
      <c r="AL281" s="452">
        <f t="shared" si="21"/>
        <v>15472</v>
      </c>
      <c r="AM281" s="450">
        <f>AL281/VPI!R281</f>
        <v>2.3794488618776359</v>
      </c>
      <c r="AN281" s="446">
        <v>15472</v>
      </c>
      <c r="AO281" s="273"/>
      <c r="AP281" s="541">
        <v>2.5504252252033468</v>
      </c>
      <c r="AR281" s="178">
        <v>0</v>
      </c>
    </row>
    <row r="282" spans="1:47" x14ac:dyDescent="0.25">
      <c r="A282" s="193">
        <v>5909</v>
      </c>
      <c r="B282" s="454" t="s">
        <v>57</v>
      </c>
      <c r="C282" s="446">
        <v>2031141.72</v>
      </c>
      <c r="D282" s="446">
        <v>393465.19</v>
      </c>
      <c r="E282" s="446"/>
      <c r="F282" s="446">
        <v>0</v>
      </c>
      <c r="G282" s="446">
        <v>17077.900000000001</v>
      </c>
      <c r="H282" s="446">
        <v>2169.1</v>
      </c>
      <c r="I282" s="446">
        <v>0</v>
      </c>
      <c r="J282" s="446">
        <v>25616.45</v>
      </c>
      <c r="K282" s="446">
        <v>-2571.0500000000002</v>
      </c>
      <c r="L282" s="446">
        <v>163073</v>
      </c>
      <c r="M282" s="506">
        <f t="shared" si="17"/>
        <v>2629972.3100000005</v>
      </c>
      <c r="N282" s="446">
        <v>8854.75</v>
      </c>
      <c r="O282" s="446">
        <v>2966.4</v>
      </c>
      <c r="P282" s="446">
        <v>45029.45</v>
      </c>
      <c r="Q282" s="446">
        <v>724.05</v>
      </c>
      <c r="R282" s="446">
        <v>42814.05</v>
      </c>
      <c r="S282" s="446">
        <v>1888.3082040444142</v>
      </c>
      <c r="T282" s="506">
        <f t="shared" si="18"/>
        <v>2732249.3182040448</v>
      </c>
      <c r="U282" s="446">
        <v>-2037.97</v>
      </c>
      <c r="V282" s="446"/>
      <c r="W282" s="446">
        <v>-606.21</v>
      </c>
      <c r="X282" s="448">
        <v>67</v>
      </c>
      <c r="Y282" s="448">
        <v>1</v>
      </c>
      <c r="Z282" s="446">
        <v>741</v>
      </c>
      <c r="AA282" s="269"/>
      <c r="AB282" s="446">
        <v>121827</v>
      </c>
      <c r="AC282" s="450">
        <f>AB282/VPI!R282</f>
        <v>3.1036477960662952</v>
      </c>
      <c r="AD282" s="452">
        <f t="shared" si="19"/>
        <v>65326</v>
      </c>
      <c r="AE282" s="450">
        <f>AD282/VPI!R282</f>
        <v>1.6642361375214592</v>
      </c>
      <c r="AF282" s="446">
        <v>187153</v>
      </c>
      <c r="AG282" s="446">
        <v>136483</v>
      </c>
      <c r="AH282" s="446">
        <v>28233</v>
      </c>
      <c r="AI282" s="273"/>
      <c r="AJ282" s="446">
        <v>0</v>
      </c>
      <c r="AK282" s="450">
        <f>AJ282/VPI!R282</f>
        <v>0</v>
      </c>
      <c r="AL282" s="452">
        <f t="shared" si="21"/>
        <v>14877</v>
      </c>
      <c r="AM282" s="450">
        <f>AL282/VPI!R282</f>
        <v>0.37900439362438765</v>
      </c>
      <c r="AN282" s="446">
        <v>14877</v>
      </c>
      <c r="AO282" s="273"/>
      <c r="AP282" s="541">
        <v>31.561803412280792</v>
      </c>
      <c r="AR282" s="178">
        <v>1</v>
      </c>
    </row>
    <row r="283" spans="1:47" x14ac:dyDescent="0.25">
      <c r="A283" s="193">
        <v>5910</v>
      </c>
      <c r="B283" s="454" t="s">
        <v>58</v>
      </c>
      <c r="C283" s="446">
        <v>633913.11</v>
      </c>
      <c r="D283" s="446">
        <v>68095.48</v>
      </c>
      <c r="E283" s="446"/>
      <c r="F283" s="446">
        <v>2290</v>
      </c>
      <c r="G283" s="446">
        <v>4515.6000000000004</v>
      </c>
      <c r="H283" s="446">
        <v>118.05</v>
      </c>
      <c r="I283" s="446">
        <v>0</v>
      </c>
      <c r="J283" s="446">
        <v>7757.32</v>
      </c>
      <c r="K283" s="446">
        <v>0</v>
      </c>
      <c r="L283" s="446">
        <v>56520</v>
      </c>
      <c r="M283" s="506">
        <f t="shared" si="17"/>
        <v>773209.55999999994</v>
      </c>
      <c r="N283" s="446">
        <v>0</v>
      </c>
      <c r="O283" s="446">
        <v>9.8000000000000007</v>
      </c>
      <c r="P283" s="446">
        <v>25300</v>
      </c>
      <c r="Q283" s="446">
        <v>0</v>
      </c>
      <c r="R283" s="446">
        <v>-35616.050000000003</v>
      </c>
      <c r="S283" s="446">
        <v>454.60379849692941</v>
      </c>
      <c r="T283" s="506">
        <f t="shared" si="18"/>
        <v>763357.91379849683</v>
      </c>
      <c r="U283" s="446">
        <v>-5598.18</v>
      </c>
      <c r="V283" s="446"/>
      <c r="W283" s="446">
        <v>-15.01</v>
      </c>
      <c r="X283" s="448">
        <v>77</v>
      </c>
      <c r="Y283" s="448">
        <v>1</v>
      </c>
      <c r="Z283" s="446">
        <v>393</v>
      </c>
      <c r="AA283" s="269"/>
      <c r="AB283" s="446">
        <v>6000</v>
      </c>
      <c r="AC283" s="450">
        <f>AB283/VPI!R283</f>
        <v>0.60152257566332934</v>
      </c>
      <c r="AD283" s="452">
        <f t="shared" si="19"/>
        <v>61135</v>
      </c>
      <c r="AE283" s="450">
        <f>AD283/VPI!R283</f>
        <v>6.1290137771962732</v>
      </c>
      <c r="AF283" s="446">
        <v>67135</v>
      </c>
      <c r="AG283" s="446">
        <v>26271</v>
      </c>
      <c r="AH283" s="446">
        <v>34228</v>
      </c>
      <c r="AI283" s="273"/>
      <c r="AJ283" s="446">
        <v>0</v>
      </c>
      <c r="AK283" s="450">
        <f>AJ283/VPI!R283</f>
        <v>0</v>
      </c>
      <c r="AL283" s="452">
        <f t="shared" si="21"/>
        <v>95922</v>
      </c>
      <c r="AM283" s="450">
        <f>AL283/VPI!R283</f>
        <v>9.6165414171296462</v>
      </c>
      <c r="AN283" s="446">
        <v>95922</v>
      </c>
      <c r="AO283" s="273"/>
      <c r="AP283" s="541">
        <v>10.975724427285545</v>
      </c>
      <c r="AR283" s="178">
        <v>0</v>
      </c>
    </row>
    <row r="284" spans="1:47" x14ac:dyDescent="0.25">
      <c r="A284" s="193">
        <v>5911</v>
      </c>
      <c r="B284" s="454" t="s">
        <v>59</v>
      </c>
      <c r="C284" s="446">
        <v>451703.82</v>
      </c>
      <c r="D284" s="446">
        <v>45378.8</v>
      </c>
      <c r="E284" s="446"/>
      <c r="F284" s="446">
        <v>1450</v>
      </c>
      <c r="G284" s="446">
        <v>1604.05</v>
      </c>
      <c r="H284" s="446">
        <v>102.85</v>
      </c>
      <c r="I284" s="446">
        <v>0</v>
      </c>
      <c r="J284" s="446">
        <v>1137.6199999999999</v>
      </c>
      <c r="K284" s="446">
        <v>830.3</v>
      </c>
      <c r="L284" s="446">
        <v>33892.5</v>
      </c>
      <c r="M284" s="506">
        <f t="shared" si="17"/>
        <v>536099.93999999994</v>
      </c>
      <c r="N284" s="446">
        <v>1274</v>
      </c>
      <c r="O284" s="446">
        <v>1237.2</v>
      </c>
      <c r="P284" s="446">
        <v>0</v>
      </c>
      <c r="Q284" s="446">
        <v>0</v>
      </c>
      <c r="R284" s="446">
        <v>0</v>
      </c>
      <c r="S284" s="446">
        <v>167.46263175993198</v>
      </c>
      <c r="T284" s="506">
        <f t="shared" si="18"/>
        <v>538778.60263175983</v>
      </c>
      <c r="U284" s="446">
        <v>-99.75</v>
      </c>
      <c r="V284" s="446"/>
      <c r="W284" s="446">
        <v>-1865.97</v>
      </c>
      <c r="X284" s="448">
        <v>77</v>
      </c>
      <c r="Y284" s="448">
        <v>1</v>
      </c>
      <c r="Z284" s="446">
        <v>234</v>
      </c>
      <c r="AA284" s="269"/>
      <c r="AB284" s="446">
        <v>0</v>
      </c>
      <c r="AC284" s="450">
        <f>AB284/VPI!R284</f>
        <v>0</v>
      </c>
      <c r="AD284" s="452">
        <f t="shared" si="19"/>
        <v>29830</v>
      </c>
      <c r="AE284" s="450">
        <f>AD284/VPI!R284</f>
        <v>4.2989009293145495</v>
      </c>
      <c r="AF284" s="446">
        <v>29830</v>
      </c>
      <c r="AG284" s="446">
        <v>10624</v>
      </c>
      <c r="AH284" s="446">
        <v>16690</v>
      </c>
      <c r="AI284" s="273"/>
      <c r="AJ284" s="446">
        <v>0</v>
      </c>
      <c r="AK284" s="450">
        <f>AJ284/VPI!R284</f>
        <v>0</v>
      </c>
      <c r="AL284" s="452">
        <f t="shared" si="21"/>
        <v>16671</v>
      </c>
      <c r="AM284" s="450">
        <f>AL284/VPI!R284</f>
        <v>2.4025134895274172</v>
      </c>
      <c r="AN284" s="446">
        <v>16671</v>
      </c>
      <c r="AO284" s="273"/>
      <c r="AP284" s="541">
        <v>21.214872639574185</v>
      </c>
      <c r="AR284" s="178">
        <v>0</v>
      </c>
    </row>
    <row r="285" spans="1:47" x14ac:dyDescent="0.25">
      <c r="A285" s="193">
        <v>5912</v>
      </c>
      <c r="B285" s="454" t="s">
        <v>60</v>
      </c>
      <c r="C285" s="446">
        <v>259454.18</v>
      </c>
      <c r="D285" s="446">
        <v>29070.1</v>
      </c>
      <c r="E285" s="446"/>
      <c r="F285" s="446">
        <v>890</v>
      </c>
      <c r="G285" s="446">
        <v>9191.2000000000007</v>
      </c>
      <c r="H285" s="446">
        <v>187</v>
      </c>
      <c r="I285" s="446">
        <v>0</v>
      </c>
      <c r="J285" s="446">
        <v>9417.1</v>
      </c>
      <c r="K285" s="446">
        <v>0</v>
      </c>
      <c r="L285" s="446">
        <v>21041.3</v>
      </c>
      <c r="M285" s="506">
        <f t="shared" si="17"/>
        <v>329250.87999999995</v>
      </c>
      <c r="N285" s="446">
        <v>2837.6</v>
      </c>
      <c r="O285" s="446">
        <v>0</v>
      </c>
      <c r="P285" s="446">
        <v>14300</v>
      </c>
      <c r="Q285" s="446">
        <v>0</v>
      </c>
      <c r="R285" s="446">
        <v>6755.3</v>
      </c>
      <c r="S285" s="446">
        <v>920.0879097609668</v>
      </c>
      <c r="T285" s="506">
        <f t="shared" si="18"/>
        <v>354063.86790976085</v>
      </c>
      <c r="U285" s="446">
        <v>-654.65</v>
      </c>
      <c r="V285" s="446"/>
      <c r="W285" s="446">
        <v>0</v>
      </c>
      <c r="X285" s="448">
        <v>81</v>
      </c>
      <c r="Y285" s="448">
        <v>1</v>
      </c>
      <c r="Z285" s="446">
        <v>158</v>
      </c>
      <c r="AA285" s="269"/>
      <c r="AB285" s="446">
        <v>0</v>
      </c>
      <c r="AC285" s="450">
        <f>AB285/VPI!R285</f>
        <v>0</v>
      </c>
      <c r="AD285" s="452">
        <f t="shared" si="19"/>
        <v>7689</v>
      </c>
      <c r="AE285" s="450">
        <f>AD285/VPI!R285</f>
        <v>1.8900702822570332</v>
      </c>
      <c r="AF285" s="446">
        <v>7689</v>
      </c>
      <c r="AG285" s="446">
        <v>6934</v>
      </c>
      <c r="AH285" s="446">
        <v>11824</v>
      </c>
      <c r="AI285" s="273"/>
      <c r="AJ285" s="446">
        <v>0</v>
      </c>
      <c r="AK285" s="450">
        <f>AJ285/VPI!R285</f>
        <v>0</v>
      </c>
      <c r="AL285" s="452">
        <f t="shared" si="21"/>
        <v>18618</v>
      </c>
      <c r="AM285" s="450">
        <f>AL285/VPI!R285</f>
        <v>4.5765806366317392</v>
      </c>
      <c r="AN285" s="446">
        <v>18618</v>
      </c>
      <c r="AO285" s="273"/>
      <c r="AP285" s="541">
        <v>9.0378003090285244</v>
      </c>
      <c r="AR285" s="178">
        <v>0</v>
      </c>
    </row>
    <row r="286" spans="1:47" x14ac:dyDescent="0.25">
      <c r="A286" s="193">
        <v>5913</v>
      </c>
      <c r="B286" s="454" t="s">
        <v>61</v>
      </c>
      <c r="C286" s="446">
        <v>1203492.3799999999</v>
      </c>
      <c r="D286" s="446">
        <v>123166.94</v>
      </c>
      <c r="E286" s="446"/>
      <c r="F286" s="446">
        <v>0</v>
      </c>
      <c r="G286" s="446">
        <v>11187.35</v>
      </c>
      <c r="H286" s="446">
        <v>282.14999999999998</v>
      </c>
      <c r="I286" s="446">
        <v>0</v>
      </c>
      <c r="J286" s="446">
        <v>12856.2</v>
      </c>
      <c r="K286" s="446">
        <v>-258.35000000000002</v>
      </c>
      <c r="L286" s="446">
        <v>119379.2</v>
      </c>
      <c r="M286" s="506">
        <f t="shared" si="17"/>
        <v>1470105.8699999996</v>
      </c>
      <c r="N286" s="446">
        <v>30586.9</v>
      </c>
      <c r="O286" s="446">
        <v>0</v>
      </c>
      <c r="P286" s="446">
        <v>43192.7</v>
      </c>
      <c r="Q286" s="446">
        <v>1533.53</v>
      </c>
      <c r="R286" s="446">
        <v>30580</v>
      </c>
      <c r="S286" s="446">
        <v>1125.2637266216766</v>
      </c>
      <c r="T286" s="506">
        <f t="shared" si="18"/>
        <v>1577124.2637266212</v>
      </c>
      <c r="U286" s="446">
        <v>-20736.669999999998</v>
      </c>
      <c r="V286" s="446"/>
      <c r="W286" s="446">
        <v>-977.98</v>
      </c>
      <c r="X286" s="448">
        <v>73</v>
      </c>
      <c r="Y286" s="448">
        <v>1</v>
      </c>
      <c r="Z286" s="446">
        <v>829</v>
      </c>
      <c r="AA286" s="269"/>
      <c r="AB286" s="446">
        <v>25327</v>
      </c>
      <c r="AC286" s="450">
        <f>AB286/VPI!R286</f>
        <v>1.27416076807145</v>
      </c>
      <c r="AD286" s="452">
        <f t="shared" si="19"/>
        <v>22884</v>
      </c>
      <c r="AE286" s="450">
        <f>AD286/VPI!R286</f>
        <v>1.1512573544654741</v>
      </c>
      <c r="AF286" s="446">
        <v>48211</v>
      </c>
      <c r="AG286" s="446">
        <v>54875</v>
      </c>
      <c r="AH286" s="446">
        <v>66202</v>
      </c>
      <c r="AI286" s="273"/>
      <c r="AJ286" s="446">
        <v>0</v>
      </c>
      <c r="AK286" s="450">
        <f>AJ286/VPI!R286</f>
        <v>0</v>
      </c>
      <c r="AL286" s="452">
        <f t="shared" si="21"/>
        <v>66885</v>
      </c>
      <c r="AM286" s="450">
        <f>AL286/VPI!R286</f>
        <v>3.3648771260891115</v>
      </c>
      <c r="AN286" s="446">
        <v>66885</v>
      </c>
      <c r="AO286" s="273"/>
      <c r="AP286" s="541">
        <v>14.280342687839807</v>
      </c>
      <c r="AR286" s="178">
        <v>0</v>
      </c>
    </row>
    <row r="287" spans="1:47" x14ac:dyDescent="0.25">
      <c r="A287" s="193">
        <v>5914</v>
      </c>
      <c r="B287" s="454" t="s">
        <v>62</v>
      </c>
      <c r="C287" s="446">
        <v>653562</v>
      </c>
      <c r="D287" s="446">
        <v>34044.410000000003</v>
      </c>
      <c r="E287" s="446"/>
      <c r="F287" s="446">
        <v>2090</v>
      </c>
      <c r="G287" s="446">
        <v>21746.35</v>
      </c>
      <c r="H287" s="446">
        <v>3796.95</v>
      </c>
      <c r="I287" s="446">
        <v>0</v>
      </c>
      <c r="J287" s="446">
        <v>9723.82</v>
      </c>
      <c r="K287" s="446">
        <v>7718.95</v>
      </c>
      <c r="L287" s="446">
        <v>57671.15</v>
      </c>
      <c r="M287" s="506">
        <f t="shared" si="17"/>
        <v>790353.62999999989</v>
      </c>
      <c r="N287" s="446">
        <v>4770.75</v>
      </c>
      <c r="O287" s="446">
        <v>0</v>
      </c>
      <c r="P287" s="446">
        <v>30904.5</v>
      </c>
      <c r="Q287" s="446">
        <v>0</v>
      </c>
      <c r="R287" s="446">
        <v>14806.6</v>
      </c>
      <c r="S287" s="446">
        <v>2506.0333012088995</v>
      </c>
      <c r="T287" s="506">
        <f t="shared" si="18"/>
        <v>843341.51330120873</v>
      </c>
      <c r="U287" s="446">
        <v>-9754.3700000000008</v>
      </c>
      <c r="V287" s="446"/>
      <c r="W287" s="446">
        <v>-0.59</v>
      </c>
      <c r="X287" s="448">
        <v>73.5</v>
      </c>
      <c r="Y287" s="448">
        <v>1</v>
      </c>
      <c r="Z287" s="446">
        <v>388</v>
      </c>
      <c r="AA287" s="269"/>
      <c r="AB287" s="446">
        <v>23259</v>
      </c>
      <c r="AC287" s="450">
        <f>AB287/VPI!R287</f>
        <v>2.1830241764522436</v>
      </c>
      <c r="AD287" s="452">
        <f t="shared" si="19"/>
        <v>53060</v>
      </c>
      <c r="AE287" s="450">
        <f>AD287/VPI!R287</f>
        <v>4.9800620320115243</v>
      </c>
      <c r="AF287" s="446">
        <v>76319</v>
      </c>
      <c r="AG287" s="446">
        <v>39673</v>
      </c>
      <c r="AH287" s="446">
        <v>48088</v>
      </c>
      <c r="AI287" s="273"/>
      <c r="AJ287" s="446">
        <v>0</v>
      </c>
      <c r="AK287" s="450">
        <f>AJ287/VPI!R287</f>
        <v>0</v>
      </c>
      <c r="AL287" s="452">
        <f t="shared" si="21"/>
        <v>18017</v>
      </c>
      <c r="AM287" s="450">
        <f>AL287/VPI!R287</f>
        <v>1.6910248328449233</v>
      </c>
      <c r="AN287" s="446">
        <v>18017</v>
      </c>
      <c r="AO287" s="273"/>
      <c r="AP287" s="541">
        <v>16.719326837874917</v>
      </c>
      <c r="AR287" s="178">
        <v>1</v>
      </c>
    </row>
    <row r="288" spans="1:47" x14ac:dyDescent="0.25">
      <c r="A288" s="193">
        <v>5919</v>
      </c>
      <c r="B288" s="454" t="s">
        <v>323</v>
      </c>
      <c r="C288" s="446">
        <v>1091336.24</v>
      </c>
      <c r="D288" s="446">
        <v>270444.49</v>
      </c>
      <c r="E288" s="446"/>
      <c r="F288" s="446">
        <v>3550</v>
      </c>
      <c r="G288" s="446">
        <v>55352.6</v>
      </c>
      <c r="H288" s="446">
        <v>1685.85</v>
      </c>
      <c r="I288" s="446">
        <v>0</v>
      </c>
      <c r="J288" s="446">
        <v>21563.51</v>
      </c>
      <c r="K288" s="446">
        <v>9312.4500000000007</v>
      </c>
      <c r="L288" s="446">
        <v>137901.95000000001</v>
      </c>
      <c r="M288" s="506">
        <f t="shared" si="17"/>
        <v>1591147.09</v>
      </c>
      <c r="N288" s="446">
        <v>11500.6</v>
      </c>
      <c r="O288" s="446">
        <v>100085.8</v>
      </c>
      <c r="P288" s="446">
        <v>110471.95</v>
      </c>
      <c r="Q288" s="446">
        <v>0</v>
      </c>
      <c r="R288" s="446">
        <v>55582.5</v>
      </c>
      <c r="S288" s="446">
        <v>5595.9979779174473</v>
      </c>
      <c r="T288" s="506">
        <f t="shared" si="18"/>
        <v>1874383.9379779177</v>
      </c>
      <c r="U288" s="446">
        <v>-22225.9</v>
      </c>
      <c r="V288" s="446"/>
      <c r="W288" s="446">
        <v>-56.05</v>
      </c>
      <c r="X288" s="448">
        <v>72</v>
      </c>
      <c r="Y288" s="448">
        <v>1.2</v>
      </c>
      <c r="Z288" s="446">
        <v>651</v>
      </c>
      <c r="AA288" s="269"/>
      <c r="AB288" s="446">
        <v>109587</v>
      </c>
      <c r="AC288" s="450">
        <f>AB288/VPI!R288</f>
        <v>5.0856452017643976</v>
      </c>
      <c r="AD288" s="452">
        <f t="shared" si="19"/>
        <v>279157</v>
      </c>
      <c r="AE288" s="450">
        <f>AD288/VPI!R288</f>
        <v>12.954944086332722</v>
      </c>
      <c r="AF288" s="446">
        <v>388744</v>
      </c>
      <c r="AG288" s="446">
        <v>40073</v>
      </c>
      <c r="AH288" s="446">
        <v>21898</v>
      </c>
      <c r="AI288" s="273"/>
      <c r="AJ288" s="446">
        <v>0</v>
      </c>
      <c r="AK288" s="450">
        <f>AJ288/VPI!R288</f>
        <v>0</v>
      </c>
      <c r="AL288" s="452">
        <f t="shared" si="21"/>
        <v>4177</v>
      </c>
      <c r="AM288" s="450">
        <f>AL288/VPI!R288</f>
        <v>0.19384361290819063</v>
      </c>
      <c r="AN288" s="446">
        <v>4177</v>
      </c>
      <c r="AO288" s="273"/>
      <c r="AP288" s="541">
        <v>18.640863121886955</v>
      </c>
      <c r="AR288" s="178">
        <v>1</v>
      </c>
    </row>
    <row r="289" spans="1:44" x14ac:dyDescent="0.25">
      <c r="A289" s="193">
        <v>5921</v>
      </c>
      <c r="B289" s="454" t="s">
        <v>324</v>
      </c>
      <c r="C289" s="446">
        <v>376073.69</v>
      </c>
      <c r="D289" s="446">
        <v>52508.05</v>
      </c>
      <c r="E289" s="446"/>
      <c r="F289" s="446">
        <v>0</v>
      </c>
      <c r="G289" s="446">
        <v>-4707.55</v>
      </c>
      <c r="H289" s="446">
        <v>1338.9</v>
      </c>
      <c r="I289" s="446">
        <v>0</v>
      </c>
      <c r="J289" s="446">
        <v>7243.61</v>
      </c>
      <c r="K289" s="446">
        <v>0</v>
      </c>
      <c r="L289" s="446">
        <v>33713.25</v>
      </c>
      <c r="M289" s="506">
        <f t="shared" si="17"/>
        <v>466169.95</v>
      </c>
      <c r="N289" s="446">
        <v>1548.45</v>
      </c>
      <c r="O289" s="446">
        <v>6074.9</v>
      </c>
      <c r="P289" s="446">
        <v>16006.1</v>
      </c>
      <c r="Q289" s="446">
        <v>0</v>
      </c>
      <c r="R289" s="446">
        <v>882.55</v>
      </c>
      <c r="S289" s="446">
        <v>0</v>
      </c>
      <c r="T289" s="506">
        <f t="shared" si="18"/>
        <v>490681.95</v>
      </c>
      <c r="U289" s="446">
        <v>-5989.48</v>
      </c>
      <c r="V289" s="446"/>
      <c r="W289" s="446">
        <v>-29.05</v>
      </c>
      <c r="X289" s="448">
        <v>81</v>
      </c>
      <c r="Y289" s="448">
        <v>1</v>
      </c>
      <c r="Z289" s="446">
        <v>252</v>
      </c>
      <c r="AA289" s="269"/>
      <c r="AB289" s="446">
        <v>0</v>
      </c>
      <c r="AC289" s="450">
        <f>AB289/VPI!R289</f>
        <v>0</v>
      </c>
      <c r="AD289" s="452">
        <f t="shared" si="19"/>
        <v>8642</v>
      </c>
      <c r="AE289" s="450">
        <f>AD289/VPI!R289</f>
        <v>1.521242724840445</v>
      </c>
      <c r="AF289" s="446">
        <v>8642</v>
      </c>
      <c r="AG289" s="446">
        <v>10668</v>
      </c>
      <c r="AH289" s="446">
        <v>19401</v>
      </c>
      <c r="AI289" s="273"/>
      <c r="AJ289" s="446">
        <v>0</v>
      </c>
      <c r="AK289" s="450">
        <f>AJ289/VPI!R289</f>
        <v>0</v>
      </c>
      <c r="AL289" s="452">
        <f t="shared" si="21"/>
        <v>91431</v>
      </c>
      <c r="AM289" s="450">
        <f>AL289/VPI!R289</f>
        <v>16.094508629355094</v>
      </c>
      <c r="AN289" s="446">
        <v>91431</v>
      </c>
      <c r="AO289" s="273"/>
      <c r="AP289" s="541">
        <v>4.9112542307870513</v>
      </c>
      <c r="AR289" s="178">
        <v>0</v>
      </c>
    </row>
    <row r="290" spans="1:44" x14ac:dyDescent="0.25">
      <c r="A290" s="193">
        <v>5922</v>
      </c>
      <c r="B290" s="454" t="s">
        <v>235</v>
      </c>
      <c r="C290" s="446">
        <v>1175357.67</v>
      </c>
      <c r="D290" s="446">
        <v>177661.9</v>
      </c>
      <c r="E290" s="446"/>
      <c r="F290" s="446">
        <v>0</v>
      </c>
      <c r="G290" s="446">
        <v>394569.7</v>
      </c>
      <c r="H290" s="446">
        <v>11621.1</v>
      </c>
      <c r="I290" s="446">
        <v>0</v>
      </c>
      <c r="J290" s="446">
        <v>58040.38</v>
      </c>
      <c r="K290" s="446">
        <v>-444.65000000000902</v>
      </c>
      <c r="L290" s="446">
        <v>259028.05</v>
      </c>
      <c r="M290" s="506">
        <f t="shared" si="17"/>
        <v>2075834.15</v>
      </c>
      <c r="N290" s="446">
        <v>275454.95</v>
      </c>
      <c r="O290" s="446">
        <v>-6233.6</v>
      </c>
      <c r="P290" s="446">
        <v>97702.85</v>
      </c>
      <c r="Q290" s="446">
        <v>1375.5</v>
      </c>
      <c r="R290" s="446">
        <v>33978.300000000003</v>
      </c>
      <c r="S290" s="446">
        <v>39851.063544831079</v>
      </c>
      <c r="T290" s="506">
        <f t="shared" si="18"/>
        <v>2517963.2135448311</v>
      </c>
      <c r="U290" s="446">
        <v>-73955.02</v>
      </c>
      <c r="V290" s="446"/>
      <c r="W290" s="446">
        <v>-506.68</v>
      </c>
      <c r="X290" s="448">
        <v>63.5</v>
      </c>
      <c r="Y290" s="448">
        <v>0.8</v>
      </c>
      <c r="Z290" s="446">
        <v>737</v>
      </c>
      <c r="AA290" s="269"/>
      <c r="AB290" s="446">
        <v>35800</v>
      </c>
      <c r="AC290" s="450">
        <f>AB290/VPI!R290</f>
        <v>1.0787451061445084</v>
      </c>
      <c r="AD290" s="452">
        <f t="shared" si="19"/>
        <v>60406</v>
      </c>
      <c r="AE290" s="450">
        <f>AD290/VPI!R290</f>
        <v>1.8201865050772394</v>
      </c>
      <c r="AF290" s="446">
        <v>96206</v>
      </c>
      <c r="AG290" s="446">
        <v>291601</v>
      </c>
      <c r="AH290" s="446">
        <v>90049</v>
      </c>
      <c r="AI290" s="273"/>
      <c r="AJ290" s="446">
        <v>0</v>
      </c>
      <c r="AK290" s="450">
        <f>AJ290/VPI!R290</f>
        <v>0</v>
      </c>
      <c r="AL290" s="452">
        <f t="shared" si="21"/>
        <v>1061</v>
      </c>
      <c r="AM290" s="450">
        <f>AL290/VPI!R290</f>
        <v>3.1970630101098414E-2</v>
      </c>
      <c r="AN290" s="446">
        <v>1061</v>
      </c>
      <c r="AO290" s="273"/>
      <c r="AP290" s="541">
        <v>32.95973407353565</v>
      </c>
      <c r="AR290" s="178">
        <v>0</v>
      </c>
    </row>
    <row r="291" spans="1:44" x14ac:dyDescent="0.25">
      <c r="A291" s="193">
        <v>5923</v>
      </c>
      <c r="B291" s="454" t="s">
        <v>236</v>
      </c>
      <c r="C291" s="446">
        <v>318747.53000000003</v>
      </c>
      <c r="D291" s="446">
        <v>18226.830000000002</v>
      </c>
      <c r="E291" s="446"/>
      <c r="F291" s="446">
        <v>0</v>
      </c>
      <c r="G291" s="446">
        <v>2196.6999999999998</v>
      </c>
      <c r="H291" s="446">
        <v>1026.5999999999999</v>
      </c>
      <c r="I291" s="446">
        <v>0</v>
      </c>
      <c r="J291" s="446">
        <v>26224.33</v>
      </c>
      <c r="K291" s="446">
        <v>0</v>
      </c>
      <c r="L291" s="446">
        <v>25830.400000000001</v>
      </c>
      <c r="M291" s="506">
        <f t="shared" si="17"/>
        <v>392252.39000000007</v>
      </c>
      <c r="N291" s="446">
        <v>19955.7</v>
      </c>
      <c r="O291" s="446">
        <v>10</v>
      </c>
      <c r="P291" s="446">
        <v>6036.25</v>
      </c>
      <c r="Q291" s="446">
        <v>0</v>
      </c>
      <c r="R291" s="446">
        <v>14162.6</v>
      </c>
      <c r="S291" s="446">
        <v>316.23545664760024</v>
      </c>
      <c r="T291" s="506">
        <f t="shared" si="18"/>
        <v>432733.17545664764</v>
      </c>
      <c r="U291" s="446">
        <v>-3900.52</v>
      </c>
      <c r="V291" s="446"/>
      <c r="W291" s="446">
        <v>0</v>
      </c>
      <c r="X291" s="448">
        <v>81</v>
      </c>
      <c r="Y291" s="448">
        <v>1</v>
      </c>
      <c r="Z291" s="446">
        <v>201</v>
      </c>
      <c r="AA291" s="269"/>
      <c r="AB291" s="446">
        <v>0</v>
      </c>
      <c r="AC291" s="450">
        <f>AB291/VPI!R291</f>
        <v>0</v>
      </c>
      <c r="AD291" s="452">
        <f t="shared" si="19"/>
        <v>74994</v>
      </c>
      <c r="AE291" s="450">
        <f>AD291/VPI!R291</f>
        <v>15.629051920437441</v>
      </c>
      <c r="AF291" s="446">
        <v>74994</v>
      </c>
      <c r="AG291" s="446">
        <v>8979</v>
      </c>
      <c r="AH291" s="446">
        <v>16248</v>
      </c>
      <c r="AI291" s="273"/>
      <c r="AJ291" s="446">
        <v>0</v>
      </c>
      <c r="AK291" s="450">
        <f>AJ291/VPI!R291</f>
        <v>0</v>
      </c>
      <c r="AL291" s="452">
        <f t="shared" si="21"/>
        <v>21731</v>
      </c>
      <c r="AM291" s="450">
        <f>AL291/VPI!R291</f>
        <v>4.5288280033472814</v>
      </c>
      <c r="AN291" s="446">
        <v>21731</v>
      </c>
      <c r="AO291" s="273"/>
      <c r="AP291" s="541">
        <v>11.516997451718455</v>
      </c>
      <c r="AR291" s="178">
        <v>0</v>
      </c>
    </row>
    <row r="292" spans="1:44" x14ac:dyDescent="0.25">
      <c r="A292" s="193">
        <v>5924</v>
      </c>
      <c r="B292" s="454" t="s">
        <v>237</v>
      </c>
      <c r="C292" s="446">
        <v>755331.63</v>
      </c>
      <c r="D292" s="446">
        <v>77955.509999999995</v>
      </c>
      <c r="E292" s="446"/>
      <c r="F292" s="446">
        <v>0</v>
      </c>
      <c r="G292" s="446">
        <v>32631.1</v>
      </c>
      <c r="H292" s="446">
        <v>182.1</v>
      </c>
      <c r="I292" s="446">
        <v>0</v>
      </c>
      <c r="J292" s="446">
        <v>2483.7199999999998</v>
      </c>
      <c r="K292" s="446">
        <v>0</v>
      </c>
      <c r="L292" s="446">
        <v>58527</v>
      </c>
      <c r="M292" s="506">
        <f t="shared" si="17"/>
        <v>927111.05999999994</v>
      </c>
      <c r="N292" s="446">
        <v>16319.85</v>
      </c>
      <c r="O292" s="446">
        <v>7385</v>
      </c>
      <c r="P292" s="446">
        <v>71747.649999999994</v>
      </c>
      <c r="Q292" s="446">
        <v>0</v>
      </c>
      <c r="R292" s="446">
        <v>89990.55</v>
      </c>
      <c r="S292" s="446">
        <v>3219.2775373279042</v>
      </c>
      <c r="T292" s="506">
        <f t="shared" si="18"/>
        <v>1115773.3875373278</v>
      </c>
      <c r="U292" s="446">
        <v>-4091.03</v>
      </c>
      <c r="V292" s="446"/>
      <c r="W292" s="446">
        <v>-74.400000000000006</v>
      </c>
      <c r="X292" s="448">
        <v>74</v>
      </c>
      <c r="Y292" s="448">
        <v>1</v>
      </c>
      <c r="Z292" s="446">
        <v>343</v>
      </c>
      <c r="AA292" s="269"/>
      <c r="AB292" s="446">
        <v>0</v>
      </c>
      <c r="AC292" s="450">
        <f>AB292/VPI!R292</f>
        <v>0</v>
      </c>
      <c r="AD292" s="452">
        <f t="shared" si="19"/>
        <v>39155</v>
      </c>
      <c r="AE292" s="450">
        <f>AD292/VPI!R292</f>
        <v>3.1284601439978674</v>
      </c>
      <c r="AF292" s="446">
        <v>39155</v>
      </c>
      <c r="AG292" s="446">
        <v>14758</v>
      </c>
      <c r="AH292" s="446">
        <v>41958</v>
      </c>
      <c r="AI292" s="273"/>
      <c r="AJ292" s="446">
        <v>0</v>
      </c>
      <c r="AK292" s="450">
        <f>AJ292/VPI!R292</f>
        <v>0</v>
      </c>
      <c r="AL292" s="452">
        <f t="shared" si="21"/>
        <v>-583</v>
      </c>
      <c r="AM292" s="450">
        <f>AL292/VPI!R292</f>
        <v>-4.6581337350293871E-2</v>
      </c>
      <c r="AN292" s="446">
        <v>-583</v>
      </c>
      <c r="AO292" s="273"/>
      <c r="AP292" s="541">
        <v>25.25977118698065</v>
      </c>
      <c r="AR292" s="178">
        <v>0</v>
      </c>
    </row>
    <row r="293" spans="1:44" x14ac:dyDescent="0.25">
      <c r="A293" s="193">
        <v>5925</v>
      </c>
      <c r="B293" s="454" t="s">
        <v>328</v>
      </c>
      <c r="C293" s="446">
        <v>419520.89</v>
      </c>
      <c r="D293" s="446">
        <v>17382.150000000001</v>
      </c>
      <c r="E293" s="446"/>
      <c r="F293" s="446">
        <v>1230</v>
      </c>
      <c r="G293" s="446">
        <v>-4018.55</v>
      </c>
      <c r="H293" s="446">
        <v>253.75</v>
      </c>
      <c r="I293" s="446">
        <v>0</v>
      </c>
      <c r="J293" s="446">
        <v>10449.290000000001</v>
      </c>
      <c r="K293" s="446">
        <v>0</v>
      </c>
      <c r="L293" s="446">
        <v>31788.1</v>
      </c>
      <c r="M293" s="506">
        <f t="shared" si="17"/>
        <v>476605.63</v>
      </c>
      <c r="N293" s="446">
        <v>7684.4</v>
      </c>
      <c r="O293" s="446">
        <v>112427.7</v>
      </c>
      <c r="P293" s="446">
        <v>15290</v>
      </c>
      <c r="Q293" s="446">
        <v>0</v>
      </c>
      <c r="R293" s="446">
        <v>4637.55</v>
      </c>
      <c r="S293" s="446">
        <v>0</v>
      </c>
      <c r="T293" s="506">
        <f t="shared" si="18"/>
        <v>616645.28</v>
      </c>
      <c r="U293" s="446">
        <v>-11676.58</v>
      </c>
      <c r="V293" s="446"/>
      <c r="W293" s="446">
        <v>0</v>
      </c>
      <c r="X293" s="448">
        <v>79</v>
      </c>
      <c r="Y293" s="448">
        <v>1</v>
      </c>
      <c r="Z293" s="446">
        <v>201</v>
      </c>
      <c r="AA293" s="269"/>
      <c r="AB293" s="446">
        <v>0</v>
      </c>
      <c r="AC293" s="450">
        <f>AB293/VPI!R293</f>
        <v>0</v>
      </c>
      <c r="AD293" s="452">
        <f t="shared" si="19"/>
        <v>28637</v>
      </c>
      <c r="AE293" s="450">
        <f>AD293/VPI!R293</f>
        <v>4.8659532029672059</v>
      </c>
      <c r="AF293" s="446">
        <v>28637</v>
      </c>
      <c r="AG293" s="446">
        <v>9246</v>
      </c>
      <c r="AH293" s="446">
        <v>16732</v>
      </c>
      <c r="AI293" s="273"/>
      <c r="AJ293" s="446">
        <v>0</v>
      </c>
      <c r="AK293" s="450">
        <f>AJ293/VPI!R293</f>
        <v>0</v>
      </c>
      <c r="AL293" s="452">
        <f t="shared" si="21"/>
        <v>13637</v>
      </c>
      <c r="AM293" s="450">
        <f>AL293/VPI!R293</f>
        <v>2.3171772123079859</v>
      </c>
      <c r="AN293" s="446">
        <v>13637</v>
      </c>
      <c r="AO293" s="273"/>
      <c r="AP293" s="541">
        <v>10.602713263370246</v>
      </c>
      <c r="AR293" s="178">
        <v>0</v>
      </c>
    </row>
    <row r="294" spans="1:44" x14ac:dyDescent="0.25">
      <c r="A294" s="193">
        <v>5926</v>
      </c>
      <c r="B294" s="454" t="s">
        <v>329</v>
      </c>
      <c r="C294" s="446">
        <v>1545734.26</v>
      </c>
      <c r="D294" s="446">
        <v>252513.13</v>
      </c>
      <c r="E294" s="446"/>
      <c r="F294" s="446">
        <v>0</v>
      </c>
      <c r="G294" s="446">
        <v>5409.6499999999896</v>
      </c>
      <c r="H294" s="446">
        <v>-128.30000000000001</v>
      </c>
      <c r="I294" s="446">
        <v>0</v>
      </c>
      <c r="J294" s="446">
        <v>22139.54</v>
      </c>
      <c r="K294" s="446">
        <v>0</v>
      </c>
      <c r="L294" s="446">
        <v>122933.4</v>
      </c>
      <c r="M294" s="506">
        <f t="shared" si="17"/>
        <v>1948601.68</v>
      </c>
      <c r="N294" s="446">
        <v>11494.6</v>
      </c>
      <c r="O294" s="446">
        <v>19099.900000000001</v>
      </c>
      <c r="P294" s="446">
        <v>100571.3</v>
      </c>
      <c r="Q294" s="446">
        <v>4972.66</v>
      </c>
      <c r="R294" s="446">
        <v>51321.7</v>
      </c>
      <c r="S294" s="446">
        <v>518.14914186262524</v>
      </c>
      <c r="T294" s="506">
        <f t="shared" si="18"/>
        <v>2136579.9891418624</v>
      </c>
      <c r="U294" s="446">
        <v>-11331.52</v>
      </c>
      <c r="V294" s="446"/>
      <c r="W294" s="446">
        <v>-90.08</v>
      </c>
      <c r="X294" s="448">
        <v>71</v>
      </c>
      <c r="Y294" s="448">
        <v>1</v>
      </c>
      <c r="Z294" s="446">
        <v>803</v>
      </c>
      <c r="AA294" s="269"/>
      <c r="AB294" s="446">
        <v>53200</v>
      </c>
      <c r="AC294" s="450">
        <f>AB294/VPI!R294</f>
        <v>1.9443334540666874</v>
      </c>
      <c r="AD294" s="452">
        <f t="shared" si="19"/>
        <v>45130</v>
      </c>
      <c r="AE294" s="450">
        <f>AD294/VPI!R294</f>
        <v>1.6493941500381504</v>
      </c>
      <c r="AF294" s="446">
        <v>98330</v>
      </c>
      <c r="AG294" s="446">
        <v>52874</v>
      </c>
      <c r="AH294" s="446">
        <v>72356</v>
      </c>
      <c r="AI294" s="273"/>
      <c r="AJ294" s="446">
        <v>0</v>
      </c>
      <c r="AK294" s="450">
        <f>AJ294/VPI!R294</f>
        <v>0</v>
      </c>
      <c r="AL294" s="452">
        <f t="shared" si="21"/>
        <v>42626</v>
      </c>
      <c r="AM294" s="450">
        <f>AL294/VPI!R294</f>
        <v>1.5578789062602747</v>
      </c>
      <c r="AN294" s="446">
        <v>42626</v>
      </c>
      <c r="AO294" s="273"/>
      <c r="AP294" s="541">
        <v>24.841274883120967</v>
      </c>
      <c r="AR294" s="178">
        <v>1</v>
      </c>
    </row>
    <row r="295" spans="1:44" x14ac:dyDescent="0.25">
      <c r="A295" s="193">
        <v>5928</v>
      </c>
      <c r="B295" s="454" t="s">
        <v>330</v>
      </c>
      <c r="C295" s="446">
        <v>299784.45</v>
      </c>
      <c r="D295" s="446">
        <v>52813.62</v>
      </c>
      <c r="E295" s="446"/>
      <c r="F295" s="446">
        <v>0</v>
      </c>
      <c r="G295" s="446">
        <v>3182.7</v>
      </c>
      <c r="H295" s="446">
        <v>45.5</v>
      </c>
      <c r="I295" s="446">
        <v>0</v>
      </c>
      <c r="J295" s="446">
        <v>25596.57</v>
      </c>
      <c r="K295" s="446">
        <v>0</v>
      </c>
      <c r="L295" s="446">
        <v>22647</v>
      </c>
      <c r="M295" s="506">
        <f t="shared" si="17"/>
        <v>404069.84</v>
      </c>
      <c r="N295" s="446">
        <v>5029.1499999999996</v>
      </c>
      <c r="O295" s="446">
        <v>-22567.3</v>
      </c>
      <c r="P295" s="446">
        <v>12822.7</v>
      </c>
      <c r="Q295" s="446">
        <v>-1.82</v>
      </c>
      <c r="R295" s="446">
        <v>14703.3</v>
      </c>
      <c r="S295" s="446">
        <v>316.71619183749044</v>
      </c>
      <c r="T295" s="506">
        <f t="shared" si="18"/>
        <v>414372.58619183756</v>
      </c>
      <c r="U295" s="446">
        <v>-6650.09</v>
      </c>
      <c r="V295" s="446"/>
      <c r="W295" s="446">
        <v>-21.61</v>
      </c>
      <c r="X295" s="448">
        <v>71.5</v>
      </c>
      <c r="Y295" s="448">
        <v>1</v>
      </c>
      <c r="Z295" s="446">
        <v>204</v>
      </c>
      <c r="AA295" s="269"/>
      <c r="AB295" s="446">
        <v>3146</v>
      </c>
      <c r="AC295" s="450">
        <f>AB295/VPI!R295</f>
        <v>0.56558115910362139</v>
      </c>
      <c r="AD295" s="452">
        <f t="shared" si="19"/>
        <v>11194</v>
      </c>
      <c r="AE295" s="450">
        <f>AD295/VPI!R295</f>
        <v>2.0124334059141571</v>
      </c>
      <c r="AF295" s="446">
        <v>14340</v>
      </c>
      <c r="AG295" s="446">
        <v>8223</v>
      </c>
      <c r="AH295" s="446">
        <v>20709</v>
      </c>
      <c r="AI295" s="273"/>
      <c r="AJ295" s="446">
        <v>0</v>
      </c>
      <c r="AK295" s="450">
        <f>AJ295/VPI!R295</f>
        <v>0</v>
      </c>
      <c r="AL295" s="452">
        <f t="shared" si="21"/>
        <v>4615</v>
      </c>
      <c r="AM295" s="450">
        <f>AL295/VPI!R295</f>
        <v>0.82967484083382481</v>
      </c>
      <c r="AN295" s="446">
        <v>4615</v>
      </c>
      <c r="AO295" s="273"/>
      <c r="AP295" s="541">
        <v>22.323121877204002</v>
      </c>
      <c r="AR295" s="178">
        <v>0</v>
      </c>
    </row>
    <row r="296" spans="1:44" x14ac:dyDescent="0.25">
      <c r="A296" s="193">
        <v>5929</v>
      </c>
      <c r="B296" s="454" t="s">
        <v>331</v>
      </c>
      <c r="C296" s="446">
        <v>1106902.06</v>
      </c>
      <c r="D296" s="446">
        <v>99030.74</v>
      </c>
      <c r="E296" s="446"/>
      <c r="F296" s="446">
        <v>0</v>
      </c>
      <c r="G296" s="446">
        <v>30281.7</v>
      </c>
      <c r="H296" s="446">
        <v>90</v>
      </c>
      <c r="I296" s="446">
        <v>41100.15</v>
      </c>
      <c r="J296" s="446">
        <v>14288.28</v>
      </c>
      <c r="K296" s="446">
        <v>0</v>
      </c>
      <c r="L296" s="446">
        <v>91059.25</v>
      </c>
      <c r="M296" s="506">
        <f t="shared" si="17"/>
        <v>1382752.18</v>
      </c>
      <c r="N296" s="446">
        <v>10330.75</v>
      </c>
      <c r="O296" s="446">
        <v>0</v>
      </c>
      <c r="P296" s="446">
        <v>54620.5</v>
      </c>
      <c r="Q296" s="446">
        <v>0</v>
      </c>
      <c r="R296" s="446">
        <v>35210</v>
      </c>
      <c r="S296" s="446">
        <v>2979.7438707734054</v>
      </c>
      <c r="T296" s="506">
        <f t="shared" si="18"/>
        <v>1485893.1738707733</v>
      </c>
      <c r="U296" s="446">
        <v>-21227.27</v>
      </c>
      <c r="V296" s="446"/>
      <c r="W296" s="446">
        <v>-14.49</v>
      </c>
      <c r="X296" s="448">
        <v>70</v>
      </c>
      <c r="Y296" s="448">
        <v>0.8</v>
      </c>
      <c r="Z296" s="446">
        <v>656</v>
      </c>
      <c r="AA296" s="269"/>
      <c r="AB296" s="446">
        <v>6670</v>
      </c>
      <c r="AC296" s="450">
        <f>AB296/VPI!R296</f>
        <v>0.3365639395444569</v>
      </c>
      <c r="AD296" s="452">
        <f t="shared" si="19"/>
        <v>21437</v>
      </c>
      <c r="AE296" s="450">
        <f>AD296/VPI!R296</f>
        <v>1.0816973271386092</v>
      </c>
      <c r="AF296" s="446">
        <v>28107</v>
      </c>
      <c r="AG296" s="446">
        <v>28671</v>
      </c>
      <c r="AH296" s="446">
        <v>99616</v>
      </c>
      <c r="AI296" s="273"/>
      <c r="AJ296" s="446">
        <v>0</v>
      </c>
      <c r="AK296" s="450">
        <f>AJ296/VPI!R296</f>
        <v>0</v>
      </c>
      <c r="AL296" s="452">
        <f t="shared" si="21"/>
        <v>38295</v>
      </c>
      <c r="AM296" s="450">
        <f>AL296/VPI!R296</f>
        <v>1.9323412391086923</v>
      </c>
      <c r="AN296" s="446">
        <v>38295</v>
      </c>
      <c r="AO296" s="273"/>
      <c r="AP296" s="541">
        <v>16.278032746748725</v>
      </c>
      <c r="AR296" s="178">
        <v>1</v>
      </c>
    </row>
    <row r="297" spans="1:44" x14ac:dyDescent="0.25">
      <c r="A297" s="193">
        <v>5930</v>
      </c>
      <c r="B297" s="454" t="s">
        <v>332</v>
      </c>
      <c r="C297" s="446">
        <v>346088.66</v>
      </c>
      <c r="D297" s="446">
        <v>36966.019999999997</v>
      </c>
      <c r="E297" s="446"/>
      <c r="F297" s="446">
        <v>1180</v>
      </c>
      <c r="G297" s="446">
        <v>4488.8</v>
      </c>
      <c r="H297" s="446">
        <v>81</v>
      </c>
      <c r="I297" s="446">
        <v>0</v>
      </c>
      <c r="J297" s="446">
        <v>9254.5</v>
      </c>
      <c r="K297" s="446">
        <v>228.6</v>
      </c>
      <c r="L297" s="446">
        <v>29960.15</v>
      </c>
      <c r="M297" s="506">
        <f t="shared" si="17"/>
        <v>428247.73</v>
      </c>
      <c r="N297" s="446">
        <v>3787.4</v>
      </c>
      <c r="O297" s="446">
        <v>4.9000000000000004</v>
      </c>
      <c r="P297" s="446">
        <v>2762.35</v>
      </c>
      <c r="Q297" s="446">
        <v>0</v>
      </c>
      <c r="R297" s="446">
        <v>0</v>
      </c>
      <c r="S297" s="446">
        <v>448.33952464499214</v>
      </c>
      <c r="T297" s="506">
        <f t="shared" si="18"/>
        <v>435250.71952464501</v>
      </c>
      <c r="U297" s="446">
        <v>-13416.71</v>
      </c>
      <c r="V297" s="446"/>
      <c r="W297" s="446">
        <v>0</v>
      </c>
      <c r="X297" s="448">
        <v>72</v>
      </c>
      <c r="Y297" s="448">
        <v>1</v>
      </c>
      <c r="Z297" s="446">
        <v>204</v>
      </c>
      <c r="AA297" s="269"/>
      <c r="AB297" s="446">
        <v>60155</v>
      </c>
      <c r="AC297" s="450">
        <f>AB297/VPI!R297</f>
        <v>10.429509439038144</v>
      </c>
      <c r="AD297" s="452">
        <f t="shared" si="19"/>
        <v>7785</v>
      </c>
      <c r="AE297" s="450">
        <f>AD297/VPI!R297</f>
        <v>1.3497420161734179</v>
      </c>
      <c r="AF297" s="446">
        <v>67940</v>
      </c>
      <c r="AG297" s="446">
        <v>14335</v>
      </c>
      <c r="AH297" s="446">
        <v>8959</v>
      </c>
      <c r="AI297" s="273"/>
      <c r="AJ297" s="446">
        <v>0</v>
      </c>
      <c r="AK297" s="450">
        <f>AJ297/VPI!R297</f>
        <v>0</v>
      </c>
      <c r="AL297" s="452">
        <f t="shared" si="21"/>
        <v>6685</v>
      </c>
      <c r="AM297" s="450">
        <f>AL297/VPI!R297</f>
        <v>1.1590270235220679</v>
      </c>
      <c r="AN297" s="446">
        <v>6685</v>
      </c>
      <c r="AO297" s="273"/>
      <c r="AP297" s="541">
        <v>16.28908252459464</v>
      </c>
      <c r="AR297" s="178">
        <v>1</v>
      </c>
    </row>
    <row r="298" spans="1:44" x14ac:dyDescent="0.25">
      <c r="A298" s="193">
        <v>5931</v>
      </c>
      <c r="B298" s="454" t="s">
        <v>333</v>
      </c>
      <c r="C298" s="446">
        <v>913796.2</v>
      </c>
      <c r="D298" s="446">
        <v>120948.33</v>
      </c>
      <c r="E298" s="446"/>
      <c r="F298" s="446">
        <v>0</v>
      </c>
      <c r="G298" s="446">
        <v>16709.650000000001</v>
      </c>
      <c r="H298" s="446">
        <v>980.2</v>
      </c>
      <c r="I298" s="446">
        <v>0</v>
      </c>
      <c r="J298" s="446">
        <v>19888.89</v>
      </c>
      <c r="K298" s="446">
        <v>644.4</v>
      </c>
      <c r="L298" s="446">
        <v>78865.8</v>
      </c>
      <c r="M298" s="506">
        <f t="shared" si="17"/>
        <v>1151833.4699999997</v>
      </c>
      <c r="N298" s="446">
        <v>24166.85</v>
      </c>
      <c r="O298" s="446">
        <v>0</v>
      </c>
      <c r="P298" s="446">
        <v>38500</v>
      </c>
      <c r="Q298" s="446">
        <v>4418.49</v>
      </c>
      <c r="R298" s="446">
        <v>42587.45</v>
      </c>
      <c r="S298" s="446">
        <v>1735.5374283428628</v>
      </c>
      <c r="T298" s="506">
        <f t="shared" si="18"/>
        <v>1263241.7974283427</v>
      </c>
      <c r="U298" s="446">
        <v>-4549.88</v>
      </c>
      <c r="V298" s="446"/>
      <c r="W298" s="446">
        <v>-53.69</v>
      </c>
      <c r="X298" s="448">
        <v>75</v>
      </c>
      <c r="Y298" s="448">
        <v>1</v>
      </c>
      <c r="Z298" s="446">
        <v>485</v>
      </c>
      <c r="AA298" s="269"/>
      <c r="AB298" s="446">
        <v>64520</v>
      </c>
      <c r="AC298" s="450">
        <f>AB298/VPI!R298</f>
        <v>4.1954806937437894</v>
      </c>
      <c r="AD298" s="452">
        <f t="shared" si="19"/>
        <v>50322</v>
      </c>
      <c r="AE298" s="450">
        <f>AD298/VPI!R298</f>
        <v>3.2722408473430713</v>
      </c>
      <c r="AF298" s="446">
        <v>114842</v>
      </c>
      <c r="AG298" s="446">
        <v>32805</v>
      </c>
      <c r="AH298" s="446">
        <v>18005</v>
      </c>
      <c r="AI298" s="273"/>
      <c r="AJ298" s="446">
        <v>0</v>
      </c>
      <c r="AK298" s="450">
        <f>AJ298/VPI!R298</f>
        <v>0</v>
      </c>
      <c r="AL298" s="452">
        <f t="shared" si="21"/>
        <v>853</v>
      </c>
      <c r="AM298" s="450">
        <f>AL298/VPI!R298</f>
        <v>5.5467219959135956E-2</v>
      </c>
      <c r="AN298" s="446">
        <v>853</v>
      </c>
      <c r="AO298" s="273"/>
      <c r="AP298" s="541">
        <v>10.820665377711256</v>
      </c>
      <c r="AR298" s="178">
        <v>1</v>
      </c>
    </row>
    <row r="299" spans="1:44" x14ac:dyDescent="0.25">
      <c r="A299" s="193">
        <v>5932</v>
      </c>
      <c r="B299" s="454" t="s">
        <v>238</v>
      </c>
      <c r="C299" s="446">
        <v>390485.92</v>
      </c>
      <c r="D299" s="446">
        <v>48108.9</v>
      </c>
      <c r="E299" s="446"/>
      <c r="F299" s="446">
        <v>1380</v>
      </c>
      <c r="G299" s="446">
        <v>-224.45</v>
      </c>
      <c r="H299" s="446">
        <v>665.65</v>
      </c>
      <c r="I299" s="446">
        <v>38299.85</v>
      </c>
      <c r="J299" s="446">
        <v>907.44</v>
      </c>
      <c r="K299" s="446">
        <v>819.5</v>
      </c>
      <c r="L299" s="446">
        <v>33076.699999999997</v>
      </c>
      <c r="M299" s="506">
        <f t="shared" si="17"/>
        <v>513519.51</v>
      </c>
      <c r="N299" s="446">
        <v>0</v>
      </c>
      <c r="O299" s="446">
        <v>0</v>
      </c>
      <c r="P299" s="446">
        <v>0</v>
      </c>
      <c r="Q299" s="446">
        <v>14393.89</v>
      </c>
      <c r="R299" s="446">
        <v>0</v>
      </c>
      <c r="S299" s="446">
        <v>43.285788934607758</v>
      </c>
      <c r="T299" s="506">
        <f t="shared" si="18"/>
        <v>527956.68578893458</v>
      </c>
      <c r="U299" s="446">
        <v>-16511.14</v>
      </c>
      <c r="V299" s="446"/>
      <c r="W299" s="446">
        <v>0</v>
      </c>
      <c r="X299" s="448">
        <v>75</v>
      </c>
      <c r="Y299" s="448">
        <v>1</v>
      </c>
      <c r="Z299" s="446">
        <v>238</v>
      </c>
      <c r="AA299" s="269"/>
      <c r="AB299" s="446">
        <v>8053</v>
      </c>
      <c r="AC299" s="450">
        <f>AB299/VPI!R299</f>
        <v>1.1809175091520903</v>
      </c>
      <c r="AD299" s="452">
        <f t="shared" si="19"/>
        <v>27334</v>
      </c>
      <c r="AE299" s="450">
        <f>AD299/VPI!R299</f>
        <v>4.0083446163123355</v>
      </c>
      <c r="AF299" s="446">
        <v>35387</v>
      </c>
      <c r="AG299" s="446">
        <v>10001</v>
      </c>
      <c r="AH299" s="446">
        <v>7835</v>
      </c>
      <c r="AI299" s="273"/>
      <c r="AJ299" s="446">
        <v>0</v>
      </c>
      <c r="AK299" s="450">
        <f>AJ299/VPI!R299</f>
        <v>0</v>
      </c>
      <c r="AL299" s="452">
        <f t="shared" si="21"/>
        <v>35614</v>
      </c>
      <c r="AM299" s="450">
        <f>AL299/VPI!R299</f>
        <v>5.2225501267779144</v>
      </c>
      <c r="AN299" s="446">
        <v>35614</v>
      </c>
      <c r="AO299" s="273"/>
      <c r="AP299" s="541">
        <v>25.702337835097079</v>
      </c>
      <c r="AR299" s="178">
        <v>0</v>
      </c>
    </row>
    <row r="300" spans="1:44" x14ac:dyDescent="0.25">
      <c r="A300" s="193">
        <v>5933</v>
      </c>
      <c r="B300" s="454" t="s">
        <v>326</v>
      </c>
      <c r="C300" s="446">
        <v>1257232.6399999999</v>
      </c>
      <c r="D300" s="446">
        <v>145825.01999999999</v>
      </c>
      <c r="E300" s="446"/>
      <c r="F300" s="446">
        <v>0</v>
      </c>
      <c r="G300" s="446">
        <v>28538.15</v>
      </c>
      <c r="H300" s="446">
        <v>427.75</v>
      </c>
      <c r="I300" s="446">
        <v>0</v>
      </c>
      <c r="J300" s="446">
        <v>15517.38</v>
      </c>
      <c r="K300" s="446">
        <v>2972.55</v>
      </c>
      <c r="L300" s="446">
        <v>119486.85</v>
      </c>
      <c r="M300" s="506">
        <f t="shared" si="17"/>
        <v>1570000.3399999999</v>
      </c>
      <c r="N300" s="446">
        <v>17913.95</v>
      </c>
      <c r="O300" s="446">
        <v>10361.5</v>
      </c>
      <c r="P300" s="446">
        <v>32743.5</v>
      </c>
      <c r="Q300" s="446">
        <v>28810.02</v>
      </c>
      <c r="R300" s="446">
        <v>19802.150000000001</v>
      </c>
      <c r="S300" s="446">
        <v>2841.8219258861172</v>
      </c>
      <c r="T300" s="506">
        <f t="shared" si="18"/>
        <v>1682473.2819258859</v>
      </c>
      <c r="U300" s="446">
        <v>-6607.18</v>
      </c>
      <c r="V300" s="446"/>
      <c r="W300" s="446">
        <v>-4324.91</v>
      </c>
      <c r="X300" s="448">
        <v>70.5</v>
      </c>
      <c r="Y300" s="448">
        <v>1</v>
      </c>
      <c r="Z300" s="446">
        <v>714</v>
      </c>
      <c r="AA300" s="269"/>
      <c r="AB300" s="446">
        <v>41327</v>
      </c>
      <c r="AC300" s="450">
        <f>AB300/VPI!R300</f>
        <v>1.8315940779201185</v>
      </c>
      <c r="AD300" s="452">
        <f t="shared" si="19"/>
        <v>235376</v>
      </c>
      <c r="AE300" s="450">
        <f>AD300/VPI!R300</f>
        <v>10.431758600540224</v>
      </c>
      <c r="AF300" s="446">
        <v>276703</v>
      </c>
      <c r="AG300" s="446">
        <v>78789</v>
      </c>
      <c r="AH300" s="446">
        <v>73921</v>
      </c>
      <c r="AI300" s="273"/>
      <c r="AJ300" s="446">
        <v>0</v>
      </c>
      <c r="AK300" s="450">
        <f>AJ300/VPI!R300</f>
        <v>0</v>
      </c>
      <c r="AL300" s="452">
        <f t="shared" si="21"/>
        <v>8373</v>
      </c>
      <c r="AM300" s="450">
        <f>AL300/VPI!R300</f>
        <v>0.37108759925533313</v>
      </c>
      <c r="AN300" s="446">
        <v>8373</v>
      </c>
      <c r="AO300" s="273"/>
      <c r="AP300" s="541">
        <v>21.196136358609873</v>
      </c>
      <c r="AR300" s="178">
        <v>0</v>
      </c>
    </row>
    <row r="301" spans="1:44" x14ac:dyDescent="0.25">
      <c r="A301" s="193">
        <v>5934</v>
      </c>
      <c r="B301" s="454" t="s">
        <v>327</v>
      </c>
      <c r="C301" s="446">
        <v>501688.86</v>
      </c>
      <c r="D301" s="446">
        <v>54633.58</v>
      </c>
      <c r="E301" s="446"/>
      <c r="F301" s="446">
        <v>1420</v>
      </c>
      <c r="G301" s="446">
        <v>-256.39999999999998</v>
      </c>
      <c r="H301" s="446">
        <v>85.6</v>
      </c>
      <c r="I301" s="446">
        <v>0</v>
      </c>
      <c r="J301" s="446">
        <v>13513.16</v>
      </c>
      <c r="K301" s="446">
        <v>55.5</v>
      </c>
      <c r="L301" s="446">
        <v>28017.5</v>
      </c>
      <c r="M301" s="506">
        <f t="shared" si="17"/>
        <v>599157.79999999993</v>
      </c>
      <c r="N301" s="446">
        <v>5644.55</v>
      </c>
      <c r="O301" s="446">
        <v>0</v>
      </c>
      <c r="P301" s="446">
        <v>17975.900000000001</v>
      </c>
      <c r="Q301" s="446">
        <v>0</v>
      </c>
      <c r="R301" s="446">
        <v>14383.95</v>
      </c>
      <c r="S301" s="446">
        <v>0</v>
      </c>
      <c r="T301" s="506">
        <f t="shared" si="18"/>
        <v>637162.19999999995</v>
      </c>
      <c r="U301" s="446">
        <v>-524.38</v>
      </c>
      <c r="V301" s="446"/>
      <c r="W301" s="446">
        <v>0</v>
      </c>
      <c r="X301" s="448">
        <v>79</v>
      </c>
      <c r="Y301" s="448">
        <v>1</v>
      </c>
      <c r="Z301" s="446">
        <v>241</v>
      </c>
      <c r="AA301" s="269"/>
      <c r="AB301" s="446">
        <v>3873</v>
      </c>
      <c r="AC301" s="450">
        <f>AB301/VPI!R301</f>
        <v>0.51110911916678492</v>
      </c>
      <c r="AD301" s="452">
        <f t="shared" si="19"/>
        <v>10330</v>
      </c>
      <c r="AE301" s="450">
        <f>AD301/VPI!R301</f>
        <v>1.3632215855907277</v>
      </c>
      <c r="AF301" s="446">
        <v>14203</v>
      </c>
      <c r="AG301" s="446">
        <v>10090</v>
      </c>
      <c r="AH301" s="446">
        <v>8370</v>
      </c>
      <c r="AI301" s="273"/>
      <c r="AJ301" s="446">
        <v>0</v>
      </c>
      <c r="AK301" s="450">
        <f>AJ301/VPI!R301</f>
        <v>0</v>
      </c>
      <c r="AL301" s="452">
        <f t="shared" si="21"/>
        <v>15045</v>
      </c>
      <c r="AM301" s="450">
        <f>AL301/VPI!R301</f>
        <v>1.9854471205433204</v>
      </c>
      <c r="AN301" s="446">
        <v>15045</v>
      </c>
      <c r="AO301" s="273"/>
      <c r="AP301" s="541">
        <v>21.751757035780155</v>
      </c>
      <c r="AR301" s="178">
        <v>0</v>
      </c>
    </row>
    <row r="302" spans="1:44" x14ac:dyDescent="0.25">
      <c r="A302" s="193">
        <v>5935</v>
      </c>
      <c r="B302" s="454" t="s">
        <v>255</v>
      </c>
      <c r="C302" s="446">
        <v>175127.23</v>
      </c>
      <c r="D302" s="446">
        <v>39650.93</v>
      </c>
      <c r="E302" s="446"/>
      <c r="F302" s="446">
        <v>0</v>
      </c>
      <c r="G302" s="446">
        <v>-432.35</v>
      </c>
      <c r="H302" s="446">
        <v>868</v>
      </c>
      <c r="I302" s="446">
        <v>0</v>
      </c>
      <c r="J302" s="446">
        <v>1705.98</v>
      </c>
      <c r="K302" s="446">
        <v>0</v>
      </c>
      <c r="L302" s="446">
        <v>19639</v>
      </c>
      <c r="M302" s="506">
        <f t="shared" si="17"/>
        <v>236558.79</v>
      </c>
      <c r="N302" s="446">
        <v>0</v>
      </c>
      <c r="O302" s="446">
        <v>0</v>
      </c>
      <c r="P302" s="446">
        <v>17844</v>
      </c>
      <c r="Q302" s="446">
        <v>0</v>
      </c>
      <c r="R302" s="446">
        <v>10999.25</v>
      </c>
      <c r="S302" s="446">
        <v>42.741282750140229</v>
      </c>
      <c r="T302" s="506">
        <f t="shared" si="18"/>
        <v>265444.78128275019</v>
      </c>
      <c r="U302" s="446">
        <v>-28.68</v>
      </c>
      <c r="V302" s="446"/>
      <c r="W302" s="446">
        <v>-889.13</v>
      </c>
      <c r="X302" s="448">
        <v>60</v>
      </c>
      <c r="Y302" s="448">
        <v>1</v>
      </c>
      <c r="Z302" s="446">
        <v>101</v>
      </c>
      <c r="AA302" s="269"/>
      <c r="AB302" s="446">
        <v>5000</v>
      </c>
      <c r="AC302" s="450">
        <f>AB302/VPI!R302</f>
        <v>1.2728923252195661</v>
      </c>
      <c r="AD302" s="452">
        <f t="shared" si="19"/>
        <v>10544</v>
      </c>
      <c r="AE302" s="450">
        <f>AD302/VPI!R302</f>
        <v>2.6842753354230209</v>
      </c>
      <c r="AF302" s="446">
        <v>15544</v>
      </c>
      <c r="AG302" s="446">
        <v>4534</v>
      </c>
      <c r="AH302" s="446">
        <v>8662</v>
      </c>
      <c r="AI302" s="273"/>
      <c r="AJ302" s="446">
        <v>0</v>
      </c>
      <c r="AK302" s="450">
        <f>AJ302/VPI!R302</f>
        <v>0</v>
      </c>
      <c r="AL302" s="452">
        <f t="shared" si="21"/>
        <v>10773</v>
      </c>
      <c r="AM302" s="450">
        <f>AL302/VPI!R302</f>
        <v>2.7425738039180771</v>
      </c>
      <c r="AN302" s="446">
        <v>10773</v>
      </c>
      <c r="AO302" s="273"/>
      <c r="AP302" s="541">
        <v>32.738693456487894</v>
      </c>
      <c r="AR302" s="178">
        <v>0</v>
      </c>
    </row>
    <row r="303" spans="1:44" x14ac:dyDescent="0.25">
      <c r="A303" s="193">
        <v>5937</v>
      </c>
      <c r="B303" s="454" t="s">
        <v>239</v>
      </c>
      <c r="C303" s="446">
        <v>172031.26</v>
      </c>
      <c r="D303" s="446">
        <v>31313.35</v>
      </c>
      <c r="E303" s="446"/>
      <c r="F303" s="446">
        <v>0</v>
      </c>
      <c r="G303" s="446">
        <v>5470</v>
      </c>
      <c r="H303" s="446">
        <v>160</v>
      </c>
      <c r="I303" s="446">
        <v>0</v>
      </c>
      <c r="J303" s="446">
        <v>1313.24</v>
      </c>
      <c r="K303" s="446">
        <v>0</v>
      </c>
      <c r="L303" s="446">
        <v>11202.25</v>
      </c>
      <c r="M303" s="506">
        <f t="shared" si="17"/>
        <v>221490.1</v>
      </c>
      <c r="N303" s="446">
        <v>0</v>
      </c>
      <c r="O303" s="446">
        <v>0</v>
      </c>
      <c r="P303" s="446">
        <v>5446.25</v>
      </c>
      <c r="Q303" s="446">
        <v>0</v>
      </c>
      <c r="R303" s="446">
        <v>10627.5</v>
      </c>
      <c r="S303" s="446">
        <v>552.35492226165388</v>
      </c>
      <c r="T303" s="506">
        <f t="shared" si="18"/>
        <v>238116.20492226165</v>
      </c>
      <c r="U303" s="446">
        <v>-3791.05</v>
      </c>
      <c r="V303" s="446"/>
      <c r="W303" s="446">
        <v>-36.61</v>
      </c>
      <c r="X303" s="448">
        <v>70</v>
      </c>
      <c r="Y303" s="448">
        <v>0.7</v>
      </c>
      <c r="Z303" s="446">
        <v>138</v>
      </c>
      <c r="AA303" s="269"/>
      <c r="AB303" s="446">
        <v>17213</v>
      </c>
      <c r="AC303" s="450">
        <f>AB303/VPI!R303</f>
        <v>5.4028020453762959</v>
      </c>
      <c r="AD303" s="452">
        <f t="shared" si="19"/>
        <v>15134</v>
      </c>
      <c r="AE303" s="450">
        <f>AD303/VPI!R303</f>
        <v>4.7502472639705378</v>
      </c>
      <c r="AF303" s="446">
        <v>32347</v>
      </c>
      <c r="AG303" s="446">
        <v>6001</v>
      </c>
      <c r="AH303" s="446">
        <v>15221</v>
      </c>
      <c r="AI303" s="273"/>
      <c r="AJ303" s="446">
        <v>0</v>
      </c>
      <c r="AK303" s="450">
        <f>AJ303/VPI!R303</f>
        <v>0</v>
      </c>
      <c r="AL303" s="452">
        <f t="shared" si="21"/>
        <v>6412</v>
      </c>
      <c r="AM303" s="450">
        <f>AL303/VPI!R303</f>
        <v>2.0125931978709586</v>
      </c>
      <c r="AN303" s="446">
        <v>6412</v>
      </c>
      <c r="AO303" s="273"/>
      <c r="AP303" s="541">
        <v>8.8328789046913538</v>
      </c>
      <c r="AR303" s="178">
        <v>0</v>
      </c>
    </row>
    <row r="304" spans="1:44" x14ac:dyDescent="0.25">
      <c r="A304" s="193">
        <v>5938</v>
      </c>
      <c r="B304" s="454" t="s">
        <v>133</v>
      </c>
      <c r="C304" s="446">
        <v>43215065.729999997</v>
      </c>
      <c r="D304" s="446">
        <v>4681840.97</v>
      </c>
      <c r="E304" s="446"/>
      <c r="F304" s="446">
        <v>0</v>
      </c>
      <c r="G304" s="446">
        <v>4911534.2</v>
      </c>
      <c r="H304" s="446">
        <v>789701.95</v>
      </c>
      <c r="I304" s="446">
        <v>36575.35</v>
      </c>
      <c r="J304" s="446">
        <v>1609583.91</v>
      </c>
      <c r="K304" s="446">
        <v>590078.35</v>
      </c>
      <c r="L304" s="446">
        <v>4385542.5999999996</v>
      </c>
      <c r="M304" s="506">
        <f t="shared" si="17"/>
        <v>60219923.060000002</v>
      </c>
      <c r="N304" s="446">
        <v>4750911.95</v>
      </c>
      <c r="O304" s="446">
        <v>1060319.1000000001</v>
      </c>
      <c r="P304" s="446">
        <v>1647037.75</v>
      </c>
      <c r="Q304" s="446">
        <v>254442.56</v>
      </c>
      <c r="R304" s="446">
        <v>1227824.3999999999</v>
      </c>
      <c r="S304" s="446">
        <v>559343.84554681717</v>
      </c>
      <c r="T304" s="506">
        <f t="shared" si="18"/>
        <v>69719802.665546834</v>
      </c>
      <c r="U304" s="446">
        <v>-1373361.28</v>
      </c>
      <c r="V304" s="446"/>
      <c r="W304" s="446">
        <v>-43494.7</v>
      </c>
      <c r="X304" s="448">
        <v>75</v>
      </c>
      <c r="Y304" s="448">
        <v>1</v>
      </c>
      <c r="Z304" s="446">
        <v>29981</v>
      </c>
      <c r="AA304" s="269"/>
      <c r="AB304" s="446">
        <v>4061547</v>
      </c>
      <c r="AC304" s="450">
        <f>AB304/VPI!R304</f>
        <v>5.1095622662113396</v>
      </c>
      <c r="AD304" s="452">
        <f t="shared" si="19"/>
        <v>8806657</v>
      </c>
      <c r="AE304" s="450">
        <f>AD304/VPI!R304</f>
        <v>11.079069698975774</v>
      </c>
      <c r="AF304" s="446">
        <v>12868204</v>
      </c>
      <c r="AG304" s="446">
        <v>7608839</v>
      </c>
      <c r="AH304" s="446">
        <v>535985</v>
      </c>
      <c r="AI304" s="273"/>
      <c r="AJ304" s="446">
        <v>0</v>
      </c>
      <c r="AK304" s="450">
        <f>AJ304/VPI!R304</f>
        <v>0</v>
      </c>
      <c r="AL304" s="452">
        <f t="shared" si="21"/>
        <v>215334</v>
      </c>
      <c r="AM304" s="450">
        <f>AL304/VPI!R304</f>
        <v>0.27089738984489226</v>
      </c>
      <c r="AN304" s="446">
        <v>215334</v>
      </c>
      <c r="AO304" s="273"/>
      <c r="AP304" s="541">
        <v>-12.07954248136752</v>
      </c>
      <c r="AR304" s="178">
        <v>1</v>
      </c>
    </row>
    <row r="305" spans="1:44" x14ac:dyDescent="0.25">
      <c r="A305" s="193">
        <v>5939</v>
      </c>
      <c r="B305" s="454" t="s">
        <v>132</v>
      </c>
      <c r="C305" s="446">
        <v>5197311.1100000003</v>
      </c>
      <c r="D305" s="446">
        <v>616319.37</v>
      </c>
      <c r="E305" s="446"/>
      <c r="F305" s="446">
        <v>0</v>
      </c>
      <c r="G305" s="446">
        <v>196191.05</v>
      </c>
      <c r="H305" s="446">
        <v>4834.8999999999996</v>
      </c>
      <c r="I305" s="446">
        <v>0</v>
      </c>
      <c r="J305" s="446">
        <v>104381.6</v>
      </c>
      <c r="K305" s="446">
        <v>-1086.4000000000001</v>
      </c>
      <c r="L305" s="446">
        <v>572998.35</v>
      </c>
      <c r="M305" s="506">
        <f t="shared" si="17"/>
        <v>6690949.9799999995</v>
      </c>
      <c r="N305" s="446">
        <v>170935.7</v>
      </c>
      <c r="O305" s="446">
        <v>124886.7</v>
      </c>
      <c r="P305" s="446">
        <v>388020.45</v>
      </c>
      <c r="Q305" s="446">
        <v>18715.98</v>
      </c>
      <c r="R305" s="446">
        <v>104220.35</v>
      </c>
      <c r="S305" s="446">
        <v>19722.499642064853</v>
      </c>
      <c r="T305" s="506">
        <f t="shared" si="18"/>
        <v>7517451.6596420649</v>
      </c>
      <c r="U305" s="446">
        <v>-91229.45</v>
      </c>
      <c r="V305" s="446"/>
      <c r="W305" s="446">
        <v>-910.88</v>
      </c>
      <c r="X305" s="448">
        <v>71.5</v>
      </c>
      <c r="Y305" s="448">
        <v>1</v>
      </c>
      <c r="Z305" s="446">
        <v>3467</v>
      </c>
      <c r="AA305" s="269"/>
      <c r="AB305" s="446">
        <v>190707</v>
      </c>
      <c r="AC305" s="450">
        <f>AB305/VPI!R305</f>
        <v>2.0543981833530371</v>
      </c>
      <c r="AD305" s="452">
        <f t="shared" si="19"/>
        <v>589566</v>
      </c>
      <c r="AE305" s="450">
        <f>AD305/VPI!R305</f>
        <v>6.3511214552518611</v>
      </c>
      <c r="AF305" s="446">
        <v>780273</v>
      </c>
      <c r="AG305" s="446">
        <v>381612</v>
      </c>
      <c r="AH305" s="446">
        <v>306036</v>
      </c>
      <c r="AI305" s="273"/>
      <c r="AJ305" s="446">
        <v>0</v>
      </c>
      <c r="AK305" s="450">
        <f>AJ305/VPI!R305</f>
        <v>0</v>
      </c>
      <c r="AL305" s="452">
        <f t="shared" si="21"/>
        <v>155147</v>
      </c>
      <c r="AM305" s="450">
        <f>AL305/VPI!R305</f>
        <v>1.6713267732840098</v>
      </c>
      <c r="AN305" s="446">
        <v>155147</v>
      </c>
      <c r="AO305" s="273"/>
      <c r="AP305" s="542">
        <v>10.021830293173625</v>
      </c>
      <c r="AR305" s="179">
        <v>0</v>
      </c>
    </row>
    <row r="306" spans="1:44" x14ac:dyDescent="0.25">
      <c r="A306" s="195"/>
      <c r="B306" s="204">
        <f>COUNTA(B6:B305)</f>
        <v>300</v>
      </c>
      <c r="C306" s="447">
        <f t="shared" ref="C306:S306" si="22">SUM(C6:C305)</f>
        <v>1683848027.8200004</v>
      </c>
      <c r="D306" s="447">
        <f t="shared" si="22"/>
        <v>298228763.92999995</v>
      </c>
      <c r="E306" s="447">
        <f t="shared" si="22"/>
        <v>0</v>
      </c>
      <c r="F306" s="447">
        <f t="shared" si="22"/>
        <v>107141.9</v>
      </c>
      <c r="G306" s="447">
        <f t="shared" si="22"/>
        <v>204751690.12999997</v>
      </c>
      <c r="H306" s="447">
        <f t="shared" si="22"/>
        <v>35220030.050000019</v>
      </c>
      <c r="I306" s="447">
        <f t="shared" si="22"/>
        <v>42860556.820000023</v>
      </c>
      <c r="J306" s="447">
        <f t="shared" si="22"/>
        <v>75388874.820000023</v>
      </c>
      <c r="K306" s="447">
        <f t="shared" si="22"/>
        <v>20340412.849999998</v>
      </c>
      <c r="L306" s="447">
        <f t="shared" si="22"/>
        <v>217099896.50000021</v>
      </c>
      <c r="M306" s="507">
        <f t="shared" si="22"/>
        <v>2577845394.8199992</v>
      </c>
      <c r="N306" s="447">
        <f t="shared" si="22"/>
        <v>80161278.050000027</v>
      </c>
      <c r="O306" s="447">
        <f t="shared" si="22"/>
        <v>67297538.620000035</v>
      </c>
      <c r="P306" s="447">
        <f t="shared" si="22"/>
        <v>99028053.100000039</v>
      </c>
      <c r="Q306" s="447">
        <f t="shared" si="22"/>
        <v>7090747.5699999984</v>
      </c>
      <c r="R306" s="447">
        <f t="shared" si="22"/>
        <v>76010288.049999967</v>
      </c>
      <c r="S306" s="447">
        <f t="shared" si="22"/>
        <v>32596427.759999998</v>
      </c>
      <c r="T306" s="507">
        <f t="shared" si="18"/>
        <v>2940029727.9699998</v>
      </c>
      <c r="U306" s="447">
        <f>SUM(U6:U305)</f>
        <v>-34569034.339999981</v>
      </c>
      <c r="V306" s="447">
        <f>SUM(V6:V305)</f>
        <v>-15616.9</v>
      </c>
      <c r="W306" s="447">
        <f>SUM(W6:W305)</f>
        <v>-4437286.6099999994</v>
      </c>
      <c r="X306" s="449"/>
      <c r="Y306" s="449"/>
      <c r="Z306" s="447">
        <f>SUM(Z6:Z305)</f>
        <v>815300</v>
      </c>
      <c r="AA306" s="243"/>
      <c r="AB306" s="447">
        <f>SUM(AB6:AB305)</f>
        <v>52120906.700000003</v>
      </c>
      <c r="AC306" s="451">
        <f>AB306/VPI!R306</f>
        <v>1.3845835727992202</v>
      </c>
      <c r="AD306" s="453">
        <f>SUM(AD6:AD305)</f>
        <v>196020495.65000001</v>
      </c>
      <c r="AE306" s="451">
        <f>AD306/VPI!R306</f>
        <v>5.2072532001625946</v>
      </c>
      <c r="AF306" s="447">
        <f t="shared" ref="AF306:AH306" si="23">SUM(AF6:AF305)</f>
        <v>248141402.34999999</v>
      </c>
      <c r="AG306" s="447">
        <f t="shared" si="23"/>
        <v>179734816.40000001</v>
      </c>
      <c r="AH306" s="447">
        <f t="shared" si="23"/>
        <v>39035963.700000003</v>
      </c>
      <c r="AJ306" s="447">
        <f>SUM(AJ6:AJ305)</f>
        <v>767865</v>
      </c>
      <c r="AK306" s="451">
        <f>AJ306/VPI!R306</f>
        <v>2.0398211244615074E-2</v>
      </c>
      <c r="AL306" s="453">
        <f>SUM(AL6:AL305)</f>
        <v>21531910.82</v>
      </c>
      <c r="AM306" s="451">
        <f>AL306/VPI!R306</f>
        <v>0.57199177642759214</v>
      </c>
      <c r="AN306" s="447">
        <f t="shared" ref="AN306" si="24">SUM(AN6:AN305)</f>
        <v>22299775.82</v>
      </c>
      <c r="AP306" s="242"/>
      <c r="AR306" s="356">
        <f>SUM(AR6:AR305)</f>
        <v>51</v>
      </c>
    </row>
  </sheetData>
  <sheetProtection sheet="1" objects="1" scenarios="1"/>
  <protectedRanges>
    <protectedRange sqref="AR6:AR305" name="Plage9"/>
    <protectedRange sqref="AN6:AN305" name="Plage7"/>
    <protectedRange sqref="AF6:AH305" name="Plage5"/>
    <protectedRange sqref="U6:Z306" name="Plage3"/>
    <protectedRange sqref="C6:L305" name="Plage1"/>
    <protectedRange sqref="N6:S305" name="Plage2"/>
    <protectedRange sqref="AB6:AB305" name="Plage4"/>
    <protectedRange sqref="AJ6:AJ305" name="Plage6"/>
    <protectedRange sqref="AP6:AP305" name="Plage8"/>
  </protectedRanges>
  <mergeCells count="19">
    <mergeCell ref="A4:A5"/>
    <mergeCell ref="B4:B5"/>
    <mergeCell ref="Q4:Q5"/>
    <mergeCell ref="Y4:Y5"/>
    <mergeCell ref="U4:U5"/>
    <mergeCell ref="W4:W5"/>
    <mergeCell ref="V4:V5"/>
    <mergeCell ref="S4:S5"/>
    <mergeCell ref="AR4:AR5"/>
    <mergeCell ref="AN4:AN5"/>
    <mergeCell ref="AB3:AF3"/>
    <mergeCell ref="AB4:AC4"/>
    <mergeCell ref="AJ4:AK4"/>
    <mergeCell ref="AL4:AM4"/>
    <mergeCell ref="AJ3:AN3"/>
    <mergeCell ref="AD4:AE4"/>
    <mergeCell ref="AF4:AF5"/>
    <mergeCell ref="AG4:AG5"/>
    <mergeCell ref="AH4:AH5"/>
  </mergeCells>
  <phoneticPr fontId="21" type="noConversion"/>
  <hyperlinks>
    <hyperlink ref="C1" location="Recherche!A1" display="← Précédent" xr:uid="{9DFAD010-0C97-42DF-A3FC-76FBADDC6AFF}"/>
    <hyperlink ref="D1" location="'Table des matières'!A1" display="Table des matières" xr:uid="{DD040F16-3F41-415E-ABBC-CF6EBDE17DB0}"/>
    <hyperlink ref="E1" location="VPI!A1" display="Suivant →" xr:uid="{0BFBE454-28CA-492D-AAD2-6B120C6EA93F}"/>
  </hyperlinks>
  <pageMargins left="0.19685039370078741" right="0.3937007874015748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3" tint="0.59999389629810485"/>
  </sheetPr>
  <dimension ref="A1:R315"/>
  <sheetViews>
    <sheetView zoomScaleNormal="100" workbookViewId="0">
      <pane ySplit="5" topLeftCell="A6" activePane="bottomLeft" state="frozen"/>
      <selection activeCell="X73" sqref="X73"/>
      <selection pane="bottomLeft"/>
    </sheetView>
  </sheetViews>
  <sheetFormatPr baseColWidth="10" defaultColWidth="8.625" defaultRowHeight="15" x14ac:dyDescent="0.25"/>
  <cols>
    <col min="1" max="1" width="7.625" style="3" customWidth="1"/>
    <col min="2" max="2" width="21.625" style="11" customWidth="1"/>
    <col min="3" max="3" width="12" style="11" customWidth="1"/>
    <col min="4" max="4" width="20.625" style="5" customWidth="1"/>
    <col min="5" max="5" width="12" style="11" bestFit="1" customWidth="1"/>
    <col min="6" max="6" width="9.875" style="5" bestFit="1" customWidth="1"/>
    <col min="7" max="7" width="10.25" style="11" bestFit="1" customWidth="1"/>
    <col min="8" max="8" width="9.25" style="11" bestFit="1" customWidth="1"/>
    <col min="9" max="9" width="12.875" style="11" customWidth="1"/>
    <col min="10" max="10" width="10.25" style="11" customWidth="1"/>
    <col min="11" max="11" width="15.75" style="11" customWidth="1"/>
    <col min="12" max="12" width="13" style="220" customWidth="1"/>
    <col min="13" max="13" width="10" style="11" bestFit="1" customWidth="1"/>
    <col min="14" max="14" width="13.375" style="11" customWidth="1"/>
    <col min="15" max="15" width="12.875" style="13" customWidth="1"/>
    <col min="16" max="16" width="11.375" style="11" bestFit="1" customWidth="1"/>
    <col min="17" max="17" width="11.25" style="11" customWidth="1"/>
    <col min="18" max="18" width="14.25" style="11" customWidth="1"/>
    <col min="19" max="19" width="9.875" style="11" bestFit="1" customWidth="1"/>
    <col min="20" max="16384" width="8.625" style="11"/>
  </cols>
  <sheetData>
    <row r="1" spans="1:18" ht="26.25" customHeight="1" x14ac:dyDescent="0.4">
      <c r="A1" s="281" t="s">
        <v>415</v>
      </c>
      <c r="B1" s="21"/>
      <c r="C1" s="21"/>
      <c r="E1" s="305" t="s">
        <v>409</v>
      </c>
      <c r="F1" s="306" t="s">
        <v>401</v>
      </c>
      <c r="G1" s="511" t="s">
        <v>410</v>
      </c>
      <c r="H1" s="3"/>
      <c r="I1" s="378"/>
      <c r="J1" s="378"/>
      <c r="K1" s="378"/>
      <c r="L1" s="378"/>
      <c r="M1" s="378"/>
      <c r="N1" s="378"/>
      <c r="O1" s="378"/>
      <c r="P1" s="378"/>
      <c r="Q1" s="378"/>
      <c r="R1" s="378"/>
    </row>
    <row r="2" spans="1:18" ht="15.75" customHeight="1" x14ac:dyDescent="0.35">
      <c r="A2" s="362" t="str">
        <f>Paramètres!B4</f>
        <v>Acomptes 2022</v>
      </c>
      <c r="C2" s="20"/>
      <c r="E2" s="23"/>
      <c r="G2" s="24"/>
      <c r="H2" s="3"/>
      <c r="I2" s="378"/>
      <c r="J2" s="378"/>
      <c r="K2" s="378"/>
      <c r="L2" s="378"/>
      <c r="M2" s="378"/>
      <c r="N2" s="378"/>
      <c r="O2" s="378"/>
      <c r="P2" s="378"/>
      <c r="Q2" s="378"/>
      <c r="R2" s="378"/>
    </row>
    <row r="3" spans="1:18" x14ac:dyDescent="0.25">
      <c r="A3" s="2"/>
      <c r="B3" s="363"/>
      <c r="C3" s="3"/>
      <c r="E3" s="23"/>
      <c r="G3" s="3"/>
      <c r="H3" s="3"/>
      <c r="I3" s="3"/>
      <c r="J3" s="3"/>
      <c r="K3" s="3"/>
    </row>
    <row r="4" spans="1:18" s="14" customFormat="1" ht="45" x14ac:dyDescent="0.2">
      <c r="A4" s="608" t="s">
        <v>44</v>
      </c>
      <c r="B4" s="604" t="s">
        <v>84</v>
      </c>
      <c r="C4" s="455" t="s">
        <v>528</v>
      </c>
      <c r="D4" s="455" t="s">
        <v>529</v>
      </c>
      <c r="E4" s="456" t="s">
        <v>423</v>
      </c>
      <c r="F4" s="455" t="s">
        <v>545</v>
      </c>
      <c r="G4" s="455" t="s">
        <v>313</v>
      </c>
      <c r="H4" s="599" t="s">
        <v>219</v>
      </c>
      <c r="I4" s="601" t="s">
        <v>544</v>
      </c>
      <c r="J4" s="599" t="s">
        <v>220</v>
      </c>
      <c r="K4" s="599" t="s">
        <v>338</v>
      </c>
      <c r="L4" s="606" t="s">
        <v>289</v>
      </c>
      <c r="M4" s="455" t="s">
        <v>224</v>
      </c>
      <c r="N4" s="455" t="s">
        <v>455</v>
      </c>
      <c r="O4" s="604" t="s">
        <v>424</v>
      </c>
      <c r="P4" s="606" t="s">
        <v>365</v>
      </c>
      <c r="Q4" s="457" t="s">
        <v>71</v>
      </c>
      <c r="R4" s="462" t="s">
        <v>417</v>
      </c>
    </row>
    <row r="5" spans="1:18" ht="14.25" customHeight="1" x14ac:dyDescent="0.25">
      <c r="A5" s="609"/>
      <c r="B5" s="605"/>
      <c r="C5" s="458" t="s">
        <v>546</v>
      </c>
      <c r="D5" s="459" t="s">
        <v>547</v>
      </c>
      <c r="E5" s="460" t="s">
        <v>72</v>
      </c>
      <c r="F5" s="458" t="s">
        <v>74</v>
      </c>
      <c r="G5" s="459" t="s">
        <v>75</v>
      </c>
      <c r="H5" s="600"/>
      <c r="I5" s="603"/>
      <c r="J5" s="600"/>
      <c r="K5" s="600"/>
      <c r="L5" s="607"/>
      <c r="M5" s="459" t="s">
        <v>73</v>
      </c>
      <c r="N5" s="459" t="s">
        <v>76</v>
      </c>
      <c r="O5" s="605"/>
      <c r="P5" s="607"/>
      <c r="Q5" s="461">
        <f>Paramètres!B5</f>
        <v>2020</v>
      </c>
      <c r="R5" s="463">
        <f>Paramètres!B5</f>
        <v>2020</v>
      </c>
    </row>
    <row r="6" spans="1:18" x14ac:dyDescent="0.25">
      <c r="A6" s="7">
        <f>Données!A6</f>
        <v>5401</v>
      </c>
      <c r="B6" s="27" t="str">
        <f>Données!B6</f>
        <v>Aigle</v>
      </c>
      <c r="C6" s="8">
        <f>Données!C6+Données!D6</f>
        <v>13855535.66</v>
      </c>
      <c r="D6" s="8">
        <f>+Données!G6+Données!H6+Données!S6</f>
        <v>2542982.4498168514</v>
      </c>
      <c r="E6" s="8">
        <f>+Données!E6</f>
        <v>0</v>
      </c>
      <c r="F6" s="8">
        <f>+Données!I6</f>
        <v>11522.44</v>
      </c>
      <c r="G6" s="8">
        <f>+Données!J6</f>
        <v>604742.80000000005</v>
      </c>
      <c r="H6" s="8">
        <f>Données!U6</f>
        <v>-326033.98</v>
      </c>
      <c r="I6" s="26">
        <f>Données!V6</f>
        <v>0</v>
      </c>
      <c r="J6" s="26">
        <f>Données!W6</f>
        <v>-20400.3</v>
      </c>
      <c r="K6" s="8">
        <f>+Données!Q6</f>
        <v>100742.68</v>
      </c>
      <c r="L6" s="464">
        <f>SUM(C6:K6)</f>
        <v>16769091.74981685</v>
      </c>
      <c r="M6" s="8">
        <f>+Données!F6</f>
        <v>0</v>
      </c>
      <c r="N6" s="8">
        <f>+Données!K6</f>
        <v>183083.15</v>
      </c>
      <c r="O6" s="8">
        <f>(Données!L6/Données!Y6)*1</f>
        <v>1789024.7500000002</v>
      </c>
      <c r="P6" s="464">
        <f>SUM(L6:O6)</f>
        <v>18741199.649816848</v>
      </c>
      <c r="Q6" s="28">
        <f>+Données!X6</f>
        <v>66</v>
      </c>
      <c r="R6" s="464">
        <f t="shared" ref="R6:R69" si="0">P6/Q6</f>
        <v>283957.57045177044</v>
      </c>
    </row>
    <row r="7" spans="1:18" x14ac:dyDescent="0.25">
      <c r="A7" s="7">
        <f>Données!A7</f>
        <v>5402</v>
      </c>
      <c r="B7" s="27" t="str">
        <f>Données!B7</f>
        <v>Bex</v>
      </c>
      <c r="C7" s="8">
        <f>Données!C7+Données!D7</f>
        <v>10039648.689999999</v>
      </c>
      <c r="D7" s="8">
        <f>+Données!G7+Données!H7+Données!S7</f>
        <v>1130903.8700161236</v>
      </c>
      <c r="E7" s="8">
        <f>+Données!E7</f>
        <v>0</v>
      </c>
      <c r="F7" s="8">
        <f>+Données!I7</f>
        <v>-55670.9</v>
      </c>
      <c r="G7" s="8">
        <f>+Données!J7</f>
        <v>311153.5</v>
      </c>
      <c r="H7" s="8">
        <f>Données!U7</f>
        <v>-208361.81</v>
      </c>
      <c r="I7" s="216">
        <f>Données!V7</f>
        <v>0</v>
      </c>
      <c r="J7" s="216">
        <f>Données!W7</f>
        <v>-2713.5</v>
      </c>
      <c r="K7" s="8">
        <f>+Données!Q7</f>
        <v>51767</v>
      </c>
      <c r="L7" s="464">
        <f t="shared" ref="L7:L70" si="1">SUM(C7:K7)</f>
        <v>11266726.850016123</v>
      </c>
      <c r="M7" s="8">
        <f>+Données!F7</f>
        <v>0</v>
      </c>
      <c r="N7" s="8">
        <f>+Données!K7</f>
        <v>124770.15</v>
      </c>
      <c r="O7" s="8">
        <f>(Données!L7/Données!Y7)*1</f>
        <v>1313416.6000000001</v>
      </c>
      <c r="P7" s="464">
        <f t="shared" ref="P7:P70" si="2">SUM(L7:O7)</f>
        <v>12704913.600016123</v>
      </c>
      <c r="Q7" s="241">
        <f>+Données!X7</f>
        <v>71</v>
      </c>
      <c r="R7" s="464">
        <f t="shared" si="0"/>
        <v>178942.44507064961</v>
      </c>
    </row>
    <row r="8" spans="1:18" x14ac:dyDescent="0.25">
      <c r="A8" s="7">
        <f>Données!A8</f>
        <v>5403</v>
      </c>
      <c r="B8" s="27" t="str">
        <f>Données!B8</f>
        <v>Chessel</v>
      </c>
      <c r="C8" s="8">
        <f>Données!C8+Données!D8</f>
        <v>722038.76</v>
      </c>
      <c r="D8" s="8">
        <f>+Données!G8+Données!H8+Données!S8</f>
        <v>5557.6405856231713</v>
      </c>
      <c r="E8" s="8">
        <f>+Données!E8</f>
        <v>0</v>
      </c>
      <c r="F8" s="8">
        <f>+Données!I8</f>
        <v>0</v>
      </c>
      <c r="G8" s="8">
        <f>+Données!J8</f>
        <v>21554.639999999999</v>
      </c>
      <c r="H8" s="8">
        <f>Données!U8</f>
        <v>-40025.58</v>
      </c>
      <c r="I8" s="216">
        <f>Données!V8</f>
        <v>0</v>
      </c>
      <c r="J8" s="216">
        <f>Données!W8</f>
        <v>0</v>
      </c>
      <c r="K8" s="8">
        <f>+Données!Q8</f>
        <v>0</v>
      </c>
      <c r="L8" s="464">
        <f t="shared" si="1"/>
        <v>709125.46058562328</v>
      </c>
      <c r="M8" s="8">
        <f>+Données!F8</f>
        <v>0</v>
      </c>
      <c r="N8" s="8">
        <f>+Données!K8</f>
        <v>8424.7999999999993</v>
      </c>
      <c r="O8" s="8">
        <f>(Données!L8/Données!Y8)*1</f>
        <v>81372</v>
      </c>
      <c r="P8" s="464">
        <f t="shared" si="2"/>
        <v>798922.26058562333</v>
      </c>
      <c r="Q8" s="241">
        <f>+Données!X8</f>
        <v>74</v>
      </c>
      <c r="R8" s="464">
        <f t="shared" si="0"/>
        <v>10796.246764670586</v>
      </c>
    </row>
    <row r="9" spans="1:18" x14ac:dyDescent="0.25">
      <c r="A9" s="7">
        <f>Données!A9</f>
        <v>5404</v>
      </c>
      <c r="B9" s="27" t="str">
        <f>Données!B9</f>
        <v>Corbeyrier</v>
      </c>
      <c r="C9" s="8">
        <f>Données!C9+Données!D9</f>
        <v>737876.21000000008</v>
      </c>
      <c r="D9" s="8">
        <f>+Données!G9+Données!H9+Données!S9</f>
        <v>5295.9062524577957</v>
      </c>
      <c r="E9" s="8">
        <f>+Données!E9</f>
        <v>0</v>
      </c>
      <c r="F9" s="8">
        <f>+Données!I9</f>
        <v>0</v>
      </c>
      <c r="G9" s="8">
        <f>+Données!J9</f>
        <v>1197.28</v>
      </c>
      <c r="H9" s="8">
        <f>Données!U9</f>
        <v>-1959.06</v>
      </c>
      <c r="I9" s="216">
        <f>Données!V9</f>
        <v>0</v>
      </c>
      <c r="J9" s="216">
        <f>Données!W9</f>
        <v>-183.3</v>
      </c>
      <c r="K9" s="8">
        <f>+Données!Q9</f>
        <v>0</v>
      </c>
      <c r="L9" s="464">
        <f t="shared" si="1"/>
        <v>742227.03625245776</v>
      </c>
      <c r="M9" s="8">
        <f>+Données!F9</f>
        <v>0</v>
      </c>
      <c r="N9" s="8">
        <f>+Données!K9</f>
        <v>5412.05</v>
      </c>
      <c r="O9" s="8">
        <f>(Données!L9/Données!Y9)*1</f>
        <v>86078</v>
      </c>
      <c r="P9" s="464">
        <f t="shared" si="2"/>
        <v>833717.08625245781</v>
      </c>
      <c r="Q9" s="241">
        <f>+Données!X9</f>
        <v>74</v>
      </c>
      <c r="R9" s="464">
        <f t="shared" si="0"/>
        <v>11266.447111519699</v>
      </c>
    </row>
    <row r="10" spans="1:18" x14ac:dyDescent="0.25">
      <c r="A10" s="7">
        <f>Données!A10</f>
        <v>5405</v>
      </c>
      <c r="B10" s="27" t="str">
        <f>Données!B10</f>
        <v>Gryon</v>
      </c>
      <c r="C10" s="8">
        <f>Données!C10+Données!D10</f>
        <v>4005892.2300000004</v>
      </c>
      <c r="D10" s="8">
        <f>+Données!G10+Données!H10+Données!S10</f>
        <v>35829.876385790201</v>
      </c>
      <c r="E10" s="8">
        <f>+Données!E10</f>
        <v>0</v>
      </c>
      <c r="F10" s="8">
        <f>+Données!I10</f>
        <v>319555.25</v>
      </c>
      <c r="G10" s="8">
        <f>+Données!J10</f>
        <v>138909.26999999999</v>
      </c>
      <c r="H10" s="8">
        <f>Données!U10</f>
        <v>-28222.07</v>
      </c>
      <c r="I10" s="216">
        <f>Données!V10</f>
        <v>0</v>
      </c>
      <c r="J10" s="216">
        <f>Données!W10</f>
        <v>-1860.82</v>
      </c>
      <c r="K10" s="8">
        <f>+Données!Q10</f>
        <v>3626.44</v>
      </c>
      <c r="L10" s="464">
        <f t="shared" si="1"/>
        <v>4473730.1763857901</v>
      </c>
      <c r="M10" s="8">
        <f>+Données!F10</f>
        <v>0</v>
      </c>
      <c r="N10" s="8">
        <f>+Données!K10</f>
        <v>13374.65</v>
      </c>
      <c r="O10" s="8">
        <f>(Données!L10/Données!Y10)*1</f>
        <v>523838.5</v>
      </c>
      <c r="P10" s="464">
        <f t="shared" si="2"/>
        <v>5010943.3263857905</v>
      </c>
      <c r="Q10" s="241">
        <f>+Données!X10</f>
        <v>73.5</v>
      </c>
      <c r="R10" s="464">
        <f t="shared" si="0"/>
        <v>68176.099678718238</v>
      </c>
    </row>
    <row r="11" spans="1:18" x14ac:dyDescent="0.25">
      <c r="A11" s="7">
        <f>Données!A11</f>
        <v>5406</v>
      </c>
      <c r="B11" s="27" t="str">
        <f>Données!B11</f>
        <v>Lavey-Morcles</v>
      </c>
      <c r="C11" s="8">
        <f>Données!C11+Données!D11</f>
        <v>1303168.8500000001</v>
      </c>
      <c r="D11" s="8">
        <f>+Données!G11+Données!H11+Données!S11</f>
        <v>63832.540045045971</v>
      </c>
      <c r="E11" s="8">
        <f>+Données!E11</f>
        <v>0</v>
      </c>
      <c r="F11" s="8">
        <f>+Données!I11</f>
        <v>0</v>
      </c>
      <c r="G11" s="8">
        <f>+Données!J11</f>
        <v>48632.09</v>
      </c>
      <c r="H11" s="8">
        <f>Données!U11</f>
        <v>-15500.27</v>
      </c>
      <c r="I11" s="216">
        <f>Données!V11</f>
        <v>0</v>
      </c>
      <c r="J11" s="216">
        <f>Données!W11</f>
        <v>-592.92999999999995</v>
      </c>
      <c r="K11" s="8">
        <f>+Données!Q11</f>
        <v>796.54</v>
      </c>
      <c r="L11" s="464">
        <f t="shared" si="1"/>
        <v>1400336.8200450463</v>
      </c>
      <c r="M11" s="8">
        <f>+Données!F11</f>
        <v>0</v>
      </c>
      <c r="N11" s="8">
        <f>+Données!K11</f>
        <v>9389.5499999999993</v>
      </c>
      <c r="O11" s="8">
        <f>(Données!L11/Données!Y11)*1</f>
        <v>150746.19230769228</v>
      </c>
      <c r="P11" s="464">
        <f t="shared" si="2"/>
        <v>1560472.5623527386</v>
      </c>
      <c r="Q11" s="241">
        <f>+Données!X11</f>
        <v>71.5</v>
      </c>
      <c r="R11" s="464">
        <f t="shared" si="0"/>
        <v>21824.791081856485</v>
      </c>
    </row>
    <row r="12" spans="1:18" x14ac:dyDescent="0.25">
      <c r="A12" s="7">
        <f>Données!A12</f>
        <v>5407</v>
      </c>
      <c r="B12" s="27" t="str">
        <f>Données!B12</f>
        <v>Leysin</v>
      </c>
      <c r="C12" s="8">
        <f>Données!C12+Données!D12</f>
        <v>5329173.51</v>
      </c>
      <c r="D12" s="8">
        <f>+Données!G12+Données!H12+Données!S12</f>
        <v>290591.81994882942</v>
      </c>
      <c r="E12" s="8">
        <f>+Données!E12</f>
        <v>0</v>
      </c>
      <c r="F12" s="8">
        <f>+Données!I12</f>
        <v>155949.29999999999</v>
      </c>
      <c r="G12" s="8">
        <f>+Données!J12</f>
        <v>445408.01</v>
      </c>
      <c r="H12" s="8">
        <f>Données!U12</f>
        <v>-71820.56</v>
      </c>
      <c r="I12" s="216">
        <f>Données!V12</f>
        <v>0</v>
      </c>
      <c r="J12" s="216">
        <f>Données!W12</f>
        <v>-6701.08</v>
      </c>
      <c r="K12" s="8">
        <f>+Données!Q12</f>
        <v>39319.53</v>
      </c>
      <c r="L12" s="464">
        <f t="shared" si="1"/>
        <v>6181920.5299488297</v>
      </c>
      <c r="M12" s="8">
        <f>+Données!F12</f>
        <v>0</v>
      </c>
      <c r="N12" s="8">
        <f>+Données!K12</f>
        <v>63329.7</v>
      </c>
      <c r="O12" s="8">
        <f>(Données!L12/Données!Y12)*1</f>
        <v>833102.56666666677</v>
      </c>
      <c r="P12" s="464">
        <f t="shared" si="2"/>
        <v>7078352.7966154963</v>
      </c>
      <c r="Q12" s="241">
        <f>+Données!X12</f>
        <v>78</v>
      </c>
      <c r="R12" s="464">
        <f t="shared" si="0"/>
        <v>90748.112777121743</v>
      </c>
    </row>
    <row r="13" spans="1:18" x14ac:dyDescent="0.25">
      <c r="A13" s="7">
        <f>Données!A13</f>
        <v>5408</v>
      </c>
      <c r="B13" s="27" t="str">
        <f>Données!B13</f>
        <v>Noville</v>
      </c>
      <c r="C13" s="8">
        <f>Données!C13+Données!D13</f>
        <v>2313726.5299999998</v>
      </c>
      <c r="D13" s="8">
        <f>+Données!G13+Données!H13+Données!S13</f>
        <v>684496.06157291878</v>
      </c>
      <c r="E13" s="8">
        <f>+Données!E13</f>
        <v>0</v>
      </c>
      <c r="F13" s="8">
        <f>+Données!I13</f>
        <v>0</v>
      </c>
      <c r="G13" s="8">
        <f>+Données!J13</f>
        <v>60551.19</v>
      </c>
      <c r="H13" s="8">
        <f>Données!U13</f>
        <v>-11840.69</v>
      </c>
      <c r="I13" s="216">
        <f>Données!V13</f>
        <v>0</v>
      </c>
      <c r="J13" s="216">
        <f>Données!W13</f>
        <v>-384.63</v>
      </c>
      <c r="K13" s="8">
        <f>+Données!Q13</f>
        <v>11987.28</v>
      </c>
      <c r="L13" s="464">
        <f t="shared" si="1"/>
        <v>3058535.7415729184</v>
      </c>
      <c r="M13" s="8">
        <f>+Données!F13</f>
        <v>0</v>
      </c>
      <c r="N13" s="8">
        <f>+Données!K13</f>
        <v>39431.800000000003</v>
      </c>
      <c r="O13" s="8">
        <f>(Données!L13/Données!Y13)*1</f>
        <v>329863.73333333334</v>
      </c>
      <c r="P13" s="464">
        <f t="shared" si="2"/>
        <v>3427831.2749062516</v>
      </c>
      <c r="Q13" s="241">
        <f>+Données!X13</f>
        <v>78.5</v>
      </c>
      <c r="R13" s="464">
        <f t="shared" si="0"/>
        <v>43666.640444665623</v>
      </c>
    </row>
    <row r="14" spans="1:18" x14ac:dyDescent="0.25">
      <c r="A14" s="7">
        <f>Données!A14</f>
        <v>5409</v>
      </c>
      <c r="B14" s="27" t="str">
        <f>Données!B14</f>
        <v>Ollon</v>
      </c>
      <c r="C14" s="8">
        <f>Données!C14+Données!D14</f>
        <v>19392542.399999999</v>
      </c>
      <c r="D14" s="8">
        <f>+Données!G14+Données!H14+Données!S14</f>
        <v>684795.62576879677</v>
      </c>
      <c r="E14" s="8">
        <f>+Données!E14</f>
        <v>0</v>
      </c>
      <c r="F14" s="8">
        <f>+Données!I14</f>
        <v>2558500.9900000002</v>
      </c>
      <c r="G14" s="8">
        <f>+Données!J14</f>
        <v>687004.7</v>
      </c>
      <c r="H14" s="8">
        <f>Données!U14</f>
        <v>-120552.78</v>
      </c>
      <c r="I14" s="216">
        <f>Données!V14</f>
        <v>0</v>
      </c>
      <c r="J14" s="216">
        <f>Données!W14</f>
        <v>-50041.19</v>
      </c>
      <c r="K14" s="8">
        <f>+Données!Q14</f>
        <v>15596.56</v>
      </c>
      <c r="L14" s="464">
        <f t="shared" si="1"/>
        <v>23167846.305768792</v>
      </c>
      <c r="M14" s="8">
        <f>+Données!F14</f>
        <v>0</v>
      </c>
      <c r="N14" s="8">
        <f>+Données!K14</f>
        <v>134495.5</v>
      </c>
      <c r="O14" s="8">
        <f>(Données!L14/Données!Y14)*1</f>
        <v>3148741.6538461535</v>
      </c>
      <c r="P14" s="464">
        <f t="shared" si="2"/>
        <v>26451083.459614944</v>
      </c>
      <c r="Q14" s="241">
        <f>+Données!X14</f>
        <v>68</v>
      </c>
      <c r="R14" s="464">
        <f t="shared" si="0"/>
        <v>388986.52146492567</v>
      </c>
    </row>
    <row r="15" spans="1:18" x14ac:dyDescent="0.25">
      <c r="A15" s="7">
        <f>Données!A15</f>
        <v>5410</v>
      </c>
      <c r="B15" s="27" t="str">
        <f>Données!B15</f>
        <v>Ormont-Dessous</v>
      </c>
      <c r="C15" s="8">
        <f>Données!C15+Données!D15</f>
        <v>2574854.6100000003</v>
      </c>
      <c r="D15" s="8">
        <f>+Données!G15+Données!H15+Données!S15</f>
        <v>24774.332356243864</v>
      </c>
      <c r="E15" s="8">
        <f>+Données!E15</f>
        <v>0</v>
      </c>
      <c r="F15" s="8">
        <f>+Données!I15</f>
        <v>0</v>
      </c>
      <c r="G15" s="8">
        <f>+Données!J15</f>
        <v>90778.81</v>
      </c>
      <c r="H15" s="8">
        <f>Données!U15</f>
        <v>-46117.599999999999</v>
      </c>
      <c r="I15" s="216">
        <f>Données!V15</f>
        <v>0</v>
      </c>
      <c r="J15" s="216">
        <f>Données!W15</f>
        <v>-397.44</v>
      </c>
      <c r="K15" s="8">
        <f>+Données!Q15</f>
        <v>4965.3</v>
      </c>
      <c r="L15" s="464">
        <f t="shared" si="1"/>
        <v>2648858.012356244</v>
      </c>
      <c r="M15" s="8">
        <f>+Données!F15</f>
        <v>0</v>
      </c>
      <c r="N15" s="8">
        <f>+Données!K15</f>
        <v>11095.15</v>
      </c>
      <c r="O15" s="8">
        <f>(Données!L15/Données!Y15)*1</f>
        <v>382790.1333333333</v>
      </c>
      <c r="P15" s="464">
        <f t="shared" si="2"/>
        <v>3042743.2956895772</v>
      </c>
      <c r="Q15" s="241">
        <f>+Données!X15</f>
        <v>77</v>
      </c>
      <c r="R15" s="464">
        <f t="shared" si="0"/>
        <v>39516.146697267235</v>
      </c>
    </row>
    <row r="16" spans="1:18" x14ac:dyDescent="0.25">
      <c r="A16" s="7">
        <f>Données!A16</f>
        <v>5411</v>
      </c>
      <c r="B16" s="27" t="str">
        <f>Données!B16</f>
        <v>Ormont-Dessus</v>
      </c>
      <c r="C16" s="8">
        <f>Données!C16+Données!D16</f>
        <v>3957165.8</v>
      </c>
      <c r="D16" s="8">
        <f>+Données!G16+Données!H16+Données!S16</f>
        <v>110137.17049264107</v>
      </c>
      <c r="E16" s="8">
        <f>+Données!E16</f>
        <v>0</v>
      </c>
      <c r="F16" s="8">
        <f>+Données!I16</f>
        <v>115498.45</v>
      </c>
      <c r="G16" s="8">
        <f>+Données!J16</f>
        <v>172898.25</v>
      </c>
      <c r="H16" s="8">
        <f>Données!U16</f>
        <v>-29780.3</v>
      </c>
      <c r="I16" s="216">
        <f>Données!V16</f>
        <v>0</v>
      </c>
      <c r="J16" s="216">
        <f>Données!W16</f>
        <v>-2357.0100000000002</v>
      </c>
      <c r="K16" s="8">
        <f>+Données!Q16</f>
        <v>11983.24</v>
      </c>
      <c r="L16" s="464">
        <f t="shared" si="1"/>
        <v>4335545.6004926423</v>
      </c>
      <c r="M16" s="8">
        <f>+Données!F16</f>
        <v>0</v>
      </c>
      <c r="N16" s="8">
        <f>+Données!K16</f>
        <v>22562.15</v>
      </c>
      <c r="O16" s="8">
        <f>(Données!L16/Données!Y16)*1</f>
        <v>811455.29999999993</v>
      </c>
      <c r="P16" s="464">
        <f t="shared" si="2"/>
        <v>5169563.0504926424</v>
      </c>
      <c r="Q16" s="241">
        <f>+Données!X16</f>
        <v>76</v>
      </c>
      <c r="R16" s="464">
        <f t="shared" si="0"/>
        <v>68020.566453850552</v>
      </c>
    </row>
    <row r="17" spans="1:18" x14ac:dyDescent="0.25">
      <c r="A17" s="7">
        <f>Données!A17</f>
        <v>5412</v>
      </c>
      <c r="B17" s="27" t="str">
        <f>Données!B17</f>
        <v>Rennaz</v>
      </c>
      <c r="C17" s="8">
        <f>Données!C17+Données!D17</f>
        <v>1229781.99</v>
      </c>
      <c r="D17" s="8">
        <f>+Données!G17+Données!H17+Données!S17</f>
        <v>74815.663771373278</v>
      </c>
      <c r="E17" s="8">
        <f>+Données!E17</f>
        <v>0</v>
      </c>
      <c r="F17" s="8">
        <f>+Données!I17</f>
        <v>0</v>
      </c>
      <c r="G17" s="8">
        <f>+Données!J17</f>
        <v>124988.42</v>
      </c>
      <c r="H17" s="8">
        <f>Données!U17</f>
        <v>-24854.75</v>
      </c>
      <c r="I17" s="216">
        <f>Données!V17</f>
        <v>0</v>
      </c>
      <c r="J17" s="216">
        <f>Données!W17</f>
        <v>-120.95</v>
      </c>
      <c r="K17" s="8">
        <f>+Données!Q17</f>
        <v>10379.57</v>
      </c>
      <c r="L17" s="464">
        <f t="shared" si="1"/>
        <v>1414989.9437713732</v>
      </c>
      <c r="M17" s="8">
        <f>+Données!F17</f>
        <v>0</v>
      </c>
      <c r="N17" s="8">
        <f>+Données!K17</f>
        <v>37931.25</v>
      </c>
      <c r="O17" s="8">
        <f>(Données!L17/Données!Y17)*1</f>
        <v>220516.4</v>
      </c>
      <c r="P17" s="464">
        <f t="shared" si="2"/>
        <v>1673437.5937713732</v>
      </c>
      <c r="Q17" s="241">
        <f>+Données!X17</f>
        <v>69</v>
      </c>
      <c r="R17" s="464">
        <f t="shared" si="0"/>
        <v>24252.718750309756</v>
      </c>
    </row>
    <row r="18" spans="1:18" x14ac:dyDescent="0.25">
      <c r="A18" s="7">
        <f>Données!A18</f>
        <v>5413</v>
      </c>
      <c r="B18" s="27" t="str">
        <f>Données!B18</f>
        <v>Roche</v>
      </c>
      <c r="C18" s="8">
        <f>Données!C18+Données!D18</f>
        <v>2751726.2600000002</v>
      </c>
      <c r="D18" s="8">
        <f>+Données!G18+Données!H18+Données!S18</f>
        <v>190941.86705766781</v>
      </c>
      <c r="E18" s="8">
        <f>+Données!E18</f>
        <v>0</v>
      </c>
      <c r="F18" s="8">
        <f>+Données!I18</f>
        <v>0</v>
      </c>
      <c r="G18" s="8">
        <f>+Données!J18</f>
        <v>69128.09</v>
      </c>
      <c r="H18" s="8">
        <f>Données!U18</f>
        <v>-119303.93</v>
      </c>
      <c r="I18" s="216">
        <f>Données!V18</f>
        <v>0</v>
      </c>
      <c r="J18" s="216">
        <f>Données!W18</f>
        <v>-322.97000000000003</v>
      </c>
      <c r="K18" s="8">
        <f>+Données!Q18</f>
        <v>35230.839999999997</v>
      </c>
      <c r="L18" s="464">
        <f t="shared" si="1"/>
        <v>2927400.1570576672</v>
      </c>
      <c r="M18" s="8">
        <f>+Données!F18</f>
        <v>0</v>
      </c>
      <c r="N18" s="8">
        <f>+Données!K18</f>
        <v>33987.300000000003</v>
      </c>
      <c r="O18" s="8">
        <f>(Données!L18/Données!Y18)*1</f>
        <v>299323.20833333331</v>
      </c>
      <c r="P18" s="464">
        <f t="shared" si="2"/>
        <v>3260710.6653910005</v>
      </c>
      <c r="Q18" s="241">
        <f>+Données!X18</f>
        <v>68</v>
      </c>
      <c r="R18" s="464">
        <f t="shared" si="0"/>
        <v>47951.627432220594</v>
      </c>
    </row>
    <row r="19" spans="1:18" x14ac:dyDescent="0.25">
      <c r="A19" s="7">
        <f>Données!A19</f>
        <v>5414</v>
      </c>
      <c r="B19" s="27" t="str">
        <f>Données!B19</f>
        <v>Villeneuve</v>
      </c>
      <c r="C19" s="8">
        <f>Données!C19+Données!D19</f>
        <v>8786931.6699999999</v>
      </c>
      <c r="D19" s="8">
        <f>+Données!G19+Données!H19+Données!S19</f>
        <v>540815.22319011856</v>
      </c>
      <c r="E19" s="8">
        <f>+Données!E19</f>
        <v>0</v>
      </c>
      <c r="F19" s="8">
        <f>+Données!I19</f>
        <v>60504.7</v>
      </c>
      <c r="G19" s="8">
        <f>+Données!J19</f>
        <v>377905.1</v>
      </c>
      <c r="H19" s="8">
        <f>Données!U19</f>
        <v>-525365.79</v>
      </c>
      <c r="I19" s="216">
        <f>Données!V19</f>
        <v>0</v>
      </c>
      <c r="J19" s="216">
        <f>Données!W19</f>
        <v>-5477.89</v>
      </c>
      <c r="K19" s="8">
        <f>+Données!Q19</f>
        <v>114730.6</v>
      </c>
      <c r="L19" s="464">
        <f t="shared" si="1"/>
        <v>9350043.6131901164</v>
      </c>
      <c r="M19" s="8">
        <f>+Données!F19</f>
        <v>0</v>
      </c>
      <c r="N19" s="8">
        <f>+Données!K19</f>
        <v>170265.60000000001</v>
      </c>
      <c r="O19" s="8">
        <f>(Données!L19/Données!Y19)*1</f>
        <v>1233070.3</v>
      </c>
      <c r="P19" s="464">
        <f t="shared" si="2"/>
        <v>10753379.513190117</v>
      </c>
      <c r="Q19" s="241">
        <f>+Données!X19</f>
        <v>67.5</v>
      </c>
      <c r="R19" s="464">
        <f t="shared" si="0"/>
        <v>159309.32612133506</v>
      </c>
    </row>
    <row r="20" spans="1:18" x14ac:dyDescent="0.25">
      <c r="A20" s="7">
        <f>Données!A20</f>
        <v>5415</v>
      </c>
      <c r="B20" s="27" t="str">
        <f>Données!B20</f>
        <v>Yvorne</v>
      </c>
      <c r="C20" s="8">
        <f>Données!C20+Données!D20</f>
        <v>2406489.94</v>
      </c>
      <c r="D20" s="8">
        <f>+Données!G20+Données!H20+Données!S20</f>
        <v>50078.447506847428</v>
      </c>
      <c r="E20" s="8">
        <f>+Données!E20</f>
        <v>0</v>
      </c>
      <c r="F20" s="8">
        <f>+Données!I20</f>
        <v>-1112.8</v>
      </c>
      <c r="G20" s="8">
        <f>+Données!J20</f>
        <v>50941.15</v>
      </c>
      <c r="H20" s="8">
        <f>Données!U20</f>
        <v>-33484.75</v>
      </c>
      <c r="I20" s="216">
        <f>Données!V20</f>
        <v>0</v>
      </c>
      <c r="J20" s="216">
        <f>Données!W20</f>
        <v>-798.47</v>
      </c>
      <c r="K20" s="8">
        <f>+Données!Q20</f>
        <v>3993.56</v>
      </c>
      <c r="L20" s="464">
        <f t="shared" si="1"/>
        <v>2476107.0775068472</v>
      </c>
      <c r="M20" s="8">
        <f>+Données!F20</f>
        <v>0</v>
      </c>
      <c r="N20" s="8">
        <f>+Données!K20</f>
        <v>8446.2000000000007</v>
      </c>
      <c r="O20" s="8">
        <f>(Données!L20/Données!Y20)*1</f>
        <v>242534.76666666669</v>
      </c>
      <c r="P20" s="464">
        <f t="shared" si="2"/>
        <v>2727088.044173514</v>
      </c>
      <c r="Q20" s="241">
        <f>+Données!X20</f>
        <v>71.5</v>
      </c>
      <c r="R20" s="464">
        <f t="shared" si="0"/>
        <v>38141.091526902295</v>
      </c>
    </row>
    <row r="21" spans="1:18" x14ac:dyDescent="0.25">
      <c r="A21" s="7">
        <f>Données!A21</f>
        <v>5422</v>
      </c>
      <c r="B21" s="27" t="str">
        <f>Données!B21</f>
        <v>Aubonne</v>
      </c>
      <c r="C21" s="8">
        <f>Données!C21+Données!D21</f>
        <v>9915302.4699999988</v>
      </c>
      <c r="D21" s="8">
        <f>+Données!G21+Données!H21+Données!S21</f>
        <v>5719539.2207224127</v>
      </c>
      <c r="E21" s="8">
        <f>+Données!E21</f>
        <v>0</v>
      </c>
      <c r="F21" s="8">
        <f>+Données!I21</f>
        <v>319908</v>
      </c>
      <c r="G21" s="8">
        <f>+Données!J21</f>
        <v>581607.01</v>
      </c>
      <c r="H21" s="8">
        <f>Données!U21</f>
        <v>-123048.15</v>
      </c>
      <c r="I21" s="216">
        <f>Données!V21</f>
        <v>0</v>
      </c>
      <c r="J21" s="216">
        <f>Données!W21</f>
        <v>-6465.77</v>
      </c>
      <c r="K21" s="8">
        <f>+Données!Q21</f>
        <v>37116.94</v>
      </c>
      <c r="L21" s="464">
        <f t="shared" si="1"/>
        <v>16443959.720722411</v>
      </c>
      <c r="M21" s="8">
        <f>+Données!F21</f>
        <v>0</v>
      </c>
      <c r="N21" s="8">
        <f>+Données!K21</f>
        <v>187980.79999999999</v>
      </c>
      <c r="O21" s="8">
        <f>(Données!L21/Données!Y21)*1</f>
        <v>1090122.1800000002</v>
      </c>
      <c r="P21" s="464">
        <f t="shared" si="2"/>
        <v>17722062.700722411</v>
      </c>
      <c r="Q21" s="241">
        <f>+Données!X21</f>
        <v>68.92</v>
      </c>
      <c r="R21" s="464">
        <f t="shared" si="0"/>
        <v>257139.62131053992</v>
      </c>
    </row>
    <row r="22" spans="1:18" x14ac:dyDescent="0.25">
      <c r="A22" s="7">
        <f>Données!A22</f>
        <v>5423</v>
      </c>
      <c r="B22" s="27" t="str">
        <f>Données!B22</f>
        <v>Ballens</v>
      </c>
      <c r="C22" s="8">
        <f>Données!C22+Données!D22</f>
        <v>1159584.51</v>
      </c>
      <c r="D22" s="8">
        <f>+Données!G22+Données!H22+Données!S22</f>
        <v>4319.2479100315941</v>
      </c>
      <c r="E22" s="8">
        <f>+Données!E22</f>
        <v>0</v>
      </c>
      <c r="F22" s="8">
        <f>+Données!I22</f>
        <v>0</v>
      </c>
      <c r="G22" s="8">
        <f>+Données!J22</f>
        <v>22628</v>
      </c>
      <c r="H22" s="8">
        <f>Données!U22</f>
        <v>-22543.01</v>
      </c>
      <c r="I22" s="216">
        <f>Données!V22</f>
        <v>0</v>
      </c>
      <c r="J22" s="216">
        <f>Données!W22</f>
        <v>-28.57</v>
      </c>
      <c r="K22" s="8">
        <f>+Données!Q22</f>
        <v>0</v>
      </c>
      <c r="L22" s="464">
        <f t="shared" si="1"/>
        <v>1163960.1779100315</v>
      </c>
      <c r="M22" s="8">
        <f>+Données!F22</f>
        <v>2900</v>
      </c>
      <c r="N22" s="8">
        <f>+Données!K22</f>
        <v>2520.85</v>
      </c>
      <c r="O22" s="8">
        <f>(Données!L22/Données!Y22)*1</f>
        <v>79909.5</v>
      </c>
      <c r="P22" s="464">
        <f t="shared" si="2"/>
        <v>1249290.5279100316</v>
      </c>
      <c r="Q22" s="241">
        <f>+Données!X22</f>
        <v>73</v>
      </c>
      <c r="R22" s="464">
        <f t="shared" si="0"/>
        <v>17113.568875479887</v>
      </c>
    </row>
    <row r="23" spans="1:18" x14ac:dyDescent="0.25">
      <c r="A23" s="7">
        <f>Données!A23</f>
        <v>5424</v>
      </c>
      <c r="B23" s="27" t="str">
        <f>Données!B23</f>
        <v>Berolle</v>
      </c>
      <c r="C23" s="8">
        <f>Données!C23+Données!D23</f>
        <v>609490.22</v>
      </c>
      <c r="D23" s="8">
        <f>+Données!G23+Données!H23+Données!S23</f>
        <v>1230.8706274179553</v>
      </c>
      <c r="E23" s="8">
        <f>+Données!E23</f>
        <v>0</v>
      </c>
      <c r="F23" s="8">
        <f>+Données!I23</f>
        <v>38612.949999999997</v>
      </c>
      <c r="G23" s="8">
        <f>+Données!J23</f>
        <v>4367.42</v>
      </c>
      <c r="H23" s="8">
        <f>Données!U23</f>
        <v>-17136.48</v>
      </c>
      <c r="I23" s="216">
        <f>Données!V23</f>
        <v>0</v>
      </c>
      <c r="J23" s="216">
        <f>Données!W23</f>
        <v>0</v>
      </c>
      <c r="K23" s="8">
        <f>+Données!Q23</f>
        <v>401.9</v>
      </c>
      <c r="L23" s="464">
        <f t="shared" si="1"/>
        <v>636966.88062741794</v>
      </c>
      <c r="M23" s="8">
        <f>+Données!F23</f>
        <v>0</v>
      </c>
      <c r="N23" s="8">
        <f>+Données!K23</f>
        <v>766</v>
      </c>
      <c r="O23" s="8">
        <f>(Données!L23/Données!Y23)*1</f>
        <v>50423.4</v>
      </c>
      <c r="P23" s="464">
        <f t="shared" si="2"/>
        <v>688156.28062741796</v>
      </c>
      <c r="Q23" s="241">
        <f>+Données!X23</f>
        <v>75.5</v>
      </c>
      <c r="R23" s="464">
        <f t="shared" si="0"/>
        <v>9114.6527235419599</v>
      </c>
    </row>
    <row r="24" spans="1:18" x14ac:dyDescent="0.25">
      <c r="A24" s="7">
        <f>Données!A24</f>
        <v>5425</v>
      </c>
      <c r="B24" s="27" t="str">
        <f>Données!B24</f>
        <v>Bière</v>
      </c>
      <c r="C24" s="8">
        <f>Données!C24+Données!D24</f>
        <v>2267219.7000000002</v>
      </c>
      <c r="D24" s="8">
        <f>+Données!G24+Données!H24+Données!S24</f>
        <v>214547.31705209971</v>
      </c>
      <c r="E24" s="8">
        <f>+Données!E24</f>
        <v>0</v>
      </c>
      <c r="F24" s="8">
        <f>+Données!I24</f>
        <v>0</v>
      </c>
      <c r="G24" s="8">
        <f>+Données!J24</f>
        <v>142233.89000000001</v>
      </c>
      <c r="H24" s="8">
        <f>Données!U24</f>
        <v>-94131.28</v>
      </c>
      <c r="I24" s="216">
        <f>Données!V24</f>
        <v>0</v>
      </c>
      <c r="J24" s="216">
        <f>Données!W24</f>
        <v>-27.35</v>
      </c>
      <c r="K24" s="8">
        <f>+Données!Q24</f>
        <v>44838.27</v>
      </c>
      <c r="L24" s="464">
        <f t="shared" si="1"/>
        <v>2574680.5470521003</v>
      </c>
      <c r="M24" s="8">
        <f>+Données!F24</f>
        <v>0</v>
      </c>
      <c r="N24" s="8">
        <f>+Données!K24</f>
        <v>-12948.1</v>
      </c>
      <c r="O24" s="8">
        <f>(Données!L24/Données!Y24)*1</f>
        <v>208626.81034482759</v>
      </c>
      <c r="P24" s="464">
        <f t="shared" si="2"/>
        <v>2770359.257396928</v>
      </c>
      <c r="Q24" s="241">
        <f>+Données!X24</f>
        <v>69</v>
      </c>
      <c r="R24" s="464">
        <f t="shared" si="0"/>
        <v>40150.134165172873</v>
      </c>
    </row>
    <row r="25" spans="1:18" x14ac:dyDescent="0.25">
      <c r="A25" s="7">
        <f>Données!A25</f>
        <v>5426</v>
      </c>
      <c r="B25" s="27" t="str">
        <f>Données!B25</f>
        <v>Bougy-Villars</v>
      </c>
      <c r="C25" s="8">
        <f>Données!C25+Données!D25</f>
        <v>2709774.88</v>
      </c>
      <c r="D25" s="8">
        <f>+Données!G25+Données!H25+Données!S25</f>
        <v>1875.186213676752</v>
      </c>
      <c r="E25" s="8">
        <f>+Données!E25</f>
        <v>0</v>
      </c>
      <c r="F25" s="8">
        <f>+Données!I25</f>
        <v>619980.80000000005</v>
      </c>
      <c r="G25" s="8">
        <f>+Données!J25</f>
        <v>31633.53</v>
      </c>
      <c r="H25" s="8">
        <f>Données!U25</f>
        <v>-14852.89</v>
      </c>
      <c r="I25" s="216">
        <f>Données!V25</f>
        <v>0</v>
      </c>
      <c r="J25" s="216">
        <f>Données!W25</f>
        <v>-4586.82</v>
      </c>
      <c r="K25" s="8">
        <f>+Données!Q25</f>
        <v>0</v>
      </c>
      <c r="L25" s="464">
        <f t="shared" si="1"/>
        <v>3343824.6862136764</v>
      </c>
      <c r="M25" s="8">
        <f>+Données!F25</f>
        <v>0</v>
      </c>
      <c r="N25" s="8">
        <f>+Données!K25</f>
        <v>-1742.2</v>
      </c>
      <c r="O25" s="8">
        <f>(Données!L25/Données!Y25)*1</f>
        <v>244259.20833333334</v>
      </c>
      <c r="P25" s="464">
        <f t="shared" si="2"/>
        <v>3586341.6945470097</v>
      </c>
      <c r="Q25" s="241">
        <f>+Données!X25</f>
        <v>64.5</v>
      </c>
      <c r="R25" s="464">
        <f t="shared" si="0"/>
        <v>55602.19681468232</v>
      </c>
    </row>
    <row r="26" spans="1:18" x14ac:dyDescent="0.25">
      <c r="A26" s="7">
        <f>Données!A26</f>
        <v>5427</v>
      </c>
      <c r="B26" s="27" t="str">
        <f>Données!B26</f>
        <v>Féchy</v>
      </c>
      <c r="C26" s="8">
        <f>Données!C26+Données!D26</f>
        <v>4055563.41</v>
      </c>
      <c r="D26" s="8">
        <f>+Données!G26+Données!H26+Données!S26</f>
        <v>46748.376384377698</v>
      </c>
      <c r="E26" s="8">
        <f>+Données!E26</f>
        <v>0</v>
      </c>
      <c r="F26" s="8">
        <f>+Données!I26</f>
        <v>504282.15</v>
      </c>
      <c r="G26" s="8">
        <f>+Données!J26</f>
        <v>51538.01</v>
      </c>
      <c r="H26" s="8">
        <f>Données!U26</f>
        <v>-97265.64</v>
      </c>
      <c r="I26" s="216">
        <f>Données!V26</f>
        <v>0</v>
      </c>
      <c r="J26" s="216">
        <f>Données!W26</f>
        <v>0</v>
      </c>
      <c r="K26" s="8">
        <f>+Données!Q26</f>
        <v>6191.36</v>
      </c>
      <c r="L26" s="464">
        <f t="shared" si="1"/>
        <v>4567057.6663843784</v>
      </c>
      <c r="M26" s="8">
        <f>+Données!F26</f>
        <v>0</v>
      </c>
      <c r="N26" s="8">
        <f>+Données!K26</f>
        <v>-319.75</v>
      </c>
      <c r="O26" s="8">
        <f>(Données!L26/Données!Y26)*1</f>
        <v>361614.23076923075</v>
      </c>
      <c r="P26" s="464">
        <f t="shared" si="2"/>
        <v>4928352.1471536094</v>
      </c>
      <c r="Q26" s="241">
        <f>+Données!X26</f>
        <v>64</v>
      </c>
      <c r="R26" s="464">
        <f t="shared" si="0"/>
        <v>77005.502299275147</v>
      </c>
    </row>
    <row r="27" spans="1:18" x14ac:dyDescent="0.25">
      <c r="A27" s="7">
        <f>Données!A27</f>
        <v>5428</v>
      </c>
      <c r="B27" s="27" t="str">
        <f>Données!B27</f>
        <v>Gimel</v>
      </c>
      <c r="C27" s="8">
        <f>Données!C27+Données!D27</f>
        <v>4556018.04</v>
      </c>
      <c r="D27" s="8">
        <f>+Données!G27+Données!H27+Données!S27</f>
        <v>124395.84421854465</v>
      </c>
      <c r="E27" s="8">
        <f>+Données!E27</f>
        <v>0</v>
      </c>
      <c r="F27" s="8">
        <f>+Données!I27</f>
        <v>0</v>
      </c>
      <c r="G27" s="8">
        <f>+Données!J27</f>
        <v>204065.92000000001</v>
      </c>
      <c r="H27" s="8">
        <f>Données!U27</f>
        <v>-58057.22</v>
      </c>
      <c r="I27" s="216">
        <f>Données!V27</f>
        <v>0</v>
      </c>
      <c r="J27" s="216">
        <f>Données!W27</f>
        <v>-212.36</v>
      </c>
      <c r="K27" s="8">
        <f>+Données!Q27</f>
        <v>3726.29</v>
      </c>
      <c r="L27" s="464">
        <f t="shared" si="1"/>
        <v>4829936.5142185446</v>
      </c>
      <c r="M27" s="8">
        <f>+Données!F27</f>
        <v>0</v>
      </c>
      <c r="N27" s="8">
        <f>+Données!K27</f>
        <v>16220.5</v>
      </c>
      <c r="O27" s="8">
        <f>(Données!L27/Données!Y27)*1</f>
        <v>380764.29166666669</v>
      </c>
      <c r="P27" s="464">
        <f t="shared" si="2"/>
        <v>5226921.3058852116</v>
      </c>
      <c r="Q27" s="241">
        <f>+Données!X27</f>
        <v>74.5</v>
      </c>
      <c r="R27" s="464">
        <f t="shared" si="0"/>
        <v>70160.017528660552</v>
      </c>
    </row>
    <row r="28" spans="1:18" x14ac:dyDescent="0.25">
      <c r="A28" s="7">
        <f>Données!A28</f>
        <v>5429</v>
      </c>
      <c r="B28" s="27" t="str">
        <f>Données!B28</f>
        <v>Longirod</v>
      </c>
      <c r="C28" s="8">
        <f>Données!C28+Données!D28</f>
        <v>1136780.5999999999</v>
      </c>
      <c r="D28" s="8">
        <f>+Données!G28+Données!H28+Données!S28</f>
        <v>18222.957829785755</v>
      </c>
      <c r="E28" s="8">
        <f>+Données!E28</f>
        <v>0</v>
      </c>
      <c r="F28" s="8">
        <f>+Données!I28</f>
        <v>0</v>
      </c>
      <c r="G28" s="8">
        <f>+Données!J28</f>
        <v>9020.59</v>
      </c>
      <c r="H28" s="8">
        <f>Données!U28</f>
        <v>-19217.95</v>
      </c>
      <c r="I28" s="216">
        <f>Données!V28</f>
        <v>0</v>
      </c>
      <c r="J28" s="216">
        <f>Données!W28</f>
        <v>-38.01</v>
      </c>
      <c r="K28" s="8">
        <f>+Données!Q28</f>
        <v>104.2</v>
      </c>
      <c r="L28" s="464">
        <f t="shared" si="1"/>
        <v>1144872.3878297857</v>
      </c>
      <c r="M28" s="8">
        <f>+Données!F28</f>
        <v>0</v>
      </c>
      <c r="N28" s="8">
        <f>+Données!K28</f>
        <v>3793.9</v>
      </c>
      <c r="O28" s="8">
        <f>(Données!L28/Données!Y28)*1</f>
        <v>101881.3</v>
      </c>
      <c r="P28" s="464">
        <f t="shared" si="2"/>
        <v>1250547.5878297857</v>
      </c>
      <c r="Q28" s="241">
        <f>+Données!X28</f>
        <v>77.5</v>
      </c>
      <c r="R28" s="464">
        <f t="shared" si="0"/>
        <v>16136.097907481106</v>
      </c>
    </row>
    <row r="29" spans="1:18" x14ac:dyDescent="0.25">
      <c r="A29" s="7">
        <f>Données!A29</f>
        <v>5430</v>
      </c>
      <c r="B29" s="27" t="str">
        <f>Données!B29</f>
        <v>Marchissy</v>
      </c>
      <c r="C29" s="8">
        <f>Données!C29+Données!D29</f>
        <v>1058347.04</v>
      </c>
      <c r="D29" s="8">
        <f>+Données!G29+Données!H29+Données!S29</f>
        <v>-107.30000000000018</v>
      </c>
      <c r="E29" s="8">
        <f>+Données!E29</f>
        <v>0</v>
      </c>
      <c r="F29" s="8">
        <f>+Données!I29</f>
        <v>0</v>
      </c>
      <c r="G29" s="8">
        <f>+Données!J29</f>
        <v>23189.25</v>
      </c>
      <c r="H29" s="8">
        <f>Données!U29</f>
        <v>-25464.82</v>
      </c>
      <c r="I29" s="216">
        <f>Données!V29</f>
        <v>0</v>
      </c>
      <c r="J29" s="216">
        <f>Données!W29</f>
        <v>-108.97</v>
      </c>
      <c r="K29" s="8">
        <f>+Données!Q29</f>
        <v>0</v>
      </c>
      <c r="L29" s="464">
        <f t="shared" si="1"/>
        <v>1055855.2</v>
      </c>
      <c r="M29" s="8">
        <f>+Données!F29</f>
        <v>0</v>
      </c>
      <c r="N29" s="8">
        <f>+Données!K29</f>
        <v>756.8</v>
      </c>
      <c r="O29" s="8">
        <f>(Données!L29/Données!Y29)*1</f>
        <v>94155.8</v>
      </c>
      <c r="P29" s="464">
        <f t="shared" si="2"/>
        <v>1150767.8</v>
      </c>
      <c r="Q29" s="241">
        <f>+Données!X29</f>
        <v>77.5</v>
      </c>
      <c r="R29" s="464">
        <f t="shared" si="0"/>
        <v>14848.61677419355</v>
      </c>
    </row>
    <row r="30" spans="1:18" x14ac:dyDescent="0.25">
      <c r="A30" s="7">
        <f>Données!A30</f>
        <v>5431</v>
      </c>
      <c r="B30" s="27" t="str">
        <f>Données!B30</f>
        <v>Mollens</v>
      </c>
      <c r="C30" s="8">
        <f>Données!C30+Données!D30</f>
        <v>614644.35000000009</v>
      </c>
      <c r="D30" s="8">
        <f>+Données!G30+Données!H30+Données!S30</f>
        <v>1212.806730709038</v>
      </c>
      <c r="E30" s="8">
        <f>+Données!E30</f>
        <v>0</v>
      </c>
      <c r="F30" s="8">
        <f>+Données!I30</f>
        <v>0</v>
      </c>
      <c r="G30" s="8">
        <f>+Données!J30</f>
        <v>25776.17</v>
      </c>
      <c r="H30" s="8">
        <f>Données!U30</f>
        <v>-790.65</v>
      </c>
      <c r="I30" s="216">
        <f>Données!V30</f>
        <v>0</v>
      </c>
      <c r="J30" s="216">
        <f>Données!W30</f>
        <v>-2388.17</v>
      </c>
      <c r="K30" s="8">
        <f>+Données!Q30</f>
        <v>77.349999999999994</v>
      </c>
      <c r="L30" s="464">
        <f t="shared" si="1"/>
        <v>638531.85673070909</v>
      </c>
      <c r="M30" s="8">
        <f>+Données!F30</f>
        <v>0</v>
      </c>
      <c r="N30" s="8">
        <f>+Données!K30</f>
        <v>283.85000000000002</v>
      </c>
      <c r="O30" s="8">
        <f>(Données!L30/Données!Y30)*1</f>
        <v>51837.3</v>
      </c>
      <c r="P30" s="464">
        <f t="shared" si="2"/>
        <v>690653.00673070911</v>
      </c>
      <c r="Q30" s="241">
        <f>+Données!X30</f>
        <v>74</v>
      </c>
      <c r="R30" s="464">
        <f t="shared" si="0"/>
        <v>9333.1487396041775</v>
      </c>
    </row>
    <row r="31" spans="1:18" x14ac:dyDescent="0.25">
      <c r="A31" s="7">
        <f>Données!A31</f>
        <v>5434</v>
      </c>
      <c r="B31" s="27" t="str">
        <f>Données!B31</f>
        <v>Saint-George</v>
      </c>
      <c r="C31" s="8">
        <f>Données!C31+Données!D31</f>
        <v>2601347.3199999998</v>
      </c>
      <c r="D31" s="8">
        <f>+Données!G31+Données!H31+Données!S31</f>
        <v>18376.967648231082</v>
      </c>
      <c r="E31" s="8">
        <f>+Données!E31</f>
        <v>0</v>
      </c>
      <c r="F31" s="8">
        <f>+Données!I31</f>
        <v>0</v>
      </c>
      <c r="G31" s="8">
        <f>+Données!J31</f>
        <v>30028.28</v>
      </c>
      <c r="H31" s="8">
        <f>Données!U31</f>
        <v>-52776.88</v>
      </c>
      <c r="I31" s="216">
        <f>Données!V31</f>
        <v>0</v>
      </c>
      <c r="J31" s="216">
        <f>Données!W31</f>
        <v>0</v>
      </c>
      <c r="K31" s="8">
        <f>+Données!Q31</f>
        <v>601.76</v>
      </c>
      <c r="L31" s="464">
        <f t="shared" si="1"/>
        <v>2597577.4476482305</v>
      </c>
      <c r="M31" s="8">
        <f>+Données!F31</f>
        <v>0</v>
      </c>
      <c r="N31" s="8">
        <f>+Données!K31</f>
        <v>2850.7</v>
      </c>
      <c r="O31" s="8">
        <f>(Données!L31/Données!Y31)*1</f>
        <v>234582.20833333337</v>
      </c>
      <c r="P31" s="464">
        <f t="shared" si="2"/>
        <v>2835010.3559815641</v>
      </c>
      <c r="Q31" s="241">
        <f>+Données!X31</f>
        <v>69.5</v>
      </c>
      <c r="R31" s="464">
        <f t="shared" si="0"/>
        <v>40791.515913403804</v>
      </c>
    </row>
    <row r="32" spans="1:18" x14ac:dyDescent="0.25">
      <c r="A32" s="7">
        <f>Données!A32</f>
        <v>5435</v>
      </c>
      <c r="B32" s="27" t="str">
        <f>Données!B32</f>
        <v>Saint-Livres</v>
      </c>
      <c r="C32" s="8">
        <f>Données!C32+Données!D32</f>
        <v>1701169.97</v>
      </c>
      <c r="D32" s="8">
        <f>+Données!G32+Données!H32+Données!S32</f>
        <v>29577.736622443339</v>
      </c>
      <c r="E32" s="8">
        <f>+Données!E32</f>
        <v>0</v>
      </c>
      <c r="F32" s="8">
        <f>+Données!I32</f>
        <v>0</v>
      </c>
      <c r="G32" s="8">
        <f>+Données!J32</f>
        <v>-8020.53</v>
      </c>
      <c r="H32" s="8">
        <f>Données!U32</f>
        <v>-33132.080000000002</v>
      </c>
      <c r="I32" s="216">
        <f>Données!V32</f>
        <v>0</v>
      </c>
      <c r="J32" s="216">
        <f>Données!W32</f>
        <v>-280.23</v>
      </c>
      <c r="K32" s="8">
        <f>+Données!Q32</f>
        <v>2137.23</v>
      </c>
      <c r="L32" s="464">
        <f t="shared" si="1"/>
        <v>1691452.0966224433</v>
      </c>
      <c r="M32" s="8">
        <f>+Données!F32</f>
        <v>0</v>
      </c>
      <c r="N32" s="8">
        <f>+Données!K32</f>
        <v>0</v>
      </c>
      <c r="O32" s="8">
        <f>(Données!L32/Données!Y32)*1</f>
        <v>125868.9</v>
      </c>
      <c r="P32" s="464">
        <f t="shared" si="2"/>
        <v>1817320.9966224432</v>
      </c>
      <c r="Q32" s="241">
        <f>+Données!X32</f>
        <v>69</v>
      </c>
      <c r="R32" s="464">
        <f t="shared" si="0"/>
        <v>26337.98545829628</v>
      </c>
    </row>
    <row r="33" spans="1:18" x14ac:dyDescent="0.25">
      <c r="A33" s="7">
        <f>Données!A33</f>
        <v>5436</v>
      </c>
      <c r="B33" s="27" t="str">
        <f>Données!B33</f>
        <v>Saint-Oyens</v>
      </c>
      <c r="C33" s="8">
        <f>Données!C33+Données!D33</f>
        <v>1259679.74</v>
      </c>
      <c r="D33" s="8">
        <f>+Données!G33+Données!H33+Données!S33</f>
        <v>7950.8598249796632</v>
      </c>
      <c r="E33" s="8">
        <f>+Données!E33</f>
        <v>0</v>
      </c>
      <c r="F33" s="8">
        <f>+Données!I33</f>
        <v>0</v>
      </c>
      <c r="G33" s="8">
        <f>+Données!J33</f>
        <v>-2382.0300000000002</v>
      </c>
      <c r="H33" s="8">
        <f>Données!U33</f>
        <v>-702</v>
      </c>
      <c r="I33" s="216">
        <f>Données!V33</f>
        <v>0</v>
      </c>
      <c r="J33" s="216">
        <f>Données!W33</f>
        <v>-758.29</v>
      </c>
      <c r="K33" s="8">
        <f>+Données!Q33</f>
        <v>5914.13</v>
      </c>
      <c r="L33" s="464">
        <f t="shared" si="1"/>
        <v>1269702.4098249795</v>
      </c>
      <c r="M33" s="8">
        <f>+Données!F33</f>
        <v>0</v>
      </c>
      <c r="N33" s="8">
        <f>+Données!K33</f>
        <v>0</v>
      </c>
      <c r="O33" s="8">
        <f>(Données!L33/Données!Y33)*1</f>
        <v>87346.187499999985</v>
      </c>
      <c r="P33" s="464">
        <f t="shared" si="2"/>
        <v>1357048.5973249795</v>
      </c>
      <c r="Q33" s="241">
        <f>+Données!X33</f>
        <v>81</v>
      </c>
      <c r="R33" s="464">
        <f t="shared" si="0"/>
        <v>16753.686386728143</v>
      </c>
    </row>
    <row r="34" spans="1:18" x14ac:dyDescent="0.25">
      <c r="A34" s="7">
        <f>Données!A34</f>
        <v>5437</v>
      </c>
      <c r="B34" s="27" t="str">
        <f>Données!B34</f>
        <v>Saubraz</v>
      </c>
      <c r="C34" s="8">
        <f>Données!C34+Données!D34</f>
        <v>1022667</v>
      </c>
      <c r="D34" s="8">
        <f>+Données!G34+Données!H34+Données!S34</f>
        <v>54223.425483279927</v>
      </c>
      <c r="E34" s="8">
        <f>+Données!E34</f>
        <v>0</v>
      </c>
      <c r="F34" s="8">
        <f>+Données!I34</f>
        <v>0</v>
      </c>
      <c r="G34" s="8">
        <f>+Données!J34</f>
        <v>-63166.080000000002</v>
      </c>
      <c r="H34" s="8">
        <f>Données!U34</f>
        <v>-12796.07</v>
      </c>
      <c r="I34" s="216">
        <f>Données!V34</f>
        <v>0</v>
      </c>
      <c r="J34" s="216">
        <f>Données!W34</f>
        <v>-411.53</v>
      </c>
      <c r="K34" s="8">
        <f>+Données!Q34</f>
        <v>0</v>
      </c>
      <c r="L34" s="464">
        <f t="shared" si="1"/>
        <v>1000516.7454832799</v>
      </c>
      <c r="M34" s="8">
        <f>+Données!F34</f>
        <v>0</v>
      </c>
      <c r="N34" s="8">
        <f>+Données!K34</f>
        <v>746.35</v>
      </c>
      <c r="O34" s="8">
        <f>(Données!L34/Données!Y34)*1</f>
        <v>69011.05</v>
      </c>
      <c r="P34" s="464">
        <f t="shared" si="2"/>
        <v>1070274.1454832798</v>
      </c>
      <c r="Q34" s="241">
        <f>+Données!X34</f>
        <v>80</v>
      </c>
      <c r="R34" s="464">
        <f t="shared" si="0"/>
        <v>13378.426818540998</v>
      </c>
    </row>
    <row r="35" spans="1:18" x14ac:dyDescent="0.25">
      <c r="A35" s="7">
        <f>Données!A35</f>
        <v>5451</v>
      </c>
      <c r="B35" s="27" t="str">
        <f>Données!B35</f>
        <v>Avenches</v>
      </c>
      <c r="C35" s="8">
        <f>Données!C35+Données!D35</f>
        <v>5563456.2299999995</v>
      </c>
      <c r="D35" s="8">
        <f>+Données!G35+Données!H35+Données!S35</f>
        <v>1701156.436564598</v>
      </c>
      <c r="E35" s="8">
        <f>+Données!E35</f>
        <v>0</v>
      </c>
      <c r="F35" s="8">
        <f>+Données!I35</f>
        <v>0</v>
      </c>
      <c r="G35" s="8">
        <f>+Données!J35</f>
        <v>376921.76</v>
      </c>
      <c r="H35" s="8">
        <f>Données!U35</f>
        <v>-312503.08</v>
      </c>
      <c r="I35" s="216">
        <f>Données!V35</f>
        <v>0</v>
      </c>
      <c r="J35" s="216">
        <f>Données!W35</f>
        <v>-1157.72</v>
      </c>
      <c r="K35" s="8">
        <f>+Données!Q35</f>
        <v>101555.19</v>
      </c>
      <c r="L35" s="464">
        <f t="shared" si="1"/>
        <v>7429428.8165645981</v>
      </c>
      <c r="M35" s="8">
        <f>+Données!F35</f>
        <v>0</v>
      </c>
      <c r="N35" s="8">
        <f>+Données!K35</f>
        <v>171098.05</v>
      </c>
      <c r="O35" s="8">
        <f>(Données!L35/Données!Y35)*1</f>
        <v>977446.9</v>
      </c>
      <c r="P35" s="464">
        <f t="shared" si="2"/>
        <v>8577973.7665645983</v>
      </c>
      <c r="Q35" s="241">
        <f>+Données!X35</f>
        <v>66.5</v>
      </c>
      <c r="R35" s="464">
        <f t="shared" si="0"/>
        <v>128992.08671525712</v>
      </c>
    </row>
    <row r="36" spans="1:18" x14ac:dyDescent="0.25">
      <c r="A36" s="7">
        <f>Données!A36</f>
        <v>5456</v>
      </c>
      <c r="B36" s="27" t="str">
        <f>Données!B36</f>
        <v>Cudrefin</v>
      </c>
      <c r="C36" s="8">
        <f>Données!C36+Données!D36</f>
        <v>3399900.98</v>
      </c>
      <c r="D36" s="8">
        <f>+Données!G36+Données!H36+Données!S36</f>
        <v>43378.059558906039</v>
      </c>
      <c r="E36" s="8">
        <f>+Données!E36</f>
        <v>0</v>
      </c>
      <c r="F36" s="8">
        <f>+Données!I36</f>
        <v>0</v>
      </c>
      <c r="G36" s="8">
        <f>+Données!J36</f>
        <v>34218.730000000003</v>
      </c>
      <c r="H36" s="8">
        <f>Données!U36</f>
        <v>-22900.59</v>
      </c>
      <c r="I36" s="216">
        <f>Données!V36</f>
        <v>0</v>
      </c>
      <c r="J36" s="216">
        <f>Données!W36</f>
        <v>-409.07</v>
      </c>
      <c r="K36" s="8">
        <f>+Données!Q36</f>
        <v>42.93</v>
      </c>
      <c r="L36" s="464">
        <f t="shared" si="1"/>
        <v>3454231.0395589066</v>
      </c>
      <c r="M36" s="8">
        <f>+Données!F36</f>
        <v>0</v>
      </c>
      <c r="N36" s="8">
        <f>+Données!K36</f>
        <v>-7000.35</v>
      </c>
      <c r="O36" s="8">
        <f>(Données!L36/Données!Y36)*1</f>
        <v>341295.73333333334</v>
      </c>
      <c r="P36" s="464">
        <f t="shared" si="2"/>
        <v>3788526.4228922399</v>
      </c>
      <c r="Q36" s="241">
        <f>+Données!X36</f>
        <v>59</v>
      </c>
      <c r="R36" s="464">
        <f t="shared" si="0"/>
        <v>64212.312252410848</v>
      </c>
    </row>
    <row r="37" spans="1:18" x14ac:dyDescent="0.25">
      <c r="A37" s="7">
        <f>Données!A37</f>
        <v>5458</v>
      </c>
      <c r="B37" s="27" t="str">
        <f>Données!B37</f>
        <v>Faoug</v>
      </c>
      <c r="C37" s="8">
        <f>Données!C37+Données!D37</f>
        <v>1860969.38</v>
      </c>
      <c r="D37" s="8">
        <f>+Données!G37+Données!H37+Données!S37</f>
        <v>16029.265036144174</v>
      </c>
      <c r="E37" s="8">
        <f>+Données!E37</f>
        <v>0</v>
      </c>
      <c r="F37" s="8">
        <f>+Données!I37</f>
        <v>0</v>
      </c>
      <c r="G37" s="8">
        <f>+Données!J37</f>
        <v>49454.2</v>
      </c>
      <c r="H37" s="8">
        <f>Données!U37</f>
        <v>-57688.77</v>
      </c>
      <c r="I37" s="216">
        <f>Données!V37</f>
        <v>0</v>
      </c>
      <c r="J37" s="216">
        <f>Données!W37</f>
        <v>-535</v>
      </c>
      <c r="K37" s="8">
        <f>+Données!Q37</f>
        <v>30227.78</v>
      </c>
      <c r="L37" s="464">
        <f t="shared" si="1"/>
        <v>1898456.8550361439</v>
      </c>
      <c r="M37" s="8">
        <f>+Données!F37</f>
        <v>0</v>
      </c>
      <c r="N37" s="8">
        <f>+Données!K37</f>
        <v>22318.75</v>
      </c>
      <c r="O37" s="8">
        <f>(Données!L37/Données!Y37)*1</f>
        <v>204000.30000000002</v>
      </c>
      <c r="P37" s="464">
        <f t="shared" si="2"/>
        <v>2124775.905036144</v>
      </c>
      <c r="Q37" s="241">
        <f>+Données!X37</f>
        <v>66</v>
      </c>
      <c r="R37" s="464">
        <f t="shared" si="0"/>
        <v>32193.574318729454</v>
      </c>
    </row>
    <row r="38" spans="1:18" x14ac:dyDescent="0.25">
      <c r="A38" s="7">
        <f>Données!A38</f>
        <v>5464</v>
      </c>
      <c r="B38" s="27" t="str">
        <f>Données!B38</f>
        <v>Vully-les-Lacs</v>
      </c>
      <c r="C38" s="8">
        <f>Données!C38+Données!D38</f>
        <v>6725612.1900000004</v>
      </c>
      <c r="D38" s="8">
        <f>+Données!G38+Données!H38+Données!S38</f>
        <v>49880.952563194012</v>
      </c>
      <c r="E38" s="8">
        <f>+Données!E38</f>
        <v>0</v>
      </c>
      <c r="F38" s="8">
        <f>+Données!I38</f>
        <v>0</v>
      </c>
      <c r="G38" s="8">
        <f>+Données!J38</f>
        <v>71492.95</v>
      </c>
      <c r="H38" s="8">
        <f>Données!U38</f>
        <v>-75302.34</v>
      </c>
      <c r="I38" s="216">
        <f>Données!V38</f>
        <v>0</v>
      </c>
      <c r="J38" s="216">
        <f>Données!W38</f>
        <v>-2639.33</v>
      </c>
      <c r="K38" s="8">
        <f>+Données!Q38</f>
        <v>9482.2800000000007</v>
      </c>
      <c r="L38" s="464">
        <f t="shared" si="1"/>
        <v>6778526.7025631946</v>
      </c>
      <c r="M38" s="8">
        <f>+Données!F38</f>
        <v>0</v>
      </c>
      <c r="N38" s="8">
        <f>+Données!K38</f>
        <v>14232.3</v>
      </c>
      <c r="O38" s="8">
        <f>(Données!L38/Données!Y38)*1</f>
        <v>683269.4</v>
      </c>
      <c r="P38" s="464">
        <f t="shared" si="2"/>
        <v>7476028.4025631947</v>
      </c>
      <c r="Q38" s="241">
        <f>+Données!X38</f>
        <v>67</v>
      </c>
      <c r="R38" s="464">
        <f t="shared" si="0"/>
        <v>111582.51347109246</v>
      </c>
    </row>
    <row r="39" spans="1:18" x14ac:dyDescent="0.25">
      <c r="A39" s="7">
        <f>Données!A39</f>
        <v>5471</v>
      </c>
      <c r="B39" s="27" t="str">
        <f>Données!B39</f>
        <v>Bettens</v>
      </c>
      <c r="C39" s="8">
        <f>Données!C39+Données!D39</f>
        <v>1238553</v>
      </c>
      <c r="D39" s="8">
        <f>+Données!G39+Données!H39+Données!S39</f>
        <v>17985.436804974885</v>
      </c>
      <c r="E39" s="8">
        <f>+Données!E39</f>
        <v>0</v>
      </c>
      <c r="F39" s="8">
        <f>+Données!I39</f>
        <v>0</v>
      </c>
      <c r="G39" s="8">
        <f>+Données!J39</f>
        <v>49518.400000000001</v>
      </c>
      <c r="H39" s="8">
        <f>Données!U39</f>
        <v>-14777.53</v>
      </c>
      <c r="I39" s="216">
        <f>Données!V39</f>
        <v>0</v>
      </c>
      <c r="J39" s="216">
        <f>Données!W39</f>
        <v>-435.55</v>
      </c>
      <c r="K39" s="8">
        <f>+Données!Q39</f>
        <v>0</v>
      </c>
      <c r="L39" s="464">
        <f t="shared" si="1"/>
        <v>1290843.7568049747</v>
      </c>
      <c r="M39" s="8">
        <f>+Données!F39</f>
        <v>0</v>
      </c>
      <c r="N39" s="8">
        <f>+Données!K39</f>
        <v>4158.25</v>
      </c>
      <c r="O39" s="8">
        <f>(Données!L39/Données!Y39)*1</f>
        <v>131610.11111111112</v>
      </c>
      <c r="P39" s="464">
        <f t="shared" si="2"/>
        <v>1426612.1179160858</v>
      </c>
      <c r="Q39" s="241">
        <f>+Données!X39</f>
        <v>70</v>
      </c>
      <c r="R39" s="464">
        <f t="shared" si="0"/>
        <v>20380.173113086941</v>
      </c>
    </row>
    <row r="40" spans="1:18" x14ac:dyDescent="0.25">
      <c r="A40" s="7">
        <f>Données!A40</f>
        <v>5472</v>
      </c>
      <c r="B40" s="27" t="str">
        <f>Données!B40</f>
        <v>Bournens</v>
      </c>
      <c r="C40" s="8">
        <f>Données!C40+Données!D40</f>
        <v>1345996.75</v>
      </c>
      <c r="D40" s="8">
        <f>+Données!G40+Données!H40+Données!S40</f>
        <v>15846.594566993512</v>
      </c>
      <c r="E40" s="8">
        <f>+Données!E40</f>
        <v>0</v>
      </c>
      <c r="F40" s="8">
        <f>+Données!I40</f>
        <v>0</v>
      </c>
      <c r="G40" s="8">
        <f>+Données!J40</f>
        <v>25542.11</v>
      </c>
      <c r="H40" s="8">
        <f>Données!U40</f>
        <v>-38254.06</v>
      </c>
      <c r="I40" s="216">
        <f>Données!V40</f>
        <v>0</v>
      </c>
      <c r="J40" s="216">
        <f>Données!W40</f>
        <v>-2314.36</v>
      </c>
      <c r="K40" s="8">
        <f>+Données!Q40</f>
        <v>10497.55</v>
      </c>
      <c r="L40" s="464">
        <f t="shared" si="1"/>
        <v>1357314.5845669934</v>
      </c>
      <c r="M40" s="8">
        <f>+Données!F40</f>
        <v>0</v>
      </c>
      <c r="N40" s="8">
        <f>+Données!K40</f>
        <v>640.25</v>
      </c>
      <c r="O40" s="8">
        <f>(Données!L40/Données!Y40)*1</f>
        <v>92037.65</v>
      </c>
      <c r="P40" s="464">
        <f t="shared" si="2"/>
        <v>1449992.4845669933</v>
      </c>
      <c r="Q40" s="241">
        <f>+Données!X40</f>
        <v>72</v>
      </c>
      <c r="R40" s="464">
        <f t="shared" si="0"/>
        <v>20138.784507874909</v>
      </c>
    </row>
    <row r="41" spans="1:18" x14ac:dyDescent="0.25">
      <c r="A41" s="7">
        <f>Données!A41</f>
        <v>5473</v>
      </c>
      <c r="B41" s="27" t="str">
        <f>Données!B41</f>
        <v>Boussens</v>
      </c>
      <c r="C41" s="8">
        <f>Données!C41+Données!D41</f>
        <v>2339688.4500000002</v>
      </c>
      <c r="D41" s="8">
        <f>+Données!G41+Données!H41+Données!S41</f>
        <v>28995.793640018372</v>
      </c>
      <c r="E41" s="8">
        <f>+Données!E41</f>
        <v>0</v>
      </c>
      <c r="F41" s="8">
        <f>+Données!I41</f>
        <v>0</v>
      </c>
      <c r="G41" s="8">
        <f>+Données!J41</f>
        <v>15808.71</v>
      </c>
      <c r="H41" s="8">
        <f>Données!U41</f>
        <v>-35099.97</v>
      </c>
      <c r="I41" s="216">
        <f>Données!V41</f>
        <v>0</v>
      </c>
      <c r="J41" s="216">
        <f>Données!W41</f>
        <v>-291.43</v>
      </c>
      <c r="K41" s="8">
        <f>+Données!Q41</f>
        <v>7627.71</v>
      </c>
      <c r="L41" s="464">
        <f t="shared" si="1"/>
        <v>2356729.2636400182</v>
      </c>
      <c r="M41" s="8">
        <f>+Données!F41</f>
        <v>0</v>
      </c>
      <c r="N41" s="8">
        <f>+Données!K41</f>
        <v>6176.2</v>
      </c>
      <c r="O41" s="8">
        <f>(Données!L41/Données!Y41)*1</f>
        <v>186339.9</v>
      </c>
      <c r="P41" s="464">
        <f t="shared" si="2"/>
        <v>2549245.3636400183</v>
      </c>
      <c r="Q41" s="241">
        <f>+Données!X41</f>
        <v>67.5</v>
      </c>
      <c r="R41" s="464">
        <f t="shared" si="0"/>
        <v>37766.597979852122</v>
      </c>
    </row>
    <row r="42" spans="1:18" x14ac:dyDescent="0.25">
      <c r="A42" s="7">
        <f>Données!A42</f>
        <v>5474</v>
      </c>
      <c r="B42" s="27" t="str">
        <f>Données!B42</f>
        <v>La Chaux (Cossonay)</v>
      </c>
      <c r="C42" s="8">
        <f>Données!C42+Données!D42</f>
        <v>901629.54999999993</v>
      </c>
      <c r="D42" s="8">
        <f>+Données!G42+Données!H42+Données!S42</f>
        <v>3360.3789370087034</v>
      </c>
      <c r="E42" s="8">
        <f>+Données!E42</f>
        <v>0</v>
      </c>
      <c r="F42" s="8">
        <f>+Données!I42</f>
        <v>37654</v>
      </c>
      <c r="G42" s="8">
        <f>+Données!J42</f>
        <v>3514.83</v>
      </c>
      <c r="H42" s="8">
        <f>Données!U42</f>
        <v>-3161.84</v>
      </c>
      <c r="I42" s="216">
        <f>Données!V42</f>
        <v>0</v>
      </c>
      <c r="J42" s="216">
        <f>Données!W42</f>
        <v>-63.88</v>
      </c>
      <c r="K42" s="8">
        <f>+Données!Q42</f>
        <v>0</v>
      </c>
      <c r="L42" s="464">
        <f t="shared" si="1"/>
        <v>942933.03893700859</v>
      </c>
      <c r="M42" s="8">
        <f>+Données!F42</f>
        <v>0</v>
      </c>
      <c r="N42" s="8">
        <f>+Données!K42</f>
        <v>665</v>
      </c>
      <c r="O42" s="8">
        <f>(Données!L42/Données!Y42)*1</f>
        <v>71389.291666666672</v>
      </c>
      <c r="P42" s="464">
        <f t="shared" si="2"/>
        <v>1014987.3306036752</v>
      </c>
      <c r="Q42" s="241">
        <f>+Données!X42</f>
        <v>77</v>
      </c>
      <c r="R42" s="464">
        <f t="shared" si="0"/>
        <v>13181.653644203574</v>
      </c>
    </row>
    <row r="43" spans="1:18" x14ac:dyDescent="0.25">
      <c r="A43" s="7">
        <f>Données!A43</f>
        <v>5475</v>
      </c>
      <c r="B43" s="27" t="str">
        <f>Données!B43</f>
        <v>Chavannes-le-Veyron</v>
      </c>
      <c r="C43" s="8">
        <f>Données!C43+Données!D43</f>
        <v>281457.48</v>
      </c>
      <c r="D43" s="8">
        <f>+Données!G43+Données!H43+Données!S43</f>
        <v>471.14376188212481</v>
      </c>
      <c r="E43" s="8">
        <f>+Données!E43</f>
        <v>0</v>
      </c>
      <c r="F43" s="8">
        <f>+Données!I43</f>
        <v>0</v>
      </c>
      <c r="G43" s="8">
        <f>+Données!J43</f>
        <v>3838.68</v>
      </c>
      <c r="H43" s="8">
        <f>Données!U43</f>
        <v>-10215.799999999999</v>
      </c>
      <c r="I43" s="216">
        <f>Données!V43</f>
        <v>0</v>
      </c>
      <c r="J43" s="216">
        <f>Données!W43</f>
        <v>0</v>
      </c>
      <c r="K43" s="8">
        <f>+Données!Q43</f>
        <v>0</v>
      </c>
      <c r="L43" s="464">
        <f t="shared" si="1"/>
        <v>275551.50376188214</v>
      </c>
      <c r="M43" s="8">
        <f>+Données!F43</f>
        <v>0</v>
      </c>
      <c r="N43" s="8">
        <f>+Données!K43</f>
        <v>0</v>
      </c>
      <c r="O43" s="8">
        <f>(Données!L43/Données!Y43)*1</f>
        <v>22788.3</v>
      </c>
      <c r="P43" s="464">
        <f t="shared" si="2"/>
        <v>298339.80376188213</v>
      </c>
      <c r="Q43" s="241">
        <f>+Données!X43</f>
        <v>77</v>
      </c>
      <c r="R43" s="464">
        <f t="shared" si="0"/>
        <v>3874.542905998469</v>
      </c>
    </row>
    <row r="44" spans="1:18" x14ac:dyDescent="0.25">
      <c r="A44" s="7">
        <f>Données!A44</f>
        <v>5476</v>
      </c>
      <c r="B44" s="27" t="str">
        <f>Données!B44</f>
        <v>Chevilly</v>
      </c>
      <c r="C44" s="8">
        <f>Données!C44+Données!D44</f>
        <v>821486.68</v>
      </c>
      <c r="D44" s="8">
        <f>+Données!G44+Données!H44+Données!S44</f>
        <v>-1514.4</v>
      </c>
      <c r="E44" s="8">
        <f>+Données!E44</f>
        <v>0</v>
      </c>
      <c r="F44" s="8">
        <f>+Données!I44</f>
        <v>0</v>
      </c>
      <c r="G44" s="8">
        <f>+Données!J44</f>
        <v>-1416.62</v>
      </c>
      <c r="H44" s="8">
        <f>Données!U44</f>
        <v>-17755.439999999999</v>
      </c>
      <c r="I44" s="216">
        <f>Données!V44</f>
        <v>0</v>
      </c>
      <c r="J44" s="216">
        <f>Données!W44</f>
        <v>-1180.55</v>
      </c>
      <c r="K44" s="8">
        <f>+Données!Q44</f>
        <v>15596.19</v>
      </c>
      <c r="L44" s="464">
        <f t="shared" si="1"/>
        <v>815215.86</v>
      </c>
      <c r="M44" s="8">
        <f>+Données!F44</f>
        <v>0</v>
      </c>
      <c r="N44" s="8">
        <f>+Données!K44</f>
        <v>0</v>
      </c>
      <c r="O44" s="8">
        <f>(Données!L44/Données!Y44)*1</f>
        <v>61081.15</v>
      </c>
      <c r="P44" s="464">
        <f t="shared" si="2"/>
        <v>876297.01</v>
      </c>
      <c r="Q44" s="241">
        <f>+Données!X44</f>
        <v>74</v>
      </c>
      <c r="R44" s="464">
        <f t="shared" si="0"/>
        <v>11841.851486486486</v>
      </c>
    </row>
    <row r="45" spans="1:18" x14ac:dyDescent="0.25">
      <c r="A45" s="7">
        <f>Données!A45</f>
        <v>5477</v>
      </c>
      <c r="B45" s="27" t="str">
        <f>Données!B45</f>
        <v>Cossonay</v>
      </c>
      <c r="C45" s="8">
        <f>Données!C45+Données!D45</f>
        <v>8632539.3900000006</v>
      </c>
      <c r="D45" s="8">
        <f>+Données!G45+Données!H45+Données!S45</f>
        <v>383221.67039194022</v>
      </c>
      <c r="E45" s="8">
        <f>+Données!E45</f>
        <v>0</v>
      </c>
      <c r="F45" s="8">
        <f>+Données!I45</f>
        <v>0</v>
      </c>
      <c r="G45" s="8">
        <f>+Données!J45</f>
        <v>225196.08</v>
      </c>
      <c r="H45" s="8">
        <f>Données!U45</f>
        <v>-1816304.42</v>
      </c>
      <c r="I45" s="216">
        <f>Données!V45</f>
        <v>0</v>
      </c>
      <c r="J45" s="216">
        <f>Données!W45</f>
        <v>-3034.85</v>
      </c>
      <c r="K45" s="8">
        <f>+Données!Q45</f>
        <v>84909.06</v>
      </c>
      <c r="L45" s="464">
        <f t="shared" si="1"/>
        <v>7506526.9303919403</v>
      </c>
      <c r="M45" s="8">
        <f>+Données!F45</f>
        <v>0</v>
      </c>
      <c r="N45" s="8">
        <f>+Données!K45</f>
        <v>42523.75</v>
      </c>
      <c r="O45" s="8">
        <f>(Données!L45/Données!Y45)*1</f>
        <v>724533.6</v>
      </c>
      <c r="P45" s="464">
        <f t="shared" si="2"/>
        <v>8273584.2803919399</v>
      </c>
      <c r="Q45" s="241">
        <f>+Données!X45</f>
        <v>69.5</v>
      </c>
      <c r="R45" s="464">
        <f t="shared" si="0"/>
        <v>119044.37813513582</v>
      </c>
    </row>
    <row r="46" spans="1:18" x14ac:dyDescent="0.25">
      <c r="A46" s="7">
        <f>Données!A46</f>
        <v>5479</v>
      </c>
      <c r="B46" s="27" t="str">
        <f>Données!B46</f>
        <v>Cuarnens</v>
      </c>
      <c r="C46" s="8">
        <f>Données!C46+Données!D46</f>
        <v>1141845.5599999998</v>
      </c>
      <c r="D46" s="8">
        <f>+Données!G46+Données!H46+Données!S46</f>
        <v>17026.622737413116</v>
      </c>
      <c r="E46" s="8">
        <f>+Données!E46</f>
        <v>0</v>
      </c>
      <c r="F46" s="8">
        <f>+Données!I46</f>
        <v>136813.5</v>
      </c>
      <c r="G46" s="8">
        <f>+Données!J46</f>
        <v>11675.49</v>
      </c>
      <c r="H46" s="8">
        <f>Données!U46</f>
        <v>-4126.4399999999996</v>
      </c>
      <c r="I46" s="216">
        <f>Données!V46</f>
        <v>0</v>
      </c>
      <c r="J46" s="216">
        <f>Données!W46</f>
        <v>0</v>
      </c>
      <c r="K46" s="8">
        <f>+Données!Q46</f>
        <v>0</v>
      </c>
      <c r="L46" s="464">
        <f t="shared" si="1"/>
        <v>1303234.7327374129</v>
      </c>
      <c r="M46" s="8">
        <f>+Données!F46</f>
        <v>0</v>
      </c>
      <c r="N46" s="8">
        <f>+Données!K46</f>
        <v>1973.25</v>
      </c>
      <c r="O46" s="8">
        <f>(Données!L46/Données!Y46)*1</f>
        <v>85764.75</v>
      </c>
      <c r="P46" s="464">
        <f t="shared" si="2"/>
        <v>1390972.7327374129</v>
      </c>
      <c r="Q46" s="241">
        <f>+Données!X46</f>
        <v>77</v>
      </c>
      <c r="R46" s="464">
        <f t="shared" si="0"/>
        <v>18064.580944641726</v>
      </c>
    </row>
    <row r="47" spans="1:18" x14ac:dyDescent="0.25">
      <c r="A47" s="7">
        <f>Données!A47</f>
        <v>5480</v>
      </c>
      <c r="B47" s="27" t="str">
        <f>Données!B47</f>
        <v>Daillens</v>
      </c>
      <c r="C47" s="8">
        <f>Données!C47+Données!D47</f>
        <v>2354337.7600000002</v>
      </c>
      <c r="D47" s="8">
        <f>+Données!G47+Données!H47+Données!S47</f>
        <v>32209.410279449759</v>
      </c>
      <c r="E47" s="8">
        <f>+Données!E47</f>
        <v>0</v>
      </c>
      <c r="F47" s="8">
        <f>+Données!I47</f>
        <v>0</v>
      </c>
      <c r="G47" s="8">
        <f>+Données!J47</f>
        <v>21681</v>
      </c>
      <c r="H47" s="8">
        <f>Données!U47</f>
        <v>-33354.28</v>
      </c>
      <c r="I47" s="216">
        <f>Données!V47</f>
        <v>0</v>
      </c>
      <c r="J47" s="216">
        <f>Données!W47</f>
        <v>-758.12</v>
      </c>
      <c r="K47" s="8">
        <f>+Données!Q47</f>
        <v>11525.4</v>
      </c>
      <c r="L47" s="464">
        <f t="shared" si="1"/>
        <v>2385641.1702794498</v>
      </c>
      <c r="M47" s="8">
        <f>+Données!F47</f>
        <v>0</v>
      </c>
      <c r="N47" s="8">
        <f>+Données!K47</f>
        <v>11300.15</v>
      </c>
      <c r="O47" s="8">
        <f>(Données!L47/Données!Y47)*1</f>
        <v>306929.25</v>
      </c>
      <c r="P47" s="464">
        <f t="shared" si="2"/>
        <v>2703870.5702794497</v>
      </c>
      <c r="Q47" s="241">
        <f>+Données!X47</f>
        <v>66</v>
      </c>
      <c r="R47" s="464">
        <f t="shared" si="0"/>
        <v>40967.735913324992</v>
      </c>
    </row>
    <row r="48" spans="1:18" x14ac:dyDescent="0.25">
      <c r="A48" s="7">
        <f>Données!A48</f>
        <v>5481</v>
      </c>
      <c r="B48" s="27" t="str">
        <f>Données!B48</f>
        <v>Dizy</v>
      </c>
      <c r="C48" s="8">
        <f>Données!C48+Données!D48</f>
        <v>495699.39</v>
      </c>
      <c r="D48" s="8">
        <f>+Données!G48+Données!H48+Données!S48</f>
        <v>66511.816736844587</v>
      </c>
      <c r="E48" s="8">
        <f>+Données!E48</f>
        <v>0</v>
      </c>
      <c r="F48" s="8">
        <f>+Données!I48</f>
        <v>0</v>
      </c>
      <c r="G48" s="8">
        <f>+Données!J48</f>
        <v>4904.03</v>
      </c>
      <c r="H48" s="8">
        <f>Données!U48</f>
        <v>-1618.39</v>
      </c>
      <c r="I48" s="216">
        <f>Données!V48</f>
        <v>0</v>
      </c>
      <c r="J48" s="216">
        <f>Données!W48</f>
        <v>0</v>
      </c>
      <c r="K48" s="8">
        <f>+Données!Q48</f>
        <v>3326.95</v>
      </c>
      <c r="L48" s="464">
        <f t="shared" si="1"/>
        <v>568823.79673684458</v>
      </c>
      <c r="M48" s="8">
        <f>+Données!F48</f>
        <v>0</v>
      </c>
      <c r="N48" s="8">
        <f>+Données!K48</f>
        <v>0</v>
      </c>
      <c r="O48" s="8">
        <f>(Données!L48/Données!Y48)*1</f>
        <v>39166.050000000003</v>
      </c>
      <c r="P48" s="464">
        <f t="shared" si="2"/>
        <v>607989.84673684463</v>
      </c>
      <c r="Q48" s="241">
        <f>+Données!X48</f>
        <v>75</v>
      </c>
      <c r="R48" s="464">
        <f t="shared" si="0"/>
        <v>8106.5312898245948</v>
      </c>
    </row>
    <row r="49" spans="1:18" x14ac:dyDescent="0.25">
      <c r="A49" s="7">
        <f>Données!A49</f>
        <v>5482</v>
      </c>
      <c r="B49" s="27" t="str">
        <f>Données!B49</f>
        <v>Eclépens</v>
      </c>
      <c r="C49" s="8">
        <f>Données!C49+Données!D49</f>
        <v>1623951.9100000001</v>
      </c>
      <c r="D49" s="8">
        <f>+Données!G49+Données!H49+Données!S49</f>
        <v>1102176.9484192163</v>
      </c>
      <c r="E49" s="8">
        <f>+Données!E49</f>
        <v>0</v>
      </c>
      <c r="F49" s="8">
        <f>+Données!I49</f>
        <v>0</v>
      </c>
      <c r="G49" s="8">
        <f>+Données!J49</f>
        <v>74027.98</v>
      </c>
      <c r="H49" s="8">
        <f>Données!U49</f>
        <v>-33996.83</v>
      </c>
      <c r="I49" s="216">
        <f>Données!V49</f>
        <v>0</v>
      </c>
      <c r="J49" s="216">
        <f>Données!W49</f>
        <v>-652.01</v>
      </c>
      <c r="K49" s="8">
        <f>+Données!Q49</f>
        <v>6323.09</v>
      </c>
      <c r="L49" s="464">
        <f t="shared" si="1"/>
        <v>2771831.0884192162</v>
      </c>
      <c r="M49" s="8">
        <f>+Données!F49</f>
        <v>0</v>
      </c>
      <c r="N49" s="8">
        <f>+Données!K49</f>
        <v>41453.800000000003</v>
      </c>
      <c r="O49" s="8">
        <f>(Données!L49/Données!Y49)*1</f>
        <v>426745.35</v>
      </c>
      <c r="P49" s="464">
        <f t="shared" si="2"/>
        <v>3240030.2384192161</v>
      </c>
      <c r="Q49" s="241">
        <f>+Données!X49</f>
        <v>46</v>
      </c>
      <c r="R49" s="464">
        <f t="shared" si="0"/>
        <v>70435.439965635131</v>
      </c>
    </row>
    <row r="50" spans="1:18" x14ac:dyDescent="0.25">
      <c r="A50" s="7">
        <f>Données!A50</f>
        <v>5483</v>
      </c>
      <c r="B50" s="27" t="str">
        <f>Données!B50</f>
        <v>Ferreyres</v>
      </c>
      <c r="C50" s="8">
        <f>Données!C50+Données!D50</f>
        <v>754691.22</v>
      </c>
      <c r="D50" s="8">
        <f>+Données!G50+Données!H50+Données!S50</f>
        <v>10077.128712364252</v>
      </c>
      <c r="E50" s="8">
        <f>+Données!E50</f>
        <v>0</v>
      </c>
      <c r="F50" s="8">
        <f>+Données!I50</f>
        <v>0</v>
      </c>
      <c r="G50" s="8">
        <f>+Données!J50</f>
        <v>1743.05</v>
      </c>
      <c r="H50" s="8">
        <f>Données!U50</f>
        <v>-247.76</v>
      </c>
      <c r="I50" s="216">
        <f>Données!V50</f>
        <v>0</v>
      </c>
      <c r="J50" s="216">
        <f>Données!W50</f>
        <v>-1695.75</v>
      </c>
      <c r="K50" s="8">
        <f>+Données!Q50</f>
        <v>0</v>
      </c>
      <c r="L50" s="464">
        <f t="shared" si="1"/>
        <v>764567.88871236425</v>
      </c>
      <c r="M50" s="8">
        <f>+Données!F50</f>
        <v>0</v>
      </c>
      <c r="N50" s="8">
        <f>+Données!K50</f>
        <v>702</v>
      </c>
      <c r="O50" s="8">
        <f>(Données!L50/Données!Y50)*1</f>
        <v>56873.65</v>
      </c>
      <c r="P50" s="464">
        <f t="shared" si="2"/>
        <v>822143.53871236427</v>
      </c>
      <c r="Q50" s="241">
        <f>+Données!X50</f>
        <v>76</v>
      </c>
      <c r="R50" s="464">
        <f t="shared" si="0"/>
        <v>10817.678140952161</v>
      </c>
    </row>
    <row r="51" spans="1:18" x14ac:dyDescent="0.25">
      <c r="A51" s="7">
        <f>Données!A51</f>
        <v>5484</v>
      </c>
      <c r="B51" s="27" t="str">
        <f>Données!B51</f>
        <v>Gollion</v>
      </c>
      <c r="C51" s="8">
        <f>Données!C51+Données!D51</f>
        <v>2244594.5499999998</v>
      </c>
      <c r="D51" s="8">
        <f>+Données!G51+Données!H51+Données!S51</f>
        <v>105667.04237544809</v>
      </c>
      <c r="E51" s="8">
        <f>+Données!E51</f>
        <v>0</v>
      </c>
      <c r="F51" s="8">
        <f>+Données!I51</f>
        <v>0</v>
      </c>
      <c r="G51" s="8">
        <f>+Données!J51</f>
        <v>55357.64</v>
      </c>
      <c r="H51" s="8">
        <f>Données!U51</f>
        <v>-11351.64</v>
      </c>
      <c r="I51" s="216">
        <f>Données!V51</f>
        <v>0</v>
      </c>
      <c r="J51" s="216">
        <f>Données!W51</f>
        <v>-257.26</v>
      </c>
      <c r="K51" s="8">
        <f>+Données!Q51</f>
        <v>2417.2399999999998</v>
      </c>
      <c r="L51" s="464">
        <f t="shared" si="1"/>
        <v>2396427.5723754484</v>
      </c>
      <c r="M51" s="8">
        <f>+Données!F51</f>
        <v>0</v>
      </c>
      <c r="N51" s="8">
        <f>+Données!K51</f>
        <v>7066.75</v>
      </c>
      <c r="O51" s="8">
        <f>(Données!L51/Données!Y51)*1</f>
        <v>184181.25</v>
      </c>
      <c r="P51" s="464">
        <f t="shared" si="2"/>
        <v>2587675.5723754484</v>
      </c>
      <c r="Q51" s="241">
        <f>+Données!X51</f>
        <v>74</v>
      </c>
      <c r="R51" s="464">
        <f t="shared" si="0"/>
        <v>34968.588815884439</v>
      </c>
    </row>
    <row r="52" spans="1:18" x14ac:dyDescent="0.25">
      <c r="A52" s="7">
        <f>Données!A52</f>
        <v>5485</v>
      </c>
      <c r="B52" s="27" t="str">
        <f>Données!B52</f>
        <v>Grancy</v>
      </c>
      <c r="C52" s="8">
        <f>Données!C52+Données!D52</f>
        <v>919383.6100000001</v>
      </c>
      <c r="D52" s="8">
        <f>+Données!G52+Données!H52+Données!S52</f>
        <v>14100.326376029643</v>
      </c>
      <c r="E52" s="8">
        <f>+Données!E52</f>
        <v>0</v>
      </c>
      <c r="F52" s="8">
        <f>+Données!I52</f>
        <v>0</v>
      </c>
      <c r="G52" s="8">
        <f>+Données!J52</f>
        <v>24736.73</v>
      </c>
      <c r="H52" s="8">
        <f>Données!U52</f>
        <v>-37256.61</v>
      </c>
      <c r="I52" s="216">
        <f>Données!V52</f>
        <v>0</v>
      </c>
      <c r="J52" s="216">
        <f>Données!W52</f>
        <v>-241.55</v>
      </c>
      <c r="K52" s="8">
        <f>+Données!Q52</f>
        <v>20445.93</v>
      </c>
      <c r="L52" s="464">
        <f t="shared" si="1"/>
        <v>941168.43637602974</v>
      </c>
      <c r="M52" s="8">
        <f>+Données!F52</f>
        <v>0</v>
      </c>
      <c r="N52" s="8">
        <f>+Données!K52</f>
        <v>319</v>
      </c>
      <c r="O52" s="8">
        <f>(Données!L52/Données!Y52)*1</f>
        <v>76196.850000000006</v>
      </c>
      <c r="P52" s="464">
        <f t="shared" si="2"/>
        <v>1017684.2863760297</v>
      </c>
      <c r="Q52" s="241">
        <f>+Données!X52</f>
        <v>70</v>
      </c>
      <c r="R52" s="464">
        <f t="shared" si="0"/>
        <v>14538.346948228997</v>
      </c>
    </row>
    <row r="53" spans="1:18" x14ac:dyDescent="0.25">
      <c r="A53" s="7">
        <f>Données!A53</f>
        <v>5486</v>
      </c>
      <c r="B53" s="27" t="str">
        <f>Données!B53</f>
        <v>L'Isle</v>
      </c>
      <c r="C53" s="8">
        <f>Données!C53+Données!D53</f>
        <v>2524564.65</v>
      </c>
      <c r="D53" s="8">
        <f>+Données!G53+Données!H53+Données!S53</f>
        <v>21747.174662780508</v>
      </c>
      <c r="E53" s="8">
        <f>+Données!E53</f>
        <v>0</v>
      </c>
      <c r="F53" s="8">
        <f>+Données!I53</f>
        <v>35256</v>
      </c>
      <c r="G53" s="8">
        <f>+Données!J53</f>
        <v>46072.47</v>
      </c>
      <c r="H53" s="8">
        <f>Données!U53</f>
        <v>-26862.79</v>
      </c>
      <c r="I53" s="216">
        <f>Données!V53</f>
        <v>0</v>
      </c>
      <c r="J53" s="216">
        <f>Données!W53</f>
        <v>-0.52</v>
      </c>
      <c r="K53" s="8">
        <f>+Données!Q53</f>
        <v>5606.47</v>
      </c>
      <c r="L53" s="464">
        <f t="shared" si="1"/>
        <v>2606383.4546627807</v>
      </c>
      <c r="M53" s="8">
        <f>+Données!F53</f>
        <v>0</v>
      </c>
      <c r="N53" s="8">
        <f>+Données!K53</f>
        <v>9098.7999999999993</v>
      </c>
      <c r="O53" s="8">
        <f>(Données!L53/Données!Y53)*1</f>
        <v>193552.3</v>
      </c>
      <c r="P53" s="464">
        <f t="shared" si="2"/>
        <v>2809034.5546627804</v>
      </c>
      <c r="Q53" s="241">
        <f>+Données!X53</f>
        <v>75</v>
      </c>
      <c r="R53" s="464">
        <f t="shared" si="0"/>
        <v>37453.794062170404</v>
      </c>
    </row>
    <row r="54" spans="1:18" x14ac:dyDescent="0.25">
      <c r="A54" s="7">
        <f>Données!A54</f>
        <v>5487</v>
      </c>
      <c r="B54" s="27" t="str">
        <f>Données!B54</f>
        <v>Lussery-Villars</v>
      </c>
      <c r="C54" s="8">
        <f>Données!C54+Données!D54</f>
        <v>889439.77</v>
      </c>
      <c r="D54" s="8">
        <f>+Données!G54+Données!H54+Données!S54</f>
        <v>-414.9</v>
      </c>
      <c r="E54" s="8">
        <f>+Données!E54</f>
        <v>0</v>
      </c>
      <c r="F54" s="8">
        <f>+Données!I54</f>
        <v>0</v>
      </c>
      <c r="G54" s="8">
        <f>+Données!J54</f>
        <v>4392.13</v>
      </c>
      <c r="H54" s="8">
        <f>Données!U54</f>
        <v>-6686.12</v>
      </c>
      <c r="I54" s="216">
        <f>Données!V54</f>
        <v>0</v>
      </c>
      <c r="J54" s="216">
        <f>Données!W54</f>
        <v>-332.3</v>
      </c>
      <c r="K54" s="8">
        <f>+Données!Q54</f>
        <v>384.3</v>
      </c>
      <c r="L54" s="464">
        <f t="shared" si="1"/>
        <v>886782.88</v>
      </c>
      <c r="M54" s="8">
        <f>+Données!F54</f>
        <v>0</v>
      </c>
      <c r="N54" s="8">
        <f>+Données!K54</f>
        <v>994</v>
      </c>
      <c r="O54" s="8">
        <f>(Données!L54/Données!Y54)*1</f>
        <v>79012.800000000003</v>
      </c>
      <c r="P54" s="464">
        <f t="shared" si="2"/>
        <v>966789.68</v>
      </c>
      <c r="Q54" s="241">
        <f>+Données!X54</f>
        <v>75</v>
      </c>
      <c r="R54" s="464">
        <f t="shared" si="0"/>
        <v>12890.529066666668</v>
      </c>
    </row>
    <row r="55" spans="1:18" x14ac:dyDescent="0.25">
      <c r="A55" s="7">
        <f>Données!A55</f>
        <v>5488</v>
      </c>
      <c r="B55" s="27" t="str">
        <f>Données!B55</f>
        <v>Mauraz</v>
      </c>
      <c r="C55" s="8">
        <f>Données!C55+Données!D55</f>
        <v>114146.48000000001</v>
      </c>
      <c r="D55" s="8">
        <f>+Données!G55+Données!H55+Données!S55</f>
        <v>1006.8014405818112</v>
      </c>
      <c r="E55" s="8">
        <f>+Données!E55</f>
        <v>0</v>
      </c>
      <c r="F55" s="8">
        <f>+Données!I55</f>
        <v>0</v>
      </c>
      <c r="G55" s="8">
        <f>+Données!J55</f>
        <v>2109.0500000000002</v>
      </c>
      <c r="H55" s="8">
        <f>Données!U55</f>
        <v>-15.48</v>
      </c>
      <c r="I55" s="216">
        <f>Données!V55</f>
        <v>0</v>
      </c>
      <c r="J55" s="216">
        <f>Données!W55</f>
        <v>-16.309999999999999</v>
      </c>
      <c r="K55" s="8">
        <f>+Données!Q55</f>
        <v>0</v>
      </c>
      <c r="L55" s="464">
        <f t="shared" si="1"/>
        <v>117230.54144058183</v>
      </c>
      <c r="M55" s="8">
        <f>+Données!F55</f>
        <v>0</v>
      </c>
      <c r="N55" s="8">
        <f>+Données!K55</f>
        <v>0</v>
      </c>
      <c r="O55" s="8">
        <f>(Données!L55/Données!Y55)*1</f>
        <v>8426</v>
      </c>
      <c r="P55" s="464">
        <f t="shared" si="2"/>
        <v>125656.54144058183</v>
      </c>
      <c r="Q55" s="241">
        <f>+Données!X55</f>
        <v>77</v>
      </c>
      <c r="R55" s="464">
        <f t="shared" si="0"/>
        <v>1631.9031355919719</v>
      </c>
    </row>
    <row r="56" spans="1:18" x14ac:dyDescent="0.25">
      <c r="A56" s="7">
        <f>Données!A56</f>
        <v>5489</v>
      </c>
      <c r="B56" s="27" t="str">
        <f>Données!B56</f>
        <v>Mex</v>
      </c>
      <c r="C56" s="8">
        <f>Données!C56+Données!D56</f>
        <v>2546362.77</v>
      </c>
      <c r="D56" s="8">
        <f>+Données!G56+Données!H56+Données!S56</f>
        <v>584479.6826664221</v>
      </c>
      <c r="E56" s="8">
        <f>+Données!E56</f>
        <v>0</v>
      </c>
      <c r="F56" s="8">
        <f>+Données!I56</f>
        <v>0</v>
      </c>
      <c r="G56" s="8">
        <f>+Données!J56</f>
        <v>37440.42</v>
      </c>
      <c r="H56" s="8">
        <f>Données!U56</f>
        <v>-49065.04</v>
      </c>
      <c r="I56" s="216">
        <f>Données!V56</f>
        <v>0</v>
      </c>
      <c r="J56" s="216">
        <f>Données!W56</f>
        <v>-846.97</v>
      </c>
      <c r="K56" s="8">
        <f>+Données!Q56</f>
        <v>1202.4000000000001</v>
      </c>
      <c r="L56" s="464">
        <f t="shared" si="1"/>
        <v>3119573.2626664219</v>
      </c>
      <c r="M56" s="8">
        <f>+Données!F56</f>
        <v>0</v>
      </c>
      <c r="N56" s="8">
        <f>+Données!K56</f>
        <v>6591.5</v>
      </c>
      <c r="O56" s="8">
        <f>(Données!L56/Données!Y56)*1</f>
        <v>293345.55</v>
      </c>
      <c r="P56" s="464">
        <f t="shared" si="2"/>
        <v>3419510.3126664218</v>
      </c>
      <c r="Q56" s="241">
        <f>+Données!X56</f>
        <v>59.5</v>
      </c>
      <c r="R56" s="464">
        <f t="shared" si="0"/>
        <v>57470.761557418853</v>
      </c>
    </row>
    <row r="57" spans="1:18" x14ac:dyDescent="0.25">
      <c r="A57" s="7">
        <f>Données!A57</f>
        <v>5490</v>
      </c>
      <c r="B57" s="27" t="str">
        <f>Données!B57</f>
        <v>Moiry</v>
      </c>
      <c r="C57" s="8">
        <f>Données!C57+Données!D57</f>
        <v>642374.35</v>
      </c>
      <c r="D57" s="8">
        <f>+Données!G57+Données!H57+Données!S57</f>
        <v>829.62151754328238</v>
      </c>
      <c r="E57" s="8">
        <f>+Données!E57</f>
        <v>0</v>
      </c>
      <c r="F57" s="8">
        <f>+Données!I57</f>
        <v>0</v>
      </c>
      <c r="G57" s="8">
        <f>+Données!J57</f>
        <v>-683.29</v>
      </c>
      <c r="H57" s="8">
        <f>Données!U57</f>
        <v>-17085.490000000002</v>
      </c>
      <c r="I57" s="216">
        <f>Données!V57</f>
        <v>0</v>
      </c>
      <c r="J57" s="216">
        <f>Données!W57</f>
        <v>-718.97</v>
      </c>
      <c r="K57" s="8">
        <f>+Données!Q57</f>
        <v>0</v>
      </c>
      <c r="L57" s="464">
        <f t="shared" si="1"/>
        <v>624716.22151754331</v>
      </c>
      <c r="M57" s="8">
        <f>+Données!F57</f>
        <v>0</v>
      </c>
      <c r="N57" s="8">
        <f>+Données!K57</f>
        <v>0</v>
      </c>
      <c r="O57" s="8">
        <f>(Données!L57/Données!Y57)*1</f>
        <v>46100.25</v>
      </c>
      <c r="P57" s="464">
        <f t="shared" si="2"/>
        <v>670816.47151754331</v>
      </c>
      <c r="Q57" s="241">
        <f>+Données!X57</f>
        <v>77.5</v>
      </c>
      <c r="R57" s="464">
        <f t="shared" si="0"/>
        <v>8655.6964066779783</v>
      </c>
    </row>
    <row r="58" spans="1:18" x14ac:dyDescent="0.25">
      <c r="A58" s="7">
        <f>Données!A58</f>
        <v>5491</v>
      </c>
      <c r="B58" s="27" t="str">
        <f>Données!B58</f>
        <v>Mont-la-Ville</v>
      </c>
      <c r="C58" s="8">
        <f>Données!C58+Données!D58</f>
        <v>982975.96</v>
      </c>
      <c r="D58" s="8">
        <f>+Données!G58+Données!H58+Données!S58</f>
        <v>17903.737478826351</v>
      </c>
      <c r="E58" s="8">
        <f>+Données!E58</f>
        <v>0</v>
      </c>
      <c r="F58" s="8">
        <f>+Données!I58</f>
        <v>0</v>
      </c>
      <c r="G58" s="8">
        <f>+Données!J58</f>
        <v>8918.35</v>
      </c>
      <c r="H58" s="8">
        <f>Données!U58</f>
        <v>-15167.75</v>
      </c>
      <c r="I58" s="216">
        <f>Données!V58</f>
        <v>0</v>
      </c>
      <c r="J58" s="216">
        <f>Données!W58</f>
        <v>0</v>
      </c>
      <c r="K58" s="8">
        <f>+Données!Q58</f>
        <v>705.45</v>
      </c>
      <c r="L58" s="464">
        <f t="shared" si="1"/>
        <v>995335.7474788262</v>
      </c>
      <c r="M58" s="8">
        <f>+Données!F58</f>
        <v>2590</v>
      </c>
      <c r="N58" s="8">
        <f>+Données!K58</f>
        <v>1245.75</v>
      </c>
      <c r="O58" s="8">
        <f>(Données!L58/Données!Y58)*1</f>
        <v>89042.1</v>
      </c>
      <c r="P58" s="464">
        <f t="shared" si="2"/>
        <v>1088213.5974788263</v>
      </c>
      <c r="Q58" s="241">
        <f>+Données!X58</f>
        <v>76</v>
      </c>
      <c r="R58" s="464">
        <f t="shared" si="0"/>
        <v>14318.599966826661</v>
      </c>
    </row>
    <row r="59" spans="1:18" x14ac:dyDescent="0.25">
      <c r="A59" s="7">
        <f>Données!A59</f>
        <v>5492</v>
      </c>
      <c r="B59" s="27" t="str">
        <f>Données!B59</f>
        <v>Montricher</v>
      </c>
      <c r="C59" s="8">
        <f>Données!C59+Données!D59</f>
        <v>9727930.3499999996</v>
      </c>
      <c r="D59" s="8">
        <f>+Données!G59+Données!H59+Données!S59</f>
        <v>41231.256029062068</v>
      </c>
      <c r="E59" s="8">
        <f>+Données!E59</f>
        <v>0</v>
      </c>
      <c r="F59" s="8">
        <f>+Données!I59</f>
        <v>0</v>
      </c>
      <c r="G59" s="8">
        <f>+Données!J59</f>
        <v>101215.21</v>
      </c>
      <c r="H59" s="8">
        <f>Données!U59</f>
        <v>-62889.32</v>
      </c>
      <c r="I59" s="216">
        <f>Données!V59</f>
        <v>0</v>
      </c>
      <c r="J59" s="216">
        <f>Données!W59</f>
        <v>-6306.83</v>
      </c>
      <c r="K59" s="8">
        <f>+Données!Q59</f>
        <v>6716.98</v>
      </c>
      <c r="L59" s="464">
        <f t="shared" si="1"/>
        <v>9807897.6460290626</v>
      </c>
      <c r="M59" s="8">
        <f>+Données!F59</f>
        <v>0</v>
      </c>
      <c r="N59" s="8">
        <f>+Données!K59</f>
        <v>4245.45</v>
      </c>
      <c r="O59" s="8">
        <f>(Données!L59/Données!Y59)*1</f>
        <v>244954.83333333334</v>
      </c>
      <c r="P59" s="464">
        <f t="shared" si="2"/>
        <v>10057097.929362396</v>
      </c>
      <c r="Q59" s="241">
        <f>+Données!X59</f>
        <v>64</v>
      </c>
      <c r="R59" s="464">
        <f t="shared" si="0"/>
        <v>157142.15514628743</v>
      </c>
    </row>
    <row r="60" spans="1:18" x14ac:dyDescent="0.25">
      <c r="A60" s="7">
        <f>Données!A60</f>
        <v>5493</v>
      </c>
      <c r="B60" s="27" t="str">
        <f>Données!B60</f>
        <v>Orny</v>
      </c>
      <c r="C60" s="8">
        <f>Données!C60+Données!D60</f>
        <v>836173.05999999994</v>
      </c>
      <c r="D60" s="8">
        <f>+Données!G60+Données!H60+Données!S60</f>
        <v>29967.894829171499</v>
      </c>
      <c r="E60" s="8">
        <f>+Données!E60</f>
        <v>0</v>
      </c>
      <c r="F60" s="8">
        <f>+Données!I60</f>
        <v>0</v>
      </c>
      <c r="G60" s="8">
        <f>+Données!J60</f>
        <v>36469.08</v>
      </c>
      <c r="H60" s="8">
        <f>Données!U60</f>
        <v>-33436.629999999997</v>
      </c>
      <c r="I60" s="216">
        <f>Données!V60</f>
        <v>0</v>
      </c>
      <c r="J60" s="216">
        <f>Données!W60</f>
        <v>-12.43</v>
      </c>
      <c r="K60" s="8">
        <f>+Données!Q60</f>
        <v>9903.36</v>
      </c>
      <c r="L60" s="464">
        <f t="shared" si="1"/>
        <v>879064.3348291713</v>
      </c>
      <c r="M60" s="8">
        <f>+Données!F60</f>
        <v>0</v>
      </c>
      <c r="N60" s="8">
        <f>+Données!K60</f>
        <v>455.85</v>
      </c>
      <c r="O60" s="8">
        <f>(Données!L60/Données!Y60)*1</f>
        <v>60490.153846153844</v>
      </c>
      <c r="P60" s="464">
        <f t="shared" si="2"/>
        <v>940010.33867532515</v>
      </c>
      <c r="Q60" s="241">
        <f>+Données!X60</f>
        <v>73</v>
      </c>
      <c r="R60" s="464">
        <f t="shared" si="0"/>
        <v>12876.853954456508</v>
      </c>
    </row>
    <row r="61" spans="1:18" x14ac:dyDescent="0.25">
      <c r="A61" s="7">
        <f>Données!A61</f>
        <v>5495</v>
      </c>
      <c r="B61" s="27" t="str">
        <f>Données!B61</f>
        <v>Penthalaz</v>
      </c>
      <c r="C61" s="8">
        <f>Données!C61+Données!D61</f>
        <v>6158844.7199999997</v>
      </c>
      <c r="D61" s="8">
        <f>+Données!G61+Données!H61+Données!S61</f>
        <v>68562.206276959492</v>
      </c>
      <c r="E61" s="8">
        <f>+Données!E61</f>
        <v>0</v>
      </c>
      <c r="F61" s="8">
        <f>+Données!I61</f>
        <v>78730.81</v>
      </c>
      <c r="G61" s="8">
        <f>+Données!J61</f>
        <v>190029.21</v>
      </c>
      <c r="H61" s="8">
        <f>Données!U61</f>
        <v>-145970.59</v>
      </c>
      <c r="I61" s="216">
        <f>Données!V61</f>
        <v>0</v>
      </c>
      <c r="J61" s="216">
        <f>Données!W61</f>
        <v>-2432.35</v>
      </c>
      <c r="K61" s="8">
        <f>+Données!Q61</f>
        <v>7944.7</v>
      </c>
      <c r="L61" s="464">
        <f t="shared" si="1"/>
        <v>6355708.7062769597</v>
      </c>
      <c r="M61" s="8">
        <f>+Données!F61</f>
        <v>0</v>
      </c>
      <c r="N61" s="8">
        <f>+Données!K61</f>
        <v>67979.850000000006</v>
      </c>
      <c r="O61" s="8">
        <f>(Données!L61/Données!Y61)*1</f>
        <v>483696.95</v>
      </c>
      <c r="P61" s="464">
        <f t="shared" si="2"/>
        <v>6907385.5062769596</v>
      </c>
      <c r="Q61" s="241">
        <f>+Données!X61</f>
        <v>74</v>
      </c>
      <c r="R61" s="464">
        <f t="shared" si="0"/>
        <v>93343.047382121076</v>
      </c>
    </row>
    <row r="62" spans="1:18" x14ac:dyDescent="0.25">
      <c r="A62" s="7">
        <f>Données!A62</f>
        <v>5496</v>
      </c>
      <c r="B62" s="27" t="str">
        <f>Données!B62</f>
        <v>Penthaz</v>
      </c>
      <c r="C62" s="8">
        <f>Données!C62+Données!D62</f>
        <v>3734638.86</v>
      </c>
      <c r="D62" s="8">
        <f>+Données!G62+Données!H62+Données!S62</f>
        <v>68318.865273269766</v>
      </c>
      <c r="E62" s="8">
        <f>+Données!E62</f>
        <v>0</v>
      </c>
      <c r="F62" s="8">
        <f>+Données!I62</f>
        <v>0</v>
      </c>
      <c r="G62" s="8">
        <f>+Données!J62</f>
        <v>88669.98</v>
      </c>
      <c r="H62" s="8">
        <f>Données!U62</f>
        <v>-80202.8</v>
      </c>
      <c r="I62" s="216">
        <f>Données!V62</f>
        <v>0</v>
      </c>
      <c r="J62" s="216">
        <f>Données!W62</f>
        <v>-239.67</v>
      </c>
      <c r="K62" s="8">
        <f>+Données!Q62</f>
        <v>8458.61</v>
      </c>
      <c r="L62" s="464">
        <f t="shared" si="1"/>
        <v>3819643.8452732698</v>
      </c>
      <c r="M62" s="8">
        <f>+Données!F62</f>
        <v>0</v>
      </c>
      <c r="N62" s="8">
        <f>+Données!K62</f>
        <v>20912.599999999999</v>
      </c>
      <c r="O62" s="8">
        <f>(Données!L62/Données!Y62)*1</f>
        <v>337197.7</v>
      </c>
      <c r="P62" s="464">
        <f t="shared" si="2"/>
        <v>4177754.1452732701</v>
      </c>
      <c r="Q62" s="241">
        <f>+Données!X62</f>
        <v>69.5</v>
      </c>
      <c r="R62" s="464">
        <f t="shared" si="0"/>
        <v>60111.570435586618</v>
      </c>
    </row>
    <row r="63" spans="1:18" x14ac:dyDescent="0.25">
      <c r="A63" s="7">
        <f>Données!A63</f>
        <v>5497</v>
      </c>
      <c r="B63" s="27" t="str">
        <f>Données!B63</f>
        <v>Pompaples</v>
      </c>
      <c r="C63" s="8">
        <f>Données!C63+Données!D63</f>
        <v>1189143.2899999998</v>
      </c>
      <c r="D63" s="8">
        <f>+Données!G63+Données!H63+Données!S63</f>
        <v>-10108.15</v>
      </c>
      <c r="E63" s="8">
        <f>+Données!E63</f>
        <v>0</v>
      </c>
      <c r="F63" s="8">
        <f>+Données!I63</f>
        <v>0</v>
      </c>
      <c r="G63" s="8">
        <f>+Données!J63</f>
        <v>39390.080000000002</v>
      </c>
      <c r="H63" s="8">
        <f>Données!U63</f>
        <v>-22727.43</v>
      </c>
      <c r="I63" s="216">
        <f>Données!V63</f>
        <v>0</v>
      </c>
      <c r="J63" s="216">
        <f>Données!W63</f>
        <v>-141.41</v>
      </c>
      <c r="K63" s="8">
        <f>+Données!Q63</f>
        <v>150.94</v>
      </c>
      <c r="L63" s="464">
        <f t="shared" si="1"/>
        <v>1195707.32</v>
      </c>
      <c r="M63" s="8">
        <f>+Données!F63</f>
        <v>0</v>
      </c>
      <c r="N63" s="8">
        <f>+Données!K63</f>
        <v>3864.6</v>
      </c>
      <c r="O63" s="8">
        <f>(Données!L63/Données!Y63)*1</f>
        <v>147841.60000000001</v>
      </c>
      <c r="P63" s="464">
        <f t="shared" si="2"/>
        <v>1347413.5200000003</v>
      </c>
      <c r="Q63" s="241">
        <f>+Données!X63</f>
        <v>66</v>
      </c>
      <c r="R63" s="464">
        <f t="shared" si="0"/>
        <v>20415.356363636369</v>
      </c>
    </row>
    <row r="64" spans="1:18" x14ac:dyDescent="0.25">
      <c r="A64" s="7">
        <f>Données!A64</f>
        <v>5498</v>
      </c>
      <c r="B64" s="27" t="str">
        <f>Données!B64</f>
        <v>La Sarraz</v>
      </c>
      <c r="C64" s="8">
        <f>Données!C64+Données!D64</f>
        <v>4604047.83</v>
      </c>
      <c r="D64" s="8">
        <f>+Données!G64+Données!H64+Données!S64</f>
        <v>61391.607959975037</v>
      </c>
      <c r="E64" s="8">
        <f>+Données!E64</f>
        <v>0</v>
      </c>
      <c r="F64" s="8">
        <f>+Données!I64</f>
        <v>0</v>
      </c>
      <c r="G64" s="8">
        <f>+Données!J64</f>
        <v>122651.8</v>
      </c>
      <c r="H64" s="8">
        <f>Données!U64</f>
        <v>-92376.85</v>
      </c>
      <c r="I64" s="216">
        <f>Données!V64</f>
        <v>0</v>
      </c>
      <c r="J64" s="216">
        <f>Données!W64</f>
        <v>-356.31</v>
      </c>
      <c r="K64" s="8">
        <f>+Données!Q64</f>
        <v>-1517.98</v>
      </c>
      <c r="L64" s="464">
        <f t="shared" si="1"/>
        <v>4693840.0979599757</v>
      </c>
      <c r="M64" s="8">
        <f>+Données!F64</f>
        <v>0</v>
      </c>
      <c r="N64" s="8">
        <f>+Données!K64</f>
        <v>15544.65</v>
      </c>
      <c r="O64" s="8">
        <f>(Données!L64/Données!Y64)*1</f>
        <v>404938.35</v>
      </c>
      <c r="P64" s="464">
        <f t="shared" si="2"/>
        <v>5114323.0979599757</v>
      </c>
      <c r="Q64" s="241">
        <f>+Données!X64</f>
        <v>66</v>
      </c>
      <c r="R64" s="464">
        <f t="shared" si="0"/>
        <v>77489.743908484481</v>
      </c>
    </row>
    <row r="65" spans="1:18" x14ac:dyDescent="0.25">
      <c r="A65" s="7">
        <f>Données!A65</f>
        <v>5499</v>
      </c>
      <c r="B65" s="27" t="str">
        <f>Données!B65</f>
        <v>Senarclens</v>
      </c>
      <c r="C65" s="8">
        <f>Données!C65+Données!D65</f>
        <v>1201766.43</v>
      </c>
      <c r="D65" s="8">
        <f>+Données!G65+Données!H65+Données!S65</f>
        <v>32128.314913373557</v>
      </c>
      <c r="E65" s="8">
        <f>+Données!E65</f>
        <v>0</v>
      </c>
      <c r="F65" s="8">
        <f>+Données!I65</f>
        <v>0</v>
      </c>
      <c r="G65" s="8">
        <f>+Données!J65</f>
        <v>13064.58</v>
      </c>
      <c r="H65" s="8">
        <f>Données!U65</f>
        <v>-255.22</v>
      </c>
      <c r="I65" s="216">
        <f>Données!V65</f>
        <v>0</v>
      </c>
      <c r="J65" s="216">
        <f>Données!W65</f>
        <v>-328.18</v>
      </c>
      <c r="K65" s="8">
        <f>+Données!Q65</f>
        <v>0</v>
      </c>
      <c r="L65" s="464">
        <f t="shared" si="1"/>
        <v>1246375.9249133738</v>
      </c>
      <c r="M65" s="8">
        <f>+Données!F65</f>
        <v>0</v>
      </c>
      <c r="N65" s="8">
        <f>+Données!K65</f>
        <v>0</v>
      </c>
      <c r="O65" s="8">
        <f>(Données!L65/Données!Y65)*1</f>
        <v>99314.8</v>
      </c>
      <c r="P65" s="464">
        <f t="shared" si="2"/>
        <v>1345690.7249133738</v>
      </c>
      <c r="Q65" s="241">
        <f>+Données!X65</f>
        <v>68.5</v>
      </c>
      <c r="R65" s="464">
        <f t="shared" si="0"/>
        <v>19645.120071728084</v>
      </c>
    </row>
    <row r="66" spans="1:18" x14ac:dyDescent="0.25">
      <c r="A66" s="7">
        <f>Données!A66</f>
        <v>5501</v>
      </c>
      <c r="B66" s="27" t="str">
        <f>Données!B66</f>
        <v>Sullens</v>
      </c>
      <c r="C66" s="8">
        <f>Données!C66+Données!D66</f>
        <v>2643383.8000000003</v>
      </c>
      <c r="D66" s="8">
        <f>+Données!G66+Données!H66+Données!S66</f>
        <v>39230.501025800841</v>
      </c>
      <c r="E66" s="8">
        <f>+Données!E66</f>
        <v>0</v>
      </c>
      <c r="F66" s="8">
        <f>+Données!I66</f>
        <v>-76949.3</v>
      </c>
      <c r="G66" s="8">
        <f>+Données!J66</f>
        <v>45296.28</v>
      </c>
      <c r="H66" s="8">
        <f>Données!U66</f>
        <v>-21505.52</v>
      </c>
      <c r="I66" s="216">
        <f>Données!V66</f>
        <v>0</v>
      </c>
      <c r="J66" s="216">
        <f>Données!W66</f>
        <v>-851.87</v>
      </c>
      <c r="K66" s="8">
        <f>+Données!Q66</f>
        <v>15405.19</v>
      </c>
      <c r="L66" s="464">
        <f t="shared" si="1"/>
        <v>2644009.0810258011</v>
      </c>
      <c r="M66" s="8">
        <f>+Données!F66</f>
        <v>0</v>
      </c>
      <c r="N66" s="8">
        <f>+Données!K66</f>
        <v>-78.400000000000006</v>
      </c>
      <c r="O66" s="8">
        <f>(Données!L66/Données!Y66)*1</f>
        <v>226887.35</v>
      </c>
      <c r="P66" s="464">
        <f t="shared" si="2"/>
        <v>2870818.0310258013</v>
      </c>
      <c r="Q66" s="241">
        <f>+Données!X66</f>
        <v>68.5</v>
      </c>
      <c r="R66" s="464">
        <f t="shared" si="0"/>
        <v>41909.752277748921</v>
      </c>
    </row>
    <row r="67" spans="1:18" x14ac:dyDescent="0.25">
      <c r="A67" s="7">
        <f>Données!A67</f>
        <v>5503</v>
      </c>
      <c r="B67" s="27" t="str">
        <f>Données!B67</f>
        <v>Vufflens-la-Ville</v>
      </c>
      <c r="C67" s="8">
        <f>Données!C67+Données!D67</f>
        <v>3469601.1</v>
      </c>
      <c r="D67" s="8">
        <f>+Données!G67+Données!H67+Données!S67</f>
        <v>620790.83023136598</v>
      </c>
      <c r="E67" s="8">
        <f>+Données!E67</f>
        <v>0</v>
      </c>
      <c r="F67" s="8">
        <f>+Données!I67</f>
        <v>0</v>
      </c>
      <c r="G67" s="8">
        <f>+Données!J67</f>
        <v>75571.78</v>
      </c>
      <c r="H67" s="8">
        <f>Données!U67</f>
        <v>-48348.13</v>
      </c>
      <c r="I67" s="216">
        <f>Données!V67</f>
        <v>0</v>
      </c>
      <c r="J67" s="216">
        <f>Données!W67</f>
        <v>-1085.33</v>
      </c>
      <c r="K67" s="8">
        <f>+Données!Q67</f>
        <v>1599.13</v>
      </c>
      <c r="L67" s="464">
        <f t="shared" si="1"/>
        <v>4118129.380231366</v>
      </c>
      <c r="M67" s="8">
        <f>+Données!F67</f>
        <v>0</v>
      </c>
      <c r="N67" s="8">
        <f>+Données!K67</f>
        <v>34894.550000000003</v>
      </c>
      <c r="O67" s="8">
        <f>(Données!L67/Données!Y67)*1</f>
        <v>370970.16666666669</v>
      </c>
      <c r="P67" s="464">
        <f t="shared" si="2"/>
        <v>4523994.0968980324</v>
      </c>
      <c r="Q67" s="241">
        <f>+Données!X67</f>
        <v>67</v>
      </c>
      <c r="R67" s="464">
        <f t="shared" si="0"/>
        <v>67522.299953701979</v>
      </c>
    </row>
    <row r="68" spans="1:18" x14ac:dyDescent="0.25">
      <c r="A68" s="7">
        <f>Données!A68</f>
        <v>5511</v>
      </c>
      <c r="B68" s="27" t="str">
        <f>Données!B68</f>
        <v>Assens</v>
      </c>
      <c r="C68" s="8">
        <f>Données!C68+Données!D68</f>
        <v>3668258.85</v>
      </c>
      <c r="D68" s="8">
        <f>+Données!G68+Données!H68+Données!S68</f>
        <v>532027.65904311091</v>
      </c>
      <c r="E68" s="8">
        <f>+Données!E68</f>
        <v>0</v>
      </c>
      <c r="F68" s="8">
        <f>+Données!I68</f>
        <v>0</v>
      </c>
      <c r="G68" s="8">
        <f>+Données!J68</f>
        <v>65762.44</v>
      </c>
      <c r="H68" s="8">
        <f>Données!U68</f>
        <v>-33922.25</v>
      </c>
      <c r="I68" s="216">
        <f>Données!V68</f>
        <v>0</v>
      </c>
      <c r="J68" s="216">
        <f>Données!W68</f>
        <v>-333.34</v>
      </c>
      <c r="K68" s="8">
        <f>+Données!Q68</f>
        <v>22377.64</v>
      </c>
      <c r="L68" s="464">
        <f t="shared" si="1"/>
        <v>4254170.9990431108</v>
      </c>
      <c r="M68" s="8">
        <f>+Données!F68</f>
        <v>0</v>
      </c>
      <c r="N68" s="8">
        <f>+Données!K68</f>
        <v>16383.8</v>
      </c>
      <c r="O68" s="8">
        <f>(Données!L68/Données!Y68)*1</f>
        <v>311972.09999999998</v>
      </c>
      <c r="P68" s="464">
        <f t="shared" si="2"/>
        <v>4582526.8990431102</v>
      </c>
      <c r="Q68" s="241">
        <f>+Données!X68</f>
        <v>69.34</v>
      </c>
      <c r="R68" s="464">
        <f t="shared" si="0"/>
        <v>66087.783372412887</v>
      </c>
    </row>
    <row r="69" spans="1:18" x14ac:dyDescent="0.25">
      <c r="A69" s="7">
        <f>Données!A69</f>
        <v>5512</v>
      </c>
      <c r="B69" s="27" t="str">
        <f>Données!B69</f>
        <v>Bercher</v>
      </c>
      <c r="C69" s="8">
        <f>Données!C69+Données!D69</f>
        <v>2846766.88</v>
      </c>
      <c r="D69" s="8">
        <f>+Données!G69+Données!H69+Données!S69</f>
        <v>38756.721801784886</v>
      </c>
      <c r="E69" s="8">
        <f>+Données!E69</f>
        <v>0</v>
      </c>
      <c r="F69" s="8">
        <f>+Données!I69</f>
        <v>0</v>
      </c>
      <c r="G69" s="8">
        <f>+Données!J69</f>
        <v>62370.33</v>
      </c>
      <c r="H69" s="8">
        <f>Données!U69</f>
        <v>-35372.620000000003</v>
      </c>
      <c r="I69" s="216">
        <f>Données!V69</f>
        <v>0</v>
      </c>
      <c r="J69" s="216">
        <f>Données!W69</f>
        <v>-1623.65</v>
      </c>
      <c r="K69" s="8">
        <f>+Données!Q69</f>
        <v>2543.9899999999998</v>
      </c>
      <c r="L69" s="464">
        <f t="shared" si="1"/>
        <v>2913441.651801785</v>
      </c>
      <c r="M69" s="8">
        <f>+Données!F69</f>
        <v>0</v>
      </c>
      <c r="N69" s="8">
        <f>+Données!K69</f>
        <v>9941.1</v>
      </c>
      <c r="O69" s="8">
        <f>(Données!L69/Données!Y69)*1</f>
        <v>260611.65</v>
      </c>
      <c r="P69" s="464">
        <f t="shared" si="2"/>
        <v>3183994.401801785</v>
      </c>
      <c r="Q69" s="241">
        <f>+Données!X69</f>
        <v>79</v>
      </c>
      <c r="R69" s="464">
        <f t="shared" si="0"/>
        <v>40303.726605085889</v>
      </c>
    </row>
    <row r="70" spans="1:18" x14ac:dyDescent="0.25">
      <c r="A70" s="7">
        <f>Données!A70</f>
        <v>5514</v>
      </c>
      <c r="B70" s="27" t="str">
        <f>Données!B70</f>
        <v>Bottens</v>
      </c>
      <c r="C70" s="8">
        <f>Données!C70+Données!D70</f>
        <v>2927622.6</v>
      </c>
      <c r="D70" s="8">
        <f>+Données!G70+Données!H70+Données!S70</f>
        <v>6712.8514876159343</v>
      </c>
      <c r="E70" s="8">
        <f>+Données!E70</f>
        <v>0</v>
      </c>
      <c r="F70" s="8">
        <f>+Données!I70</f>
        <v>38369.15</v>
      </c>
      <c r="G70" s="8">
        <f>+Données!J70</f>
        <v>38757.56</v>
      </c>
      <c r="H70" s="8">
        <f>Données!U70</f>
        <v>-66722.64</v>
      </c>
      <c r="I70" s="216">
        <f>Données!V70</f>
        <v>0</v>
      </c>
      <c r="J70" s="216">
        <f>Données!W70</f>
        <v>-217.11</v>
      </c>
      <c r="K70" s="8">
        <f>+Données!Q70</f>
        <v>13227.83</v>
      </c>
      <c r="L70" s="464">
        <f t="shared" si="1"/>
        <v>2957750.2414876162</v>
      </c>
      <c r="M70" s="8">
        <f>+Données!F70</f>
        <v>0</v>
      </c>
      <c r="N70" s="8">
        <f>+Données!K70</f>
        <v>9768</v>
      </c>
      <c r="O70" s="8">
        <f>(Données!L70/Données!Y70)*1</f>
        <v>236150</v>
      </c>
      <c r="P70" s="464">
        <f t="shared" si="2"/>
        <v>3203668.2414876162</v>
      </c>
      <c r="Q70" s="241">
        <f>+Données!X70</f>
        <v>72.5</v>
      </c>
      <c r="R70" s="464">
        <f t="shared" ref="R70:R133" si="3">P70/Q70</f>
        <v>44188.527468794709</v>
      </c>
    </row>
    <row r="71" spans="1:18" x14ac:dyDescent="0.25">
      <c r="A71" s="7">
        <f>Données!A71</f>
        <v>5515</v>
      </c>
      <c r="B71" s="27" t="str">
        <f>Données!B71</f>
        <v>Bretigny-sur-Morrens</v>
      </c>
      <c r="C71" s="8">
        <f>Données!C71+Données!D71</f>
        <v>2280752.9500000002</v>
      </c>
      <c r="D71" s="8">
        <f>+Données!G71+Données!H71+Données!S71</f>
        <v>21074.80238588871</v>
      </c>
      <c r="E71" s="8">
        <f>+Données!E71</f>
        <v>0</v>
      </c>
      <c r="F71" s="8">
        <f>+Données!I71</f>
        <v>0</v>
      </c>
      <c r="G71" s="8">
        <f>+Données!J71</f>
        <v>3763.97</v>
      </c>
      <c r="H71" s="8">
        <f>Données!U71</f>
        <v>-91679.65</v>
      </c>
      <c r="I71" s="216">
        <f>Données!V71</f>
        <v>0</v>
      </c>
      <c r="J71" s="216">
        <f>Données!W71</f>
        <v>-101.26</v>
      </c>
      <c r="K71" s="8">
        <f>+Données!Q71</f>
        <v>4012.21</v>
      </c>
      <c r="L71" s="464">
        <f t="shared" ref="L71:L134" si="4">SUM(C71:K71)</f>
        <v>2217823.0223858892</v>
      </c>
      <c r="M71" s="8">
        <f>+Données!F71</f>
        <v>0</v>
      </c>
      <c r="N71" s="8">
        <f>+Données!K71</f>
        <v>7251.05</v>
      </c>
      <c r="O71" s="8">
        <f>(Données!L71/Données!Y71)*1</f>
        <v>171011.95</v>
      </c>
      <c r="P71" s="464">
        <f t="shared" ref="P71:P134" si="5">SUM(L71:O71)</f>
        <v>2396086.0223858892</v>
      </c>
      <c r="Q71" s="241">
        <f>+Données!X71</f>
        <v>81</v>
      </c>
      <c r="R71" s="464">
        <f t="shared" si="3"/>
        <v>29581.308918344312</v>
      </c>
    </row>
    <row r="72" spans="1:18" x14ac:dyDescent="0.25">
      <c r="A72" s="7">
        <f>Données!A72</f>
        <v>5516</v>
      </c>
      <c r="B72" s="27" t="str">
        <f>Données!B72</f>
        <v>Cugy</v>
      </c>
      <c r="C72" s="8">
        <f>Données!C72+Données!D72</f>
        <v>7485566.1400000006</v>
      </c>
      <c r="D72" s="8">
        <f>+Données!G72+Données!H72+Données!S72</f>
        <v>172944.46086216846</v>
      </c>
      <c r="E72" s="8">
        <f>+Données!E72</f>
        <v>0</v>
      </c>
      <c r="F72" s="8">
        <f>+Données!I72</f>
        <v>0</v>
      </c>
      <c r="G72" s="8">
        <f>+Données!J72</f>
        <v>128686.25</v>
      </c>
      <c r="H72" s="8">
        <f>Données!U72</f>
        <v>-170665.98</v>
      </c>
      <c r="I72" s="216">
        <f>Données!V72</f>
        <v>0</v>
      </c>
      <c r="J72" s="216">
        <f>Données!W72</f>
        <v>-3540.71</v>
      </c>
      <c r="K72" s="8">
        <f>+Données!Q72</f>
        <v>108801.53</v>
      </c>
      <c r="L72" s="464">
        <f t="shared" si="4"/>
        <v>7721791.6908621686</v>
      </c>
      <c r="M72" s="8">
        <f>+Données!F72</f>
        <v>0</v>
      </c>
      <c r="N72" s="8">
        <f>+Données!K72</f>
        <v>47147.6</v>
      </c>
      <c r="O72" s="8">
        <f>(Données!L72/Données!Y72)*1</f>
        <v>578477.95833333337</v>
      </c>
      <c r="P72" s="464">
        <f t="shared" si="5"/>
        <v>8347417.2491955012</v>
      </c>
      <c r="Q72" s="241">
        <f>+Données!X72</f>
        <v>78</v>
      </c>
      <c r="R72" s="464">
        <f t="shared" si="3"/>
        <v>107018.16986148078</v>
      </c>
    </row>
    <row r="73" spans="1:18" x14ac:dyDescent="0.25">
      <c r="A73" s="7">
        <f>Données!A73</f>
        <v>5518</v>
      </c>
      <c r="B73" s="27" t="str">
        <f>Données!B73</f>
        <v>Echallens</v>
      </c>
      <c r="C73" s="8">
        <f>Données!C73+Données!D73</f>
        <v>11279720.060000001</v>
      </c>
      <c r="D73" s="8">
        <f>+Données!G73+Données!H73+Données!S73</f>
        <v>565837.83804155304</v>
      </c>
      <c r="E73" s="8">
        <f>+Données!E73</f>
        <v>0</v>
      </c>
      <c r="F73" s="8">
        <f>+Données!I73</f>
        <v>0</v>
      </c>
      <c r="G73" s="8">
        <f>+Données!J73</f>
        <v>170429.47</v>
      </c>
      <c r="H73" s="8">
        <f>Données!U73</f>
        <v>-277762.42</v>
      </c>
      <c r="I73" s="216">
        <f>Données!V73</f>
        <v>0</v>
      </c>
      <c r="J73" s="216">
        <f>Données!W73</f>
        <v>-4213.5200000000004</v>
      </c>
      <c r="K73" s="8">
        <f>+Données!Q73</f>
        <v>84559.98</v>
      </c>
      <c r="L73" s="464">
        <f t="shared" si="4"/>
        <v>11818571.408041555</v>
      </c>
      <c r="M73" s="8">
        <f>+Données!F73</f>
        <v>0</v>
      </c>
      <c r="N73" s="8">
        <f>+Données!K73</f>
        <v>40923.449999999997</v>
      </c>
      <c r="O73" s="8">
        <f>(Données!L73/Données!Y73)*1</f>
        <v>1089067.8500000001</v>
      </c>
      <c r="P73" s="464">
        <f t="shared" si="5"/>
        <v>12948562.708041554</v>
      </c>
      <c r="Q73" s="241">
        <f>+Données!X73</f>
        <v>72.5</v>
      </c>
      <c r="R73" s="464">
        <f t="shared" si="3"/>
        <v>178600.86493850421</v>
      </c>
    </row>
    <row r="74" spans="1:18" x14ac:dyDescent="0.25">
      <c r="A74" s="7">
        <f>Données!A74</f>
        <v>5520</v>
      </c>
      <c r="B74" s="27" t="str">
        <f>Données!B74</f>
        <v>Essertines-sur-Yverdon</v>
      </c>
      <c r="C74" s="8">
        <f>Données!C74+Données!D74</f>
        <v>1930802.9100000001</v>
      </c>
      <c r="D74" s="8">
        <f>+Données!G74+Données!H74+Données!S74</f>
        <v>59707.437845539396</v>
      </c>
      <c r="E74" s="8">
        <f>+Données!E74</f>
        <v>0</v>
      </c>
      <c r="F74" s="8">
        <f>+Données!I74</f>
        <v>0</v>
      </c>
      <c r="G74" s="8">
        <f>+Données!J74</f>
        <v>35273.17</v>
      </c>
      <c r="H74" s="8">
        <f>Données!U74</f>
        <v>-54423.63</v>
      </c>
      <c r="I74" s="216">
        <f>Données!V74</f>
        <v>0</v>
      </c>
      <c r="J74" s="216">
        <f>Données!W74</f>
        <v>-470.39</v>
      </c>
      <c r="K74" s="8">
        <f>+Données!Q74</f>
        <v>4373.26</v>
      </c>
      <c r="L74" s="464">
        <f t="shared" si="4"/>
        <v>1975262.7578455396</v>
      </c>
      <c r="M74" s="8">
        <f>+Données!F74</f>
        <v>0</v>
      </c>
      <c r="N74" s="8">
        <f>+Données!K74</f>
        <v>-1251.3499999999999</v>
      </c>
      <c r="O74" s="8">
        <f>(Données!L74/Données!Y74)*1</f>
        <v>195369.1</v>
      </c>
      <c r="P74" s="464">
        <f t="shared" si="5"/>
        <v>2169380.5078455396</v>
      </c>
      <c r="Q74" s="241">
        <f>+Données!X74</f>
        <v>73</v>
      </c>
      <c r="R74" s="464">
        <f t="shared" si="3"/>
        <v>29717.541203363555</v>
      </c>
    </row>
    <row r="75" spans="1:18" x14ac:dyDescent="0.25">
      <c r="A75" s="7">
        <f>Données!A75</f>
        <v>5521</v>
      </c>
      <c r="B75" s="27" t="str">
        <f>Données!B75</f>
        <v>Etagnières</v>
      </c>
      <c r="C75" s="8">
        <f>Données!C75+Données!D75</f>
        <v>2859037.3899999997</v>
      </c>
      <c r="D75" s="8">
        <f>+Données!G75+Données!H75+Données!S75</f>
        <v>251928.54724187305</v>
      </c>
      <c r="E75" s="8">
        <f>+Données!E75</f>
        <v>0</v>
      </c>
      <c r="F75" s="8">
        <f>+Données!I75</f>
        <v>0</v>
      </c>
      <c r="G75" s="8">
        <f>+Données!J75</f>
        <v>60459.64</v>
      </c>
      <c r="H75" s="8">
        <f>Données!U75</f>
        <v>-44244.07</v>
      </c>
      <c r="I75" s="216">
        <f>Données!V75</f>
        <v>0</v>
      </c>
      <c r="J75" s="216">
        <f>Données!W75</f>
        <v>-1055.0899999999999</v>
      </c>
      <c r="K75" s="8">
        <f>+Données!Q75</f>
        <v>4949.3500000000004</v>
      </c>
      <c r="L75" s="464">
        <f t="shared" si="4"/>
        <v>3131075.7672418733</v>
      </c>
      <c r="M75" s="8">
        <f>+Données!F75</f>
        <v>0</v>
      </c>
      <c r="N75" s="8">
        <f>+Données!K75</f>
        <v>18552.5</v>
      </c>
      <c r="O75" s="8">
        <f>(Données!L75/Données!Y75)*1</f>
        <v>261565.7</v>
      </c>
      <c r="P75" s="464">
        <f t="shared" si="5"/>
        <v>3411193.9672418735</v>
      </c>
      <c r="Q75" s="241">
        <f>+Données!X75</f>
        <v>73</v>
      </c>
      <c r="R75" s="464">
        <f t="shared" si="3"/>
        <v>46728.684482765391</v>
      </c>
    </row>
    <row r="76" spans="1:18" x14ac:dyDescent="0.25">
      <c r="A76" s="7">
        <f>Données!A76</f>
        <v>5522</v>
      </c>
      <c r="B76" s="27" t="str">
        <f>Données!B76</f>
        <v>Fey</v>
      </c>
      <c r="C76" s="8">
        <f>Données!C76+Données!D76</f>
        <v>1616885.14</v>
      </c>
      <c r="D76" s="8">
        <f>+Données!G76+Données!H76+Données!S76</f>
        <v>5258.0214842840787</v>
      </c>
      <c r="E76" s="8">
        <f>+Données!E76</f>
        <v>0</v>
      </c>
      <c r="F76" s="8">
        <f>+Données!I76</f>
        <v>0</v>
      </c>
      <c r="G76" s="8">
        <f>+Données!J76</f>
        <v>13099.29</v>
      </c>
      <c r="H76" s="8">
        <f>Données!U76</f>
        <v>-4594.8</v>
      </c>
      <c r="I76" s="216">
        <f>Données!V76</f>
        <v>0</v>
      </c>
      <c r="J76" s="216">
        <f>Données!W76</f>
        <v>-99.51</v>
      </c>
      <c r="K76" s="8">
        <f>+Données!Q76</f>
        <v>7370.48</v>
      </c>
      <c r="L76" s="464">
        <f t="shared" si="4"/>
        <v>1637918.6214842838</v>
      </c>
      <c r="M76" s="8">
        <f>+Données!F76</f>
        <v>0</v>
      </c>
      <c r="N76" s="8">
        <f>+Données!K76</f>
        <v>2912.9</v>
      </c>
      <c r="O76" s="8">
        <f>(Données!L76/Données!Y76)*1</f>
        <v>138584.48000000001</v>
      </c>
      <c r="P76" s="464">
        <f t="shared" si="5"/>
        <v>1779416.0014842837</v>
      </c>
      <c r="Q76" s="241">
        <f>+Données!X76</f>
        <v>75</v>
      </c>
      <c r="R76" s="464">
        <f t="shared" si="3"/>
        <v>23725.546686457117</v>
      </c>
    </row>
    <row r="77" spans="1:18" x14ac:dyDescent="0.25">
      <c r="A77" s="7">
        <f>Données!A77</f>
        <v>5523</v>
      </c>
      <c r="B77" s="27" t="str">
        <f>Données!B77</f>
        <v>Froideville</v>
      </c>
      <c r="C77" s="8">
        <f>Données!C77+Données!D77</f>
        <v>5611757.4500000002</v>
      </c>
      <c r="D77" s="8">
        <f>+Données!G77+Données!H77+Données!S77</f>
        <v>39950.531242945945</v>
      </c>
      <c r="E77" s="8">
        <f>+Données!E77</f>
        <v>0</v>
      </c>
      <c r="F77" s="8">
        <f>+Données!I77</f>
        <v>-54197.1</v>
      </c>
      <c r="G77" s="8">
        <f>+Données!J77</f>
        <v>97209.85</v>
      </c>
      <c r="H77" s="8">
        <f>Données!U77</f>
        <v>-69486.94</v>
      </c>
      <c r="I77" s="216">
        <f>Données!V77</f>
        <v>0</v>
      </c>
      <c r="J77" s="216">
        <f>Données!W77</f>
        <v>-970.39</v>
      </c>
      <c r="K77" s="8">
        <f>+Données!Q77</f>
        <v>16967.64</v>
      </c>
      <c r="L77" s="464">
        <f t="shared" si="4"/>
        <v>5641231.0412429459</v>
      </c>
      <c r="M77" s="8">
        <f>+Données!F77</f>
        <v>15230</v>
      </c>
      <c r="N77" s="8">
        <f>+Données!K77</f>
        <v>16486.45</v>
      </c>
      <c r="O77" s="8">
        <f>(Données!L77/Données!Y77)*1</f>
        <v>508815</v>
      </c>
      <c r="P77" s="464">
        <f t="shared" si="5"/>
        <v>6181762.4912429461</v>
      </c>
      <c r="Q77" s="241">
        <f>+Données!X77</f>
        <v>72</v>
      </c>
      <c r="R77" s="464">
        <f t="shared" si="3"/>
        <v>85857.812378374249</v>
      </c>
    </row>
    <row r="78" spans="1:18" x14ac:dyDescent="0.25">
      <c r="A78" s="7">
        <f>Données!A78</f>
        <v>5527</v>
      </c>
      <c r="B78" s="27" t="str">
        <f>Données!B78</f>
        <v>Morrens</v>
      </c>
      <c r="C78" s="8">
        <f>Données!C78+Données!D78</f>
        <v>2736679.51</v>
      </c>
      <c r="D78" s="8">
        <f>+Données!G78+Données!H78+Données!S78</f>
        <v>7539.4532047975454</v>
      </c>
      <c r="E78" s="8">
        <f>+Données!E78</f>
        <v>0</v>
      </c>
      <c r="F78" s="8">
        <f>+Données!I78</f>
        <v>0</v>
      </c>
      <c r="G78" s="8">
        <f>+Données!J78</f>
        <v>36272.03</v>
      </c>
      <c r="H78" s="8">
        <f>Données!U78</f>
        <v>-30067.71</v>
      </c>
      <c r="I78" s="216">
        <f>Données!V78</f>
        <v>0</v>
      </c>
      <c r="J78" s="216">
        <f>Données!W78</f>
        <v>-82.51</v>
      </c>
      <c r="K78" s="8">
        <f>+Données!Q78</f>
        <v>10734.48</v>
      </c>
      <c r="L78" s="464">
        <f t="shared" si="4"/>
        <v>2761075.2532047974</v>
      </c>
      <c r="M78" s="8">
        <f>+Données!F78</f>
        <v>0</v>
      </c>
      <c r="N78" s="8">
        <f>+Données!K78</f>
        <v>202.75</v>
      </c>
      <c r="O78" s="8">
        <f>(Données!L78/Données!Y78)*1</f>
        <v>240323.20000000001</v>
      </c>
      <c r="P78" s="464">
        <f t="shared" si="5"/>
        <v>3001601.2032047976</v>
      </c>
      <c r="Q78" s="241">
        <f>+Données!X78</f>
        <v>74</v>
      </c>
      <c r="R78" s="464">
        <f t="shared" si="3"/>
        <v>40562.178421686454</v>
      </c>
    </row>
    <row r="79" spans="1:18" x14ac:dyDescent="0.25">
      <c r="A79" s="7">
        <f>Données!A79</f>
        <v>5529</v>
      </c>
      <c r="B79" s="27" t="str">
        <f>Données!B79</f>
        <v>Oulens-sous-Echallens</v>
      </c>
      <c r="C79" s="8">
        <f>Données!C79+Données!D79</f>
        <v>1276187.27</v>
      </c>
      <c r="D79" s="8">
        <f>+Données!G79+Données!H79+Données!S79</f>
        <v>13251.158514327166</v>
      </c>
      <c r="E79" s="8">
        <f>+Données!E79</f>
        <v>0</v>
      </c>
      <c r="F79" s="8">
        <f>+Données!I79</f>
        <v>0</v>
      </c>
      <c r="G79" s="8">
        <f>+Données!J79</f>
        <v>17460.79</v>
      </c>
      <c r="H79" s="8">
        <f>Données!U79</f>
        <v>-16246.58</v>
      </c>
      <c r="I79" s="216">
        <f>Données!V79</f>
        <v>0</v>
      </c>
      <c r="J79" s="216">
        <f>Données!W79</f>
        <v>-150.33000000000001</v>
      </c>
      <c r="K79" s="8">
        <f>+Données!Q79</f>
        <v>0</v>
      </c>
      <c r="L79" s="464">
        <f t="shared" si="4"/>
        <v>1290502.308514327</v>
      </c>
      <c r="M79" s="8">
        <f>+Données!F79</f>
        <v>0</v>
      </c>
      <c r="N79" s="8">
        <f>+Données!K79</f>
        <v>2922.75</v>
      </c>
      <c r="O79" s="8">
        <f>(Données!L79/Données!Y79)*1</f>
        <v>120398.6</v>
      </c>
      <c r="P79" s="464">
        <f t="shared" si="5"/>
        <v>1413823.6585143271</v>
      </c>
      <c r="Q79" s="241">
        <f>+Données!X79</f>
        <v>70</v>
      </c>
      <c r="R79" s="464">
        <f t="shared" si="3"/>
        <v>20197.480835918959</v>
      </c>
    </row>
    <row r="80" spans="1:18" x14ac:dyDescent="0.25">
      <c r="A80" s="7">
        <f>Données!A80</f>
        <v>5530</v>
      </c>
      <c r="B80" s="27" t="str">
        <f>Données!B80</f>
        <v>Pailly</v>
      </c>
      <c r="C80" s="8">
        <f>Données!C80+Données!D80</f>
        <v>1255364.8599999999</v>
      </c>
      <c r="D80" s="8">
        <f>+Données!G80+Données!H80+Données!S80</f>
        <v>31433.596113805383</v>
      </c>
      <c r="E80" s="8">
        <f>+Données!E80</f>
        <v>0</v>
      </c>
      <c r="F80" s="8">
        <f>+Données!I80</f>
        <v>0</v>
      </c>
      <c r="G80" s="8">
        <f>+Données!J80</f>
        <v>808.22</v>
      </c>
      <c r="H80" s="8">
        <f>Données!U80</f>
        <v>-3293.75</v>
      </c>
      <c r="I80" s="216">
        <f>Données!V80</f>
        <v>0</v>
      </c>
      <c r="J80" s="216">
        <f>Données!W80</f>
        <v>-3.85</v>
      </c>
      <c r="K80" s="8">
        <f>+Données!Q80</f>
        <v>0</v>
      </c>
      <c r="L80" s="464">
        <f t="shared" si="4"/>
        <v>1284309.0761138052</v>
      </c>
      <c r="M80" s="8">
        <f>+Données!F80</f>
        <v>0</v>
      </c>
      <c r="N80" s="8">
        <f>+Données!K80</f>
        <v>674.5</v>
      </c>
      <c r="O80" s="8">
        <f>(Données!L80/Données!Y80)*1</f>
        <v>105344.04166666667</v>
      </c>
      <c r="P80" s="464">
        <f t="shared" si="5"/>
        <v>1390327.6177804719</v>
      </c>
      <c r="Q80" s="241">
        <f>+Données!X80</f>
        <v>76</v>
      </c>
      <c r="R80" s="464">
        <f t="shared" si="3"/>
        <v>18293.784444479894</v>
      </c>
    </row>
    <row r="81" spans="1:18" x14ac:dyDescent="0.25">
      <c r="A81" s="7">
        <f>Données!A81</f>
        <v>5531</v>
      </c>
      <c r="B81" s="27" t="str">
        <f>Données!B81</f>
        <v>Penthéréaz</v>
      </c>
      <c r="C81" s="8">
        <f>Données!C81+Données!D81</f>
        <v>925973.82000000007</v>
      </c>
      <c r="D81" s="8">
        <f>+Données!G81+Données!H81+Données!S81</f>
        <v>10121.492324950288</v>
      </c>
      <c r="E81" s="8">
        <f>+Données!E81</f>
        <v>0</v>
      </c>
      <c r="F81" s="8">
        <f>+Données!I81</f>
        <v>0</v>
      </c>
      <c r="G81" s="8">
        <f>+Données!J81</f>
        <v>10707.29</v>
      </c>
      <c r="H81" s="8">
        <f>Données!U81</f>
        <v>-2440.64</v>
      </c>
      <c r="I81" s="216">
        <f>Données!V81</f>
        <v>0</v>
      </c>
      <c r="J81" s="216">
        <f>Données!W81</f>
        <v>-107.79</v>
      </c>
      <c r="K81" s="8">
        <f>+Données!Q81</f>
        <v>2180.14</v>
      </c>
      <c r="L81" s="464">
        <f t="shared" si="4"/>
        <v>946434.31232495036</v>
      </c>
      <c r="M81" s="8">
        <f>+Données!F81</f>
        <v>0</v>
      </c>
      <c r="N81" s="8">
        <f>+Données!K81</f>
        <v>-352.25</v>
      </c>
      <c r="O81" s="8">
        <f>(Données!L81/Données!Y81)*1</f>
        <v>78103.3</v>
      </c>
      <c r="P81" s="464">
        <f t="shared" si="5"/>
        <v>1024185.3623249504</v>
      </c>
      <c r="Q81" s="241">
        <f>+Données!X81</f>
        <v>74</v>
      </c>
      <c r="R81" s="464">
        <f t="shared" si="3"/>
        <v>13840.342734120952</v>
      </c>
    </row>
    <row r="82" spans="1:18" x14ac:dyDescent="0.25">
      <c r="A82" s="7">
        <f>Données!A82</f>
        <v>5533</v>
      </c>
      <c r="B82" s="27" t="str">
        <f>Données!B82</f>
        <v>Poliez-Pittet</v>
      </c>
      <c r="C82" s="8">
        <f>Données!C82+Données!D82</f>
        <v>1702220.44</v>
      </c>
      <c r="D82" s="8">
        <f>+Données!G82+Données!H82+Données!S82</f>
        <v>67715.344444624119</v>
      </c>
      <c r="E82" s="8">
        <f>+Données!E82</f>
        <v>0</v>
      </c>
      <c r="F82" s="8">
        <f>+Données!I82</f>
        <v>47228.4</v>
      </c>
      <c r="G82" s="8">
        <f>+Données!J82</f>
        <v>30627.98</v>
      </c>
      <c r="H82" s="8">
        <f>Données!U82</f>
        <v>-17655.150000000001</v>
      </c>
      <c r="I82" s="216">
        <f>Données!V82</f>
        <v>0</v>
      </c>
      <c r="J82" s="216">
        <f>Données!W82</f>
        <v>-199.23</v>
      </c>
      <c r="K82" s="8">
        <f>+Données!Q82</f>
        <v>55.75</v>
      </c>
      <c r="L82" s="464">
        <f t="shared" si="4"/>
        <v>1829993.5344446241</v>
      </c>
      <c r="M82" s="8">
        <f>+Données!F82</f>
        <v>0</v>
      </c>
      <c r="N82" s="8">
        <f>+Données!K82</f>
        <v>9054.9</v>
      </c>
      <c r="O82" s="8">
        <f>(Données!L82/Données!Y82)*1</f>
        <v>144487.20000000001</v>
      </c>
      <c r="P82" s="464">
        <f t="shared" si="5"/>
        <v>1983535.634444624</v>
      </c>
      <c r="Q82" s="241">
        <f>+Données!X82</f>
        <v>73</v>
      </c>
      <c r="R82" s="464">
        <f t="shared" si="3"/>
        <v>27171.721019789369</v>
      </c>
    </row>
    <row r="83" spans="1:18" x14ac:dyDescent="0.25">
      <c r="A83" s="7">
        <f>Données!A83</f>
        <v>5534</v>
      </c>
      <c r="B83" s="27" t="str">
        <f>Données!B83</f>
        <v>Rueyres</v>
      </c>
      <c r="C83" s="8">
        <f>Données!C83+Données!D83</f>
        <v>562542.9</v>
      </c>
      <c r="D83" s="8">
        <f>+Données!G83+Données!H83+Données!S83</f>
        <v>51702.770668660836</v>
      </c>
      <c r="E83" s="8">
        <f>+Données!E83</f>
        <v>0</v>
      </c>
      <c r="F83" s="8">
        <f>+Données!I83</f>
        <v>0</v>
      </c>
      <c r="G83" s="8">
        <f>+Données!J83</f>
        <v>17090.21</v>
      </c>
      <c r="H83" s="8">
        <f>Données!U83</f>
        <v>-65.14</v>
      </c>
      <c r="I83" s="216">
        <f>Données!V83</f>
        <v>0</v>
      </c>
      <c r="J83" s="216">
        <f>Données!W83</f>
        <v>0</v>
      </c>
      <c r="K83" s="8">
        <f>+Données!Q83</f>
        <v>0</v>
      </c>
      <c r="L83" s="464">
        <f t="shared" si="4"/>
        <v>631270.74066866084</v>
      </c>
      <c r="M83" s="8">
        <f>+Données!F83</f>
        <v>0</v>
      </c>
      <c r="N83" s="8">
        <f>+Données!K83</f>
        <v>861</v>
      </c>
      <c r="O83" s="8">
        <f>(Données!L83/Données!Y83)*1</f>
        <v>78980.708333333343</v>
      </c>
      <c r="P83" s="464">
        <f t="shared" si="5"/>
        <v>711112.44900199422</v>
      </c>
      <c r="Q83" s="241">
        <f>+Données!X83</f>
        <v>73</v>
      </c>
      <c r="R83" s="464">
        <f t="shared" si="3"/>
        <v>9741.2664246848526</v>
      </c>
    </row>
    <row r="84" spans="1:18" x14ac:dyDescent="0.25">
      <c r="A84" s="7">
        <f>Données!A84</f>
        <v>5535</v>
      </c>
      <c r="B84" s="27" t="str">
        <f>Données!B84</f>
        <v>Saint-Barthélemy</v>
      </c>
      <c r="C84" s="8">
        <f>Données!C84+Données!D84</f>
        <v>1572451.91</v>
      </c>
      <c r="D84" s="8">
        <f>+Données!G84+Données!H84+Données!S84</f>
        <v>-6134.15</v>
      </c>
      <c r="E84" s="8">
        <f>+Données!E84</f>
        <v>0</v>
      </c>
      <c r="F84" s="8">
        <f>+Données!I84</f>
        <v>0</v>
      </c>
      <c r="G84" s="8">
        <f>+Données!J84</f>
        <v>6266.37</v>
      </c>
      <c r="H84" s="8">
        <f>Données!U84</f>
        <v>-31282.47</v>
      </c>
      <c r="I84" s="216">
        <f>Données!V84</f>
        <v>0</v>
      </c>
      <c r="J84" s="216">
        <f>Données!W84</f>
        <v>-59.19</v>
      </c>
      <c r="K84" s="8">
        <f>+Données!Q84</f>
        <v>410.86</v>
      </c>
      <c r="L84" s="464">
        <f t="shared" si="4"/>
        <v>1541653.3300000003</v>
      </c>
      <c r="M84" s="8">
        <f>+Données!F84</f>
        <v>0</v>
      </c>
      <c r="N84" s="8">
        <f>+Données!K84</f>
        <v>1379.3</v>
      </c>
      <c r="O84" s="8">
        <f>(Données!L84/Données!Y84)*1</f>
        <v>144966.9</v>
      </c>
      <c r="P84" s="464">
        <f t="shared" si="5"/>
        <v>1687999.5300000003</v>
      </c>
      <c r="Q84" s="241">
        <f>+Données!X84</f>
        <v>75</v>
      </c>
      <c r="R84" s="464">
        <f t="shared" si="3"/>
        <v>22506.660400000004</v>
      </c>
    </row>
    <row r="85" spans="1:18" x14ac:dyDescent="0.25">
      <c r="A85" s="7">
        <f>Données!A85</f>
        <v>5537</v>
      </c>
      <c r="B85" s="27" t="str">
        <f>Données!B85</f>
        <v>Villars-le-Terroir</v>
      </c>
      <c r="C85" s="8">
        <f>Données!C85+Données!D85</f>
        <v>2535770.9299999997</v>
      </c>
      <c r="D85" s="8">
        <f>+Données!G85+Données!H85+Données!S85</f>
        <v>19535.857216118973</v>
      </c>
      <c r="E85" s="8">
        <f>+Données!E85</f>
        <v>0</v>
      </c>
      <c r="F85" s="8">
        <f>+Données!I85</f>
        <v>0</v>
      </c>
      <c r="G85" s="8">
        <f>+Données!J85</f>
        <v>4792.95</v>
      </c>
      <c r="H85" s="8">
        <f>Données!U85</f>
        <v>-31621.53</v>
      </c>
      <c r="I85" s="216">
        <f>Données!V85</f>
        <v>0</v>
      </c>
      <c r="J85" s="216">
        <f>Données!W85</f>
        <v>-158.81</v>
      </c>
      <c r="K85" s="8">
        <f>+Données!Q85</f>
        <v>6633.16</v>
      </c>
      <c r="L85" s="464">
        <f t="shared" si="4"/>
        <v>2534952.557216119</v>
      </c>
      <c r="M85" s="8">
        <f>+Données!F85</f>
        <v>7030</v>
      </c>
      <c r="N85" s="8">
        <f>+Données!K85</f>
        <v>833</v>
      </c>
      <c r="O85" s="8">
        <f>(Données!L85/Données!Y85)*1</f>
        <v>228114.65</v>
      </c>
      <c r="P85" s="464">
        <f t="shared" si="5"/>
        <v>2770930.2072161189</v>
      </c>
      <c r="Q85" s="241">
        <f>+Données!X85</f>
        <v>73</v>
      </c>
      <c r="R85" s="464">
        <f t="shared" si="3"/>
        <v>37957.948044056422</v>
      </c>
    </row>
    <row r="86" spans="1:18" x14ac:dyDescent="0.25">
      <c r="A86" s="7">
        <f>Données!A86</f>
        <v>5539</v>
      </c>
      <c r="B86" s="27" t="str">
        <f>Données!B86</f>
        <v>Vuarrens</v>
      </c>
      <c r="C86" s="8">
        <f>Données!C86+Données!D86</f>
        <v>2413539.92</v>
      </c>
      <c r="D86" s="8">
        <f>+Données!G86+Données!H86+Données!S86</f>
        <v>24289.077890853558</v>
      </c>
      <c r="E86" s="8">
        <f>+Données!E86</f>
        <v>0</v>
      </c>
      <c r="F86" s="8">
        <f>+Données!I86</f>
        <v>0</v>
      </c>
      <c r="G86" s="8">
        <f>+Données!J86</f>
        <v>10580.62</v>
      </c>
      <c r="H86" s="8">
        <f>Données!U86</f>
        <v>-22282.17</v>
      </c>
      <c r="I86" s="216">
        <f>Données!V86</f>
        <v>0</v>
      </c>
      <c r="J86" s="216">
        <f>Données!W86</f>
        <v>-212.45</v>
      </c>
      <c r="K86" s="8">
        <f>+Données!Q86</f>
        <v>24565.61</v>
      </c>
      <c r="L86" s="464">
        <f t="shared" si="4"/>
        <v>2450480.6078908532</v>
      </c>
      <c r="M86" s="8">
        <f>+Données!F86</f>
        <v>0</v>
      </c>
      <c r="N86" s="8">
        <f>+Données!K86</f>
        <v>5823.4</v>
      </c>
      <c r="O86" s="8">
        <f>(Données!L86/Données!Y86)*1</f>
        <v>186391.6875</v>
      </c>
      <c r="P86" s="464">
        <f t="shared" si="5"/>
        <v>2642695.6953908531</v>
      </c>
      <c r="Q86" s="241">
        <f>+Données!X86</f>
        <v>73.5</v>
      </c>
      <c r="R86" s="464">
        <f t="shared" si="3"/>
        <v>35955.043474705482</v>
      </c>
    </row>
    <row r="87" spans="1:18" x14ac:dyDescent="0.25">
      <c r="A87" s="7">
        <f>Données!A87</f>
        <v>5540</v>
      </c>
      <c r="B87" s="27" t="str">
        <f>Données!B87</f>
        <v>Montilliez</v>
      </c>
      <c r="C87" s="8">
        <f>Données!C87+Données!D87</f>
        <v>4300142.17</v>
      </c>
      <c r="D87" s="8">
        <f>+Données!G87+Données!H87+Données!S87</f>
        <v>146494.79817072948</v>
      </c>
      <c r="E87" s="8">
        <f>+Données!E87</f>
        <v>0</v>
      </c>
      <c r="F87" s="8">
        <f>+Données!I87</f>
        <v>0</v>
      </c>
      <c r="G87" s="8">
        <f>+Données!J87</f>
        <v>50648.1</v>
      </c>
      <c r="H87" s="8">
        <f>Données!U87</f>
        <v>-69478.42</v>
      </c>
      <c r="I87" s="216">
        <f>Données!V87</f>
        <v>0</v>
      </c>
      <c r="J87" s="216">
        <f>Données!W87</f>
        <v>-751.17</v>
      </c>
      <c r="K87" s="8">
        <f>+Données!Q87</f>
        <v>9509.91</v>
      </c>
      <c r="L87" s="464">
        <f t="shared" si="4"/>
        <v>4436565.3881707294</v>
      </c>
      <c r="M87" s="8">
        <f>+Données!F87</f>
        <v>0</v>
      </c>
      <c r="N87" s="8">
        <f>+Données!K87</f>
        <v>13109.85</v>
      </c>
      <c r="O87" s="8">
        <f>(Données!L87/Données!Y87)*1</f>
        <v>351011.25</v>
      </c>
      <c r="P87" s="464">
        <f t="shared" si="5"/>
        <v>4800686.488170729</v>
      </c>
      <c r="Q87" s="241">
        <f>+Données!X87</f>
        <v>72.5</v>
      </c>
      <c r="R87" s="464">
        <f t="shared" si="3"/>
        <v>66216.365354079026</v>
      </c>
    </row>
    <row r="88" spans="1:18" x14ac:dyDescent="0.25">
      <c r="A88" s="7">
        <f>Données!A88</f>
        <v>5541</v>
      </c>
      <c r="B88" s="27" t="str">
        <f>Données!B88</f>
        <v>Goumoëns</v>
      </c>
      <c r="C88" s="8">
        <f>Données!C88+Données!D88</f>
        <v>2541351.1</v>
      </c>
      <c r="D88" s="8">
        <f>+Données!G88+Données!H88+Données!S88</f>
        <v>90224.497096846433</v>
      </c>
      <c r="E88" s="8">
        <f>+Données!E88</f>
        <v>0</v>
      </c>
      <c r="F88" s="8">
        <f>+Données!I88</f>
        <v>0</v>
      </c>
      <c r="G88" s="8">
        <f>+Données!J88</f>
        <v>11363.73</v>
      </c>
      <c r="H88" s="8">
        <f>Données!U88</f>
        <v>-62440.43</v>
      </c>
      <c r="I88" s="216">
        <f>Données!V88</f>
        <v>0</v>
      </c>
      <c r="J88" s="216">
        <f>Données!W88</f>
        <v>-27.51</v>
      </c>
      <c r="K88" s="8">
        <f>+Données!Q88</f>
        <v>0</v>
      </c>
      <c r="L88" s="464">
        <f t="shared" si="4"/>
        <v>2580471.3870968465</v>
      </c>
      <c r="M88" s="8">
        <f>+Données!F88</f>
        <v>0</v>
      </c>
      <c r="N88" s="8">
        <f>+Données!K88</f>
        <v>1456.65</v>
      </c>
      <c r="O88" s="8">
        <f>(Données!L88/Données!Y88)*1</f>
        <v>209672.85</v>
      </c>
      <c r="P88" s="464">
        <f t="shared" si="5"/>
        <v>2791600.8870968465</v>
      </c>
      <c r="Q88" s="241">
        <f>+Données!X88</f>
        <v>75.5</v>
      </c>
      <c r="R88" s="464">
        <f t="shared" si="3"/>
        <v>36974.846186713199</v>
      </c>
    </row>
    <row r="89" spans="1:18" x14ac:dyDescent="0.25">
      <c r="A89" s="7">
        <f>Données!A89</f>
        <v>5551</v>
      </c>
      <c r="B89" s="27" t="str">
        <f>Données!B89</f>
        <v>Bonvillars</v>
      </c>
      <c r="C89" s="8">
        <f>Données!C89+Données!D89</f>
        <v>920815.72</v>
      </c>
      <c r="D89" s="8">
        <f>+Données!G89+Données!H89+Données!S89</f>
        <v>12019.793737759121</v>
      </c>
      <c r="E89" s="8">
        <f>+Données!E89</f>
        <v>0</v>
      </c>
      <c r="F89" s="8">
        <f>+Données!I89</f>
        <v>0</v>
      </c>
      <c r="G89" s="8">
        <f>+Données!J89</f>
        <v>-2026.29</v>
      </c>
      <c r="H89" s="8">
        <f>Données!U89</f>
        <v>-5687.44</v>
      </c>
      <c r="I89" s="216">
        <f>Données!V89</f>
        <v>0</v>
      </c>
      <c r="J89" s="216">
        <f>Données!W89</f>
        <v>-1849.91</v>
      </c>
      <c r="K89" s="8">
        <f>+Données!Q89</f>
        <v>0</v>
      </c>
      <c r="L89" s="464">
        <f t="shared" si="4"/>
        <v>923271.87373775907</v>
      </c>
      <c r="M89" s="8">
        <f>+Données!F89</f>
        <v>0</v>
      </c>
      <c r="N89" s="8">
        <f>+Données!K89</f>
        <v>16988.400000000001</v>
      </c>
      <c r="O89" s="8">
        <f>(Données!L89/Données!Y89)*1</f>
        <v>113115.6</v>
      </c>
      <c r="P89" s="464">
        <f t="shared" si="5"/>
        <v>1053375.8737377592</v>
      </c>
      <c r="Q89" s="241">
        <f>+Données!X89</f>
        <v>55</v>
      </c>
      <c r="R89" s="464">
        <f t="shared" si="3"/>
        <v>19152.288613413803</v>
      </c>
    </row>
    <row r="90" spans="1:18" x14ac:dyDescent="0.25">
      <c r="A90" s="7">
        <f>Données!A90</f>
        <v>5552</v>
      </c>
      <c r="B90" s="27" t="str">
        <f>Données!B90</f>
        <v>Bullet</v>
      </c>
      <c r="C90" s="8">
        <f>Données!C90+Données!D90</f>
        <v>1127340.1499999999</v>
      </c>
      <c r="D90" s="8">
        <f>+Données!G90+Données!H90+Données!S90</f>
        <v>-3597.6499999999996</v>
      </c>
      <c r="E90" s="8">
        <f>+Données!E90</f>
        <v>0</v>
      </c>
      <c r="F90" s="8">
        <f>+Données!I90</f>
        <v>0</v>
      </c>
      <c r="G90" s="8">
        <f>+Données!J90</f>
        <v>15639.79</v>
      </c>
      <c r="H90" s="8">
        <f>Données!U90</f>
        <v>-6720.92</v>
      </c>
      <c r="I90" s="216">
        <f>Données!V90</f>
        <v>0</v>
      </c>
      <c r="J90" s="216">
        <f>Données!W90</f>
        <v>-365.96</v>
      </c>
      <c r="K90" s="8">
        <f>+Données!Q90</f>
        <v>1394.42</v>
      </c>
      <c r="L90" s="464">
        <f t="shared" si="4"/>
        <v>1133689.83</v>
      </c>
      <c r="M90" s="8">
        <f>+Données!F90</f>
        <v>0</v>
      </c>
      <c r="N90" s="8">
        <f>+Données!K90</f>
        <v>-502.9</v>
      </c>
      <c r="O90" s="8">
        <f>(Données!L90/Données!Y90)*1</f>
        <v>122528.45</v>
      </c>
      <c r="P90" s="464">
        <f t="shared" si="5"/>
        <v>1255715.3800000001</v>
      </c>
      <c r="Q90" s="241">
        <f>+Données!X90</f>
        <v>71.5</v>
      </c>
      <c r="R90" s="464">
        <f t="shared" si="3"/>
        <v>17562.45286713287</v>
      </c>
    </row>
    <row r="91" spans="1:18" x14ac:dyDescent="0.25">
      <c r="A91" s="7">
        <f>Données!A91</f>
        <v>5553</v>
      </c>
      <c r="B91" s="27" t="str">
        <f>Données!B91</f>
        <v>Champagne</v>
      </c>
      <c r="C91" s="8">
        <f>Données!C91+Données!D91</f>
        <v>1989145.14</v>
      </c>
      <c r="D91" s="8">
        <f>+Données!G91+Données!H91+Données!S91</f>
        <v>194274.62854773251</v>
      </c>
      <c r="E91" s="8">
        <f>+Données!E91</f>
        <v>0</v>
      </c>
      <c r="F91" s="8">
        <f>+Données!I91</f>
        <v>0</v>
      </c>
      <c r="G91" s="8">
        <f>+Données!J91</f>
        <v>75757.75</v>
      </c>
      <c r="H91" s="8">
        <f>Données!U91</f>
        <v>-9025.49</v>
      </c>
      <c r="I91" s="216">
        <f>Données!V91</f>
        <v>0</v>
      </c>
      <c r="J91" s="216">
        <f>Données!W91</f>
        <v>-569.12</v>
      </c>
      <c r="K91" s="8">
        <f>+Données!Q91</f>
        <v>1474.94</v>
      </c>
      <c r="L91" s="464">
        <f t="shared" si="4"/>
        <v>2251057.848547732</v>
      </c>
      <c r="M91" s="8">
        <f>+Données!F91</f>
        <v>0</v>
      </c>
      <c r="N91" s="8">
        <f>+Données!K91</f>
        <v>27799.65</v>
      </c>
      <c r="O91" s="8">
        <f>(Données!L91/Données!Y91)*1</f>
        <v>231568.6</v>
      </c>
      <c r="P91" s="464">
        <f t="shared" si="5"/>
        <v>2510426.098547732</v>
      </c>
      <c r="Q91" s="241">
        <f>+Données!X91</f>
        <v>65</v>
      </c>
      <c r="R91" s="464">
        <f t="shared" si="3"/>
        <v>38621.939977657414</v>
      </c>
    </row>
    <row r="92" spans="1:18" x14ac:dyDescent="0.25">
      <c r="A92" s="7">
        <f>Données!A92</f>
        <v>5554</v>
      </c>
      <c r="B92" s="27" t="str">
        <f>Données!B92</f>
        <v>Concise</v>
      </c>
      <c r="C92" s="8">
        <f>Données!C92+Données!D92</f>
        <v>2216050.67</v>
      </c>
      <c r="D92" s="8">
        <f>+Données!G92+Données!H92+Données!S92</f>
        <v>25127.868620404104</v>
      </c>
      <c r="E92" s="8">
        <f>+Données!E92</f>
        <v>0</v>
      </c>
      <c r="F92" s="8">
        <f>+Données!I92</f>
        <v>0</v>
      </c>
      <c r="G92" s="8">
        <f>+Données!J92</f>
        <v>36519.08</v>
      </c>
      <c r="H92" s="8">
        <f>Données!U92</f>
        <v>-27154.080000000002</v>
      </c>
      <c r="I92" s="216">
        <f>Données!V92</f>
        <v>0</v>
      </c>
      <c r="J92" s="216">
        <f>Données!W92</f>
        <v>-5552</v>
      </c>
      <c r="K92" s="8">
        <f>+Données!Q92</f>
        <v>8111.93</v>
      </c>
      <c r="L92" s="464">
        <f t="shared" si="4"/>
        <v>2253103.4686204041</v>
      </c>
      <c r="M92" s="8">
        <f>+Données!F92</f>
        <v>0</v>
      </c>
      <c r="N92" s="8">
        <f>+Données!K92</f>
        <v>-11415.05</v>
      </c>
      <c r="O92" s="8">
        <f>(Données!L92/Données!Y92)*1</f>
        <v>182402.2</v>
      </c>
      <c r="P92" s="464">
        <f t="shared" si="5"/>
        <v>2424090.6186204045</v>
      </c>
      <c r="Q92" s="241">
        <f>+Données!X92</f>
        <v>75</v>
      </c>
      <c r="R92" s="464">
        <f t="shared" si="3"/>
        <v>32321.208248272062</v>
      </c>
    </row>
    <row r="93" spans="1:18" x14ac:dyDescent="0.25">
      <c r="A93" s="7">
        <f>Données!A93</f>
        <v>5555</v>
      </c>
      <c r="B93" s="27" t="str">
        <f>Données!B93</f>
        <v>Corcelles-près-Concise</v>
      </c>
      <c r="C93" s="8">
        <f>Données!C93+Données!D93</f>
        <v>800075.37000000011</v>
      </c>
      <c r="D93" s="8">
        <f>+Données!G93+Données!H93+Données!S93</f>
        <v>29655.318039007776</v>
      </c>
      <c r="E93" s="8">
        <f>+Données!E93</f>
        <v>0</v>
      </c>
      <c r="F93" s="8">
        <f>+Données!I93</f>
        <v>0</v>
      </c>
      <c r="G93" s="8">
        <f>+Données!J93</f>
        <v>17711.75</v>
      </c>
      <c r="H93" s="8">
        <f>Données!U93</f>
        <v>-3578.72</v>
      </c>
      <c r="I93" s="216">
        <f>Données!V93</f>
        <v>0</v>
      </c>
      <c r="J93" s="216">
        <f>Données!W93</f>
        <v>-252.22</v>
      </c>
      <c r="K93" s="8">
        <f>+Données!Q93</f>
        <v>0</v>
      </c>
      <c r="L93" s="464">
        <f t="shared" si="4"/>
        <v>843611.49803900789</v>
      </c>
      <c r="M93" s="8">
        <f>+Données!F93</f>
        <v>0</v>
      </c>
      <c r="N93" s="8">
        <f>+Données!K93</f>
        <v>2094.9</v>
      </c>
      <c r="O93" s="8">
        <f>(Données!L93/Données!Y93)*1</f>
        <v>92071.4</v>
      </c>
      <c r="P93" s="464">
        <f t="shared" si="5"/>
        <v>937777.79803900793</v>
      </c>
      <c r="Q93" s="241">
        <f>+Données!X93</f>
        <v>69</v>
      </c>
      <c r="R93" s="464">
        <f t="shared" si="3"/>
        <v>13590.982580275477</v>
      </c>
    </row>
    <row r="94" spans="1:18" x14ac:dyDescent="0.25">
      <c r="A94" s="7">
        <f>Données!A94</f>
        <v>5556</v>
      </c>
      <c r="B94" s="27" t="str">
        <f>Données!B94</f>
        <v>Fiez</v>
      </c>
      <c r="C94" s="8">
        <f>Données!C94+Données!D94</f>
        <v>884640.02999999991</v>
      </c>
      <c r="D94" s="8">
        <f>+Données!G94+Données!H94+Données!S94</f>
        <v>17545.698966854161</v>
      </c>
      <c r="E94" s="8">
        <f>+Données!E94</f>
        <v>0</v>
      </c>
      <c r="F94" s="8">
        <f>+Données!I94</f>
        <v>0</v>
      </c>
      <c r="G94" s="8">
        <f>+Données!J94</f>
        <v>14914.82</v>
      </c>
      <c r="H94" s="8">
        <f>Données!U94</f>
        <v>-40554.980000000003</v>
      </c>
      <c r="I94" s="216">
        <f>Données!V94</f>
        <v>0</v>
      </c>
      <c r="J94" s="216">
        <f>Données!W94</f>
        <v>0</v>
      </c>
      <c r="K94" s="8">
        <f>+Données!Q94</f>
        <v>0</v>
      </c>
      <c r="L94" s="464">
        <f t="shared" si="4"/>
        <v>876545.56896685401</v>
      </c>
      <c r="M94" s="8">
        <f>+Données!F94</f>
        <v>2420</v>
      </c>
      <c r="N94" s="8">
        <f>+Données!K94</f>
        <v>1271.6500000000001</v>
      </c>
      <c r="O94" s="8">
        <f>(Données!L94/Données!Y94)*1</f>
        <v>72747.375000000015</v>
      </c>
      <c r="P94" s="464">
        <f t="shared" si="5"/>
        <v>952984.59396685404</v>
      </c>
      <c r="Q94" s="241">
        <f>+Données!X94</f>
        <v>69</v>
      </c>
      <c r="R94" s="464">
        <f t="shared" si="3"/>
        <v>13811.370927055856</v>
      </c>
    </row>
    <row r="95" spans="1:18" x14ac:dyDescent="0.25">
      <c r="A95" s="7">
        <f>Données!A95</f>
        <v>5557</v>
      </c>
      <c r="B95" s="27" t="str">
        <f>Données!B95</f>
        <v>Fontaines-sur-Grandson</v>
      </c>
      <c r="C95" s="8">
        <f>Données!C95+Données!D95</f>
        <v>382500.77999999997</v>
      </c>
      <c r="D95" s="8">
        <f>+Données!G95+Données!H95+Données!S95</f>
        <v>-10423.449999999999</v>
      </c>
      <c r="E95" s="8">
        <f>+Données!E95</f>
        <v>0</v>
      </c>
      <c r="F95" s="8">
        <f>+Données!I95</f>
        <v>0</v>
      </c>
      <c r="G95" s="8">
        <f>+Données!J95</f>
        <v>229.55</v>
      </c>
      <c r="H95" s="8">
        <f>Données!U95</f>
        <v>-7520.21</v>
      </c>
      <c r="I95" s="216">
        <f>Données!V95</f>
        <v>0</v>
      </c>
      <c r="J95" s="216">
        <f>Données!W95</f>
        <v>-0.03</v>
      </c>
      <c r="K95" s="8">
        <f>+Données!Q95</f>
        <v>3338.97</v>
      </c>
      <c r="L95" s="464">
        <f t="shared" si="4"/>
        <v>368125.60999999987</v>
      </c>
      <c r="M95" s="8">
        <f>+Données!F95</f>
        <v>1040</v>
      </c>
      <c r="N95" s="8">
        <f>+Données!K95</f>
        <v>1136.45</v>
      </c>
      <c r="O95" s="8">
        <f>(Données!L95/Données!Y95)*1</f>
        <v>36690.800000000003</v>
      </c>
      <c r="P95" s="464">
        <f t="shared" si="5"/>
        <v>406992.85999999987</v>
      </c>
      <c r="Q95" s="241">
        <f>+Données!X95</f>
        <v>69</v>
      </c>
      <c r="R95" s="464">
        <f t="shared" si="3"/>
        <v>5898.4472463768097</v>
      </c>
    </row>
    <row r="96" spans="1:18" x14ac:dyDescent="0.25">
      <c r="A96" s="7">
        <f>Données!A96</f>
        <v>5559</v>
      </c>
      <c r="B96" s="27" t="str">
        <f>Données!B96</f>
        <v>Giez</v>
      </c>
      <c r="C96" s="8">
        <f>Données!C96+Données!D96</f>
        <v>1138426.3600000001</v>
      </c>
      <c r="D96" s="8">
        <f>+Données!G96+Données!H96+Données!S96</f>
        <v>-116003.25</v>
      </c>
      <c r="E96" s="8">
        <f>+Données!E96</f>
        <v>0</v>
      </c>
      <c r="F96" s="8">
        <f>+Données!I96</f>
        <v>0</v>
      </c>
      <c r="G96" s="8">
        <f>+Données!J96</f>
        <v>21462.39</v>
      </c>
      <c r="H96" s="8">
        <f>Données!U96</f>
        <v>-10216.77</v>
      </c>
      <c r="I96" s="216">
        <f>Données!V96</f>
        <v>0</v>
      </c>
      <c r="J96" s="216">
        <f>Données!W96</f>
        <v>-197.15</v>
      </c>
      <c r="K96" s="8">
        <f>+Données!Q96</f>
        <v>2580.88</v>
      </c>
      <c r="L96" s="464">
        <f t="shared" si="4"/>
        <v>1036052.4600000001</v>
      </c>
      <c r="M96" s="8">
        <f>+Données!F96</f>
        <v>0</v>
      </c>
      <c r="N96" s="8">
        <f>+Données!K96</f>
        <v>4011.5</v>
      </c>
      <c r="O96" s="8">
        <f>(Données!L96/Données!Y96)*1</f>
        <v>89093.1</v>
      </c>
      <c r="P96" s="464">
        <f t="shared" si="5"/>
        <v>1129157.06</v>
      </c>
      <c r="Q96" s="241">
        <f>+Données!X96</f>
        <v>66</v>
      </c>
      <c r="R96" s="464">
        <f t="shared" si="3"/>
        <v>17108.440303030304</v>
      </c>
    </row>
    <row r="97" spans="1:18" x14ac:dyDescent="0.25">
      <c r="A97" s="7">
        <f>Données!A97</f>
        <v>5560</v>
      </c>
      <c r="B97" s="27" t="str">
        <f>Données!B97</f>
        <v>Grandevent</v>
      </c>
      <c r="C97" s="8">
        <f>Données!C97+Données!D97</f>
        <v>370813.2</v>
      </c>
      <c r="D97" s="8">
        <f>+Données!G97+Données!H97+Données!S97</f>
        <v>1231.8040202570178</v>
      </c>
      <c r="E97" s="8">
        <f>+Données!E97</f>
        <v>0</v>
      </c>
      <c r="F97" s="8">
        <f>+Données!I97</f>
        <v>0</v>
      </c>
      <c r="G97" s="8">
        <f>+Données!J97</f>
        <v>4056.5</v>
      </c>
      <c r="H97" s="8">
        <f>Données!U97</f>
        <v>-61.04</v>
      </c>
      <c r="I97" s="216">
        <f>Données!V97</f>
        <v>0</v>
      </c>
      <c r="J97" s="216">
        <f>Données!W97</f>
        <v>0</v>
      </c>
      <c r="K97" s="8">
        <f>+Données!Q97</f>
        <v>0</v>
      </c>
      <c r="L97" s="464">
        <f t="shared" si="4"/>
        <v>376040.46402025706</v>
      </c>
      <c r="M97" s="8">
        <f>+Données!F97</f>
        <v>0</v>
      </c>
      <c r="N97" s="8">
        <f>+Données!K97</f>
        <v>624.20000000000005</v>
      </c>
      <c r="O97" s="8">
        <f>(Données!L97/Données!Y97)*1</f>
        <v>42727.75</v>
      </c>
      <c r="P97" s="464">
        <f t="shared" si="5"/>
        <v>419392.41402025707</v>
      </c>
      <c r="Q97" s="241">
        <f>+Données!X97</f>
        <v>68</v>
      </c>
      <c r="R97" s="464">
        <f t="shared" si="3"/>
        <v>6167.5355002978977</v>
      </c>
    </row>
    <row r="98" spans="1:18" x14ac:dyDescent="0.25">
      <c r="A98" s="7">
        <f>Données!A98</f>
        <v>5561</v>
      </c>
      <c r="B98" s="27" t="str">
        <f>Données!B98</f>
        <v>Grandson</v>
      </c>
      <c r="C98" s="8">
        <f>Données!C98+Données!D98</f>
        <v>7032661.0800000001</v>
      </c>
      <c r="D98" s="8">
        <f>+Données!G98+Données!H98+Données!S98</f>
        <v>188435.54256840138</v>
      </c>
      <c r="E98" s="8">
        <f>+Données!E98</f>
        <v>0</v>
      </c>
      <c r="F98" s="8">
        <f>+Données!I98</f>
        <v>0</v>
      </c>
      <c r="G98" s="8">
        <f>+Données!J98</f>
        <v>98024.05</v>
      </c>
      <c r="H98" s="8">
        <f>Données!U98</f>
        <v>-92039.66</v>
      </c>
      <c r="I98" s="216">
        <f>Données!V98</f>
        <v>0</v>
      </c>
      <c r="J98" s="216">
        <f>Données!W98</f>
        <v>-2215.56</v>
      </c>
      <c r="K98" s="8">
        <f>+Données!Q98</f>
        <v>24183.27</v>
      </c>
      <c r="L98" s="464">
        <f t="shared" si="4"/>
        <v>7249048.7225684011</v>
      </c>
      <c r="M98" s="8">
        <f>+Données!F98</f>
        <v>0</v>
      </c>
      <c r="N98" s="8">
        <f>+Données!K98</f>
        <v>39938</v>
      </c>
      <c r="O98" s="8">
        <f>(Données!L98/Données!Y98)*1</f>
        <v>625231.19999999995</v>
      </c>
      <c r="P98" s="464">
        <f t="shared" si="5"/>
        <v>7914217.9225684013</v>
      </c>
      <c r="Q98" s="241">
        <f>+Données!X98</f>
        <v>69</v>
      </c>
      <c r="R98" s="464">
        <f t="shared" si="3"/>
        <v>114698.81047200582</v>
      </c>
    </row>
    <row r="99" spans="1:18" x14ac:dyDescent="0.25">
      <c r="A99" s="7">
        <f>Données!A99</f>
        <v>5562</v>
      </c>
      <c r="B99" s="27" t="str">
        <f>Données!B99</f>
        <v>Mauborget</v>
      </c>
      <c r="C99" s="8">
        <f>Données!C99+Données!D99</f>
        <v>387330.91000000003</v>
      </c>
      <c r="D99" s="8">
        <f>+Données!G99+Données!H99+Données!S99</f>
        <v>2506.1597728830657</v>
      </c>
      <c r="E99" s="8">
        <f>+Données!E99</f>
        <v>0</v>
      </c>
      <c r="F99" s="8">
        <f>+Données!I99</f>
        <v>0</v>
      </c>
      <c r="G99" s="8">
        <f>+Données!J99</f>
        <v>6319.65</v>
      </c>
      <c r="H99" s="8">
        <f>Données!U99</f>
        <v>-6905.78</v>
      </c>
      <c r="I99" s="216">
        <f>Données!V99</f>
        <v>0</v>
      </c>
      <c r="J99" s="216">
        <f>Données!W99</f>
        <v>-13.26</v>
      </c>
      <c r="K99" s="8">
        <f>+Données!Q99</f>
        <v>0</v>
      </c>
      <c r="L99" s="464">
        <f t="shared" si="4"/>
        <v>389237.67977288307</v>
      </c>
      <c r="M99" s="8">
        <f>+Données!F99</f>
        <v>870</v>
      </c>
      <c r="N99" s="8">
        <f>+Données!K99</f>
        <v>1974.5</v>
      </c>
      <c r="O99" s="8">
        <f>(Données!L99/Données!Y99)*1</f>
        <v>30469.000000000004</v>
      </c>
      <c r="P99" s="464">
        <f t="shared" si="5"/>
        <v>422551.17977288307</v>
      </c>
      <c r="Q99" s="241">
        <f>+Données!X99</f>
        <v>70</v>
      </c>
      <c r="R99" s="464">
        <f t="shared" si="3"/>
        <v>6036.4454253269014</v>
      </c>
    </row>
    <row r="100" spans="1:18" x14ac:dyDescent="0.25">
      <c r="A100" s="7">
        <f>Données!A100</f>
        <v>5563</v>
      </c>
      <c r="B100" s="27" t="str">
        <f>Données!B100</f>
        <v>Mutrux</v>
      </c>
      <c r="C100" s="8">
        <f>Données!C100+Données!D100</f>
        <v>307519.5</v>
      </c>
      <c r="D100" s="8">
        <f>+Données!G100+Données!H100+Données!S100</f>
        <v>499.52988528185199</v>
      </c>
      <c r="E100" s="8">
        <f>+Données!E100</f>
        <v>0</v>
      </c>
      <c r="F100" s="8">
        <f>+Données!I100</f>
        <v>0</v>
      </c>
      <c r="G100" s="8">
        <f>+Données!J100</f>
        <v>0</v>
      </c>
      <c r="H100" s="8">
        <f>Données!U100</f>
        <v>-4499.96</v>
      </c>
      <c r="I100" s="216">
        <f>Données!V100</f>
        <v>0</v>
      </c>
      <c r="J100" s="216">
        <f>Données!W100</f>
        <v>-0.95</v>
      </c>
      <c r="K100" s="8">
        <f>+Données!Q100</f>
        <v>0</v>
      </c>
      <c r="L100" s="464">
        <f t="shared" si="4"/>
        <v>303518.11988528183</v>
      </c>
      <c r="M100" s="8">
        <f>+Données!F100</f>
        <v>546</v>
      </c>
      <c r="N100" s="8">
        <f>+Données!K100</f>
        <v>0</v>
      </c>
      <c r="O100" s="8">
        <f>(Données!L100/Données!Y100)*1</f>
        <v>21812.55</v>
      </c>
      <c r="P100" s="464">
        <f t="shared" si="5"/>
        <v>325876.66988528182</v>
      </c>
      <c r="Q100" s="241">
        <f>+Données!X100</f>
        <v>80</v>
      </c>
      <c r="R100" s="464">
        <f t="shared" si="3"/>
        <v>4073.4583735660226</v>
      </c>
    </row>
    <row r="101" spans="1:18" x14ac:dyDescent="0.25">
      <c r="A101" s="7">
        <f>Données!A101</f>
        <v>5564</v>
      </c>
      <c r="B101" s="27" t="str">
        <f>Données!B101</f>
        <v>Novalles</v>
      </c>
      <c r="C101" s="8">
        <f>Données!C101+Données!D101</f>
        <v>145477.26999999999</v>
      </c>
      <c r="D101" s="8">
        <f>+Données!G101+Données!H101+Données!S101</f>
        <v>-14.799999999999997</v>
      </c>
      <c r="E101" s="8">
        <f>+Données!E101</f>
        <v>0</v>
      </c>
      <c r="F101" s="8">
        <f>+Données!I101</f>
        <v>0</v>
      </c>
      <c r="G101" s="8">
        <f>+Données!J101</f>
        <v>0</v>
      </c>
      <c r="H101" s="8">
        <f>Données!U101</f>
        <v>-188.79</v>
      </c>
      <c r="I101" s="216">
        <f>Données!V101</f>
        <v>0</v>
      </c>
      <c r="J101" s="216">
        <f>Données!W101</f>
        <v>0</v>
      </c>
      <c r="K101" s="8">
        <f>+Données!Q101</f>
        <v>0</v>
      </c>
      <c r="L101" s="464">
        <f t="shared" si="4"/>
        <v>145273.68</v>
      </c>
      <c r="M101" s="8">
        <f>+Données!F101</f>
        <v>0</v>
      </c>
      <c r="N101" s="8">
        <f>+Données!K101</f>
        <v>0</v>
      </c>
      <c r="O101" s="8">
        <f>(Données!L101/Données!Y101)*1</f>
        <v>13682.4375</v>
      </c>
      <c r="P101" s="464">
        <f t="shared" si="5"/>
        <v>158956.11749999999</v>
      </c>
      <c r="Q101" s="241">
        <f>+Données!X101</f>
        <v>76</v>
      </c>
      <c r="R101" s="464">
        <f t="shared" si="3"/>
        <v>2091.5278618421053</v>
      </c>
    </row>
    <row r="102" spans="1:18" x14ac:dyDescent="0.25">
      <c r="A102" s="7">
        <f>Données!A102</f>
        <v>5565</v>
      </c>
      <c r="B102" s="27" t="str">
        <f>Données!B102</f>
        <v>Onnens</v>
      </c>
      <c r="C102" s="8">
        <f>Données!C102+Données!D102</f>
        <v>865486.51</v>
      </c>
      <c r="D102" s="8">
        <f>+Données!G102+Données!H102+Données!S102</f>
        <v>242051.49402983495</v>
      </c>
      <c r="E102" s="8">
        <f>+Données!E102</f>
        <v>0</v>
      </c>
      <c r="F102" s="8">
        <f>+Données!I102</f>
        <v>0</v>
      </c>
      <c r="G102" s="8">
        <f>+Données!J102</f>
        <v>7621.6</v>
      </c>
      <c r="H102" s="8">
        <f>Données!U102</f>
        <v>-27776.720000000001</v>
      </c>
      <c r="I102" s="216">
        <f>Données!V102</f>
        <v>0</v>
      </c>
      <c r="J102" s="216">
        <f>Données!W102</f>
        <v>-11.29</v>
      </c>
      <c r="K102" s="8">
        <f>+Données!Q102</f>
        <v>1733.33</v>
      </c>
      <c r="L102" s="464">
        <f t="shared" si="4"/>
        <v>1089104.924029835</v>
      </c>
      <c r="M102" s="8">
        <f>+Données!F102</f>
        <v>0</v>
      </c>
      <c r="N102" s="8">
        <f>+Données!K102</f>
        <v>26852.5</v>
      </c>
      <c r="O102" s="8">
        <f>(Données!L102/Données!Y102)*1</f>
        <v>129580.95</v>
      </c>
      <c r="P102" s="464">
        <f t="shared" si="5"/>
        <v>1245538.374029835</v>
      </c>
      <c r="Q102" s="241">
        <f>+Données!X102</f>
        <v>63.5</v>
      </c>
      <c r="R102" s="464">
        <f t="shared" si="3"/>
        <v>19614.777543776931</v>
      </c>
    </row>
    <row r="103" spans="1:18" x14ac:dyDescent="0.25">
      <c r="A103" s="7">
        <f>Données!A103</f>
        <v>5566</v>
      </c>
      <c r="B103" s="27" t="str">
        <f>Données!B103</f>
        <v>Provence</v>
      </c>
      <c r="C103" s="8">
        <f>Données!C103+Données!D103</f>
        <v>550431.46</v>
      </c>
      <c r="D103" s="8">
        <f>+Données!G103+Données!H103+Données!S103</f>
        <v>26011.187678924041</v>
      </c>
      <c r="E103" s="8">
        <f>+Données!E103</f>
        <v>0</v>
      </c>
      <c r="F103" s="8">
        <f>+Données!I103</f>
        <v>0</v>
      </c>
      <c r="G103" s="8">
        <f>+Données!J103</f>
        <v>-2241.41</v>
      </c>
      <c r="H103" s="8">
        <f>Données!U103</f>
        <v>-16973.87</v>
      </c>
      <c r="I103" s="216">
        <f>Données!V103</f>
        <v>0</v>
      </c>
      <c r="J103" s="216">
        <f>Données!W103</f>
        <v>0</v>
      </c>
      <c r="K103" s="8">
        <f>+Données!Q103</f>
        <v>695.42</v>
      </c>
      <c r="L103" s="464">
        <f t="shared" si="4"/>
        <v>557922.78767892404</v>
      </c>
      <c r="M103" s="8">
        <f>+Données!F103</f>
        <v>2560</v>
      </c>
      <c r="N103" s="8">
        <f>+Données!K103</f>
        <v>2992.35</v>
      </c>
      <c r="O103" s="8">
        <f>(Données!L103/Données!Y103)*1</f>
        <v>51505.133333333331</v>
      </c>
      <c r="P103" s="464">
        <f t="shared" si="5"/>
        <v>614980.27101225732</v>
      </c>
      <c r="Q103" s="241">
        <f>+Données!X103</f>
        <v>81</v>
      </c>
      <c r="R103" s="464">
        <f t="shared" si="3"/>
        <v>7592.3490248426833</v>
      </c>
    </row>
    <row r="104" spans="1:18" x14ac:dyDescent="0.25">
      <c r="A104" s="7">
        <f>Données!A104</f>
        <v>5568</v>
      </c>
      <c r="B104" s="27" t="str">
        <f>Données!B104</f>
        <v>Sainte-Croix</v>
      </c>
      <c r="C104" s="8">
        <f>Données!C104+Données!D104</f>
        <v>6441318.8799999999</v>
      </c>
      <c r="D104" s="8">
        <f>+Données!G104+Données!H104+Données!S104</f>
        <v>378069.23210939241</v>
      </c>
      <c r="E104" s="8">
        <f>+Données!E104</f>
        <v>0</v>
      </c>
      <c r="F104" s="8">
        <f>+Données!I104</f>
        <v>34735.050000000003</v>
      </c>
      <c r="G104" s="8">
        <f>+Données!J104</f>
        <v>124726.16</v>
      </c>
      <c r="H104" s="8">
        <f>Données!U104</f>
        <v>-276995.33</v>
      </c>
      <c r="I104" s="216">
        <f>Données!V104</f>
        <v>0</v>
      </c>
      <c r="J104" s="216">
        <f>Données!W104</f>
        <v>-7531.87</v>
      </c>
      <c r="K104" s="8">
        <f>+Données!Q104</f>
        <v>73754.06</v>
      </c>
      <c r="L104" s="464">
        <f t="shared" si="4"/>
        <v>6768076.1821093913</v>
      </c>
      <c r="M104" s="8">
        <f>+Données!F104</f>
        <v>0</v>
      </c>
      <c r="N104" s="8">
        <f>+Données!K104</f>
        <v>42009.7</v>
      </c>
      <c r="O104" s="8">
        <f>(Données!L104/Données!Y104)*1</f>
        <v>638478.94999999995</v>
      </c>
      <c r="P104" s="464">
        <f t="shared" si="5"/>
        <v>7448564.8321093917</v>
      </c>
      <c r="Q104" s="241">
        <f>+Données!X104</f>
        <v>70</v>
      </c>
      <c r="R104" s="464">
        <f t="shared" si="3"/>
        <v>106408.06903013417</v>
      </c>
    </row>
    <row r="105" spans="1:18" x14ac:dyDescent="0.25">
      <c r="A105" s="7">
        <f>Données!A105</f>
        <v>5571</v>
      </c>
      <c r="B105" s="27" t="str">
        <f>Données!B105</f>
        <v>Tévenon</v>
      </c>
      <c r="C105" s="8">
        <f>Données!C105+Données!D105</f>
        <v>1350031.3900000001</v>
      </c>
      <c r="D105" s="8">
        <f>+Données!G105+Données!H105+Données!S105</f>
        <v>16137.099361786462</v>
      </c>
      <c r="E105" s="8">
        <f>+Données!E105</f>
        <v>0</v>
      </c>
      <c r="F105" s="8">
        <f>+Données!I105</f>
        <v>0</v>
      </c>
      <c r="G105" s="8">
        <f>+Données!J105</f>
        <v>12529.03</v>
      </c>
      <c r="H105" s="8">
        <f>Données!U105</f>
        <v>-25560.43</v>
      </c>
      <c r="I105" s="216">
        <f>Données!V105</f>
        <v>0</v>
      </c>
      <c r="J105" s="216">
        <f>Données!W105</f>
        <v>-0.11</v>
      </c>
      <c r="K105" s="8">
        <f>+Données!Q105</f>
        <v>-21.02</v>
      </c>
      <c r="L105" s="464">
        <f t="shared" si="4"/>
        <v>1353115.9593617865</v>
      </c>
      <c r="M105" s="8">
        <f>+Données!F105</f>
        <v>0</v>
      </c>
      <c r="N105" s="8">
        <f>+Données!K105</f>
        <v>8767.2000000000007</v>
      </c>
      <c r="O105" s="8">
        <f>(Données!L105/Données!Y105)*1</f>
        <v>166472.16666666669</v>
      </c>
      <c r="P105" s="464">
        <f t="shared" si="5"/>
        <v>1528355.3260284532</v>
      </c>
      <c r="Q105" s="241">
        <f>+Données!X105</f>
        <v>71.5</v>
      </c>
      <c r="R105" s="464">
        <f t="shared" si="3"/>
        <v>21375.598965432913</v>
      </c>
    </row>
    <row r="106" spans="1:18" x14ac:dyDescent="0.25">
      <c r="A106" s="7">
        <f>Données!A106</f>
        <v>5581</v>
      </c>
      <c r="B106" s="27" t="str">
        <f>Données!B106</f>
        <v>Belmont-sur-Lausanne</v>
      </c>
      <c r="C106" s="8">
        <f>Données!C106+Données!D106</f>
        <v>13950950.27</v>
      </c>
      <c r="D106" s="8">
        <f>+Données!G106+Données!H106+Données!S106</f>
        <v>168829.29655112486</v>
      </c>
      <c r="E106" s="8">
        <f>+Données!E106</f>
        <v>0</v>
      </c>
      <c r="F106" s="8">
        <f>+Données!I106</f>
        <v>131942.20000000001</v>
      </c>
      <c r="G106" s="8">
        <f>+Données!J106</f>
        <v>188125.99</v>
      </c>
      <c r="H106" s="8">
        <f>Données!U106</f>
        <v>-119092.76</v>
      </c>
      <c r="I106" s="216">
        <f>Données!V106</f>
        <v>0</v>
      </c>
      <c r="J106" s="216">
        <f>Données!W106</f>
        <v>-13459.88</v>
      </c>
      <c r="K106" s="8">
        <f>+Données!Q106</f>
        <v>2457.84</v>
      </c>
      <c r="L106" s="464">
        <f t="shared" si="4"/>
        <v>14309752.956551123</v>
      </c>
      <c r="M106" s="8">
        <f>+Données!F106</f>
        <v>0</v>
      </c>
      <c r="N106" s="8">
        <f>+Données!K106</f>
        <v>46451.95</v>
      </c>
      <c r="O106" s="8">
        <f>(Données!L106/Données!Y106)*1</f>
        <v>936524.5</v>
      </c>
      <c r="P106" s="464">
        <f t="shared" si="5"/>
        <v>15292729.406551123</v>
      </c>
      <c r="Q106" s="241">
        <f>+Données!X106</f>
        <v>72</v>
      </c>
      <c r="R106" s="464">
        <f t="shared" si="3"/>
        <v>212399.01953543225</v>
      </c>
    </row>
    <row r="107" spans="1:18" x14ac:dyDescent="0.25">
      <c r="A107" s="7">
        <f>Données!A107</f>
        <v>5582</v>
      </c>
      <c r="B107" s="27" t="str">
        <f>Données!B107</f>
        <v>Cheseaux-sur-Lausanne</v>
      </c>
      <c r="C107" s="8">
        <f>Données!C107+Données!D107</f>
        <v>10187405.949999999</v>
      </c>
      <c r="D107" s="8">
        <f>+Données!G107+Données!H107+Données!S107</f>
        <v>434915.71109228273</v>
      </c>
      <c r="E107" s="8">
        <f>+Données!E107</f>
        <v>0</v>
      </c>
      <c r="F107" s="8">
        <f>+Données!I107</f>
        <v>69493.399999999994</v>
      </c>
      <c r="G107" s="8">
        <f>+Données!J107</f>
        <v>325747.37</v>
      </c>
      <c r="H107" s="8">
        <f>Données!U107</f>
        <v>-110947.42</v>
      </c>
      <c r="I107" s="216">
        <f>Données!V107</f>
        <v>0</v>
      </c>
      <c r="J107" s="216">
        <f>Données!W107</f>
        <v>-2152.39</v>
      </c>
      <c r="K107" s="8">
        <f>+Données!Q107</f>
        <v>39706.730000000003</v>
      </c>
      <c r="L107" s="464">
        <f t="shared" si="4"/>
        <v>10944169.351092281</v>
      </c>
      <c r="M107" s="8">
        <f>+Données!F107</f>
        <v>0</v>
      </c>
      <c r="N107" s="8">
        <f>+Données!K107</f>
        <v>81995.5</v>
      </c>
      <c r="O107" s="8">
        <f>(Données!L107/Données!Y107)*1</f>
        <v>921147.6</v>
      </c>
      <c r="P107" s="464">
        <f t="shared" si="5"/>
        <v>11947312.45109228</v>
      </c>
      <c r="Q107" s="241">
        <f>+Données!X107</f>
        <v>73</v>
      </c>
      <c r="R107" s="464">
        <f t="shared" si="3"/>
        <v>163661.81439852438</v>
      </c>
    </row>
    <row r="108" spans="1:18" x14ac:dyDescent="0.25">
      <c r="A108" s="7">
        <f>Données!A108</f>
        <v>5583</v>
      </c>
      <c r="B108" s="27" t="str">
        <f>Données!B108</f>
        <v>Crissier</v>
      </c>
      <c r="C108" s="8">
        <f>Données!C108+Données!D108</f>
        <v>14394064.869999999</v>
      </c>
      <c r="D108" s="8">
        <f>+Données!G108+Données!H108+Données!S108</f>
        <v>5287586.9220832316</v>
      </c>
      <c r="E108" s="8">
        <f>+Données!E108</f>
        <v>0</v>
      </c>
      <c r="F108" s="8">
        <f>+Données!I108</f>
        <v>0</v>
      </c>
      <c r="G108" s="8">
        <f>+Données!J108</f>
        <v>1042296.27</v>
      </c>
      <c r="H108" s="8">
        <f>Données!U108</f>
        <v>-331383.8</v>
      </c>
      <c r="I108" s="216">
        <f>Données!V108</f>
        <v>0</v>
      </c>
      <c r="J108" s="216">
        <f>Données!W108</f>
        <v>-4299.21</v>
      </c>
      <c r="K108" s="8">
        <f>+Données!Q108</f>
        <v>49453.58</v>
      </c>
      <c r="L108" s="464">
        <f t="shared" si="4"/>
        <v>20437718.632083226</v>
      </c>
      <c r="M108" s="8">
        <f>+Données!F108</f>
        <v>0</v>
      </c>
      <c r="N108" s="8">
        <f>+Données!K108</f>
        <v>354891.75</v>
      </c>
      <c r="O108" s="8">
        <f>(Données!L108/Données!Y108)*1</f>
        <v>2476289.65</v>
      </c>
      <c r="P108" s="464">
        <f t="shared" si="5"/>
        <v>23268900.032083225</v>
      </c>
      <c r="Q108" s="241">
        <f>+Données!X108</f>
        <v>63.5</v>
      </c>
      <c r="R108" s="464">
        <f t="shared" si="3"/>
        <v>366439.37058398779</v>
      </c>
    </row>
    <row r="109" spans="1:18" x14ac:dyDescent="0.25">
      <c r="A109" s="7">
        <f>Données!A109</f>
        <v>5584</v>
      </c>
      <c r="B109" s="27" t="str">
        <f>Données!B109</f>
        <v>Epalinges</v>
      </c>
      <c r="C109" s="8">
        <f>Données!C109+Données!D109</f>
        <v>27173103.280000001</v>
      </c>
      <c r="D109" s="8">
        <f>+Données!G109+Données!H109+Données!S109</f>
        <v>933651.88302816474</v>
      </c>
      <c r="E109" s="8">
        <f>+Données!E109</f>
        <v>0</v>
      </c>
      <c r="F109" s="8">
        <f>+Données!I109</f>
        <v>285041.2</v>
      </c>
      <c r="G109" s="8">
        <f>+Données!J109</f>
        <v>398882.56</v>
      </c>
      <c r="H109" s="8">
        <f>Données!U109</f>
        <v>-297070.43</v>
      </c>
      <c r="I109" s="216">
        <f>Données!V109</f>
        <v>0</v>
      </c>
      <c r="J109" s="216">
        <f>Données!W109</f>
        <v>-81514.34</v>
      </c>
      <c r="K109" s="8">
        <f>+Données!Q109</f>
        <v>93414.96</v>
      </c>
      <c r="L109" s="464">
        <f t="shared" si="4"/>
        <v>28505509.113028165</v>
      </c>
      <c r="M109" s="8">
        <f>+Données!F109</f>
        <v>0</v>
      </c>
      <c r="N109" s="8">
        <f>+Données!K109</f>
        <v>272356.65000000002</v>
      </c>
      <c r="O109" s="8">
        <f>(Données!L109/Données!Y109)*1</f>
        <v>2300043.75</v>
      </c>
      <c r="P109" s="464">
        <f t="shared" si="5"/>
        <v>31077909.513028163</v>
      </c>
      <c r="Q109" s="241">
        <f>+Données!X109</f>
        <v>64.5</v>
      </c>
      <c r="R109" s="464">
        <f t="shared" si="3"/>
        <v>481828.05446555291</v>
      </c>
    </row>
    <row r="110" spans="1:18" x14ac:dyDescent="0.25">
      <c r="A110" s="7">
        <f>Données!A110</f>
        <v>5585</v>
      </c>
      <c r="B110" s="27" t="str">
        <f>Données!B110</f>
        <v>Jouxtens-Mézery</v>
      </c>
      <c r="C110" s="8">
        <f>Données!C110+Données!D110</f>
        <v>10956117.23</v>
      </c>
      <c r="D110" s="8">
        <f>+Données!G110+Données!H110+Données!S110</f>
        <v>92444.599417287376</v>
      </c>
      <c r="E110" s="8">
        <f>+Données!E110</f>
        <v>0</v>
      </c>
      <c r="F110" s="8">
        <f>+Données!I110</f>
        <v>296758.96000000002</v>
      </c>
      <c r="G110" s="8">
        <f>+Données!J110</f>
        <v>48157.27</v>
      </c>
      <c r="H110" s="8">
        <f>Données!U110</f>
        <v>-10146.69</v>
      </c>
      <c r="I110" s="216">
        <f>Données!V110</f>
        <v>0</v>
      </c>
      <c r="J110" s="216">
        <f>Données!W110</f>
        <v>-15778.42</v>
      </c>
      <c r="K110" s="8">
        <f>+Données!Q110</f>
        <v>0</v>
      </c>
      <c r="L110" s="464">
        <f t="shared" si="4"/>
        <v>11367552.949417289</v>
      </c>
      <c r="M110" s="8">
        <f>+Données!F110</f>
        <v>0</v>
      </c>
      <c r="N110" s="8">
        <f>+Données!K110</f>
        <v>8097.1</v>
      </c>
      <c r="O110" s="8">
        <f>(Données!L110/Données!Y110)*1</f>
        <v>569301.85</v>
      </c>
      <c r="P110" s="464">
        <f t="shared" si="5"/>
        <v>11944951.899417289</v>
      </c>
      <c r="Q110" s="241">
        <f>+Données!X110</f>
        <v>59</v>
      </c>
      <c r="R110" s="464">
        <f t="shared" si="3"/>
        <v>202456.81185453033</v>
      </c>
    </row>
    <row r="111" spans="1:18" x14ac:dyDescent="0.25">
      <c r="A111" s="7">
        <f>Données!A111</f>
        <v>5586</v>
      </c>
      <c r="B111" s="27" t="str">
        <f>Données!B111</f>
        <v>Lausanne</v>
      </c>
      <c r="C111" s="8">
        <f>Données!C111+Données!D111</f>
        <v>342038140.25</v>
      </c>
      <c r="D111" s="8">
        <f>+Données!G111+Données!H111+Données!S111</f>
        <v>81160529.073477879</v>
      </c>
      <c r="E111" s="8">
        <f>+Données!E111</f>
        <v>0</v>
      </c>
      <c r="F111" s="8">
        <f>+Données!I111</f>
        <v>5562328.7800000003</v>
      </c>
      <c r="G111" s="8">
        <f>+Données!J111</f>
        <v>24474697.559999999</v>
      </c>
      <c r="H111" s="8">
        <f>Données!U111</f>
        <v>-6854187.4400000004</v>
      </c>
      <c r="I111" s="216">
        <f>Données!V111</f>
        <v>0</v>
      </c>
      <c r="J111" s="216">
        <f>Données!W111</f>
        <v>-740552.9</v>
      </c>
      <c r="K111" s="8">
        <f>+Données!Q111</f>
        <v>1648272.55</v>
      </c>
      <c r="L111" s="464">
        <f t="shared" si="4"/>
        <v>447289227.87347788</v>
      </c>
      <c r="M111" s="8">
        <f>+Données!F111</f>
        <v>0</v>
      </c>
      <c r="N111" s="8">
        <f>+Données!K111</f>
        <v>6699861.25</v>
      </c>
      <c r="O111" s="8">
        <f>(Données!L111/Données!Y111)*1</f>
        <v>28618406.766666666</v>
      </c>
      <c r="P111" s="464">
        <f t="shared" si="5"/>
        <v>482607495.89014453</v>
      </c>
      <c r="Q111" s="241">
        <f>+Données!X111</f>
        <v>78.5</v>
      </c>
      <c r="R111" s="464">
        <f t="shared" si="3"/>
        <v>6147866.1896833694</v>
      </c>
    </row>
    <row r="112" spans="1:18" x14ac:dyDescent="0.25">
      <c r="A112" s="7">
        <f>Données!A112</f>
        <v>5587</v>
      </c>
      <c r="B112" s="27" t="str">
        <f>Données!B112</f>
        <v>Le Mont-sur-Lausanne</v>
      </c>
      <c r="C112" s="8">
        <f>Données!C112+Données!D112</f>
        <v>28351500.41</v>
      </c>
      <c r="D112" s="8">
        <f>+Données!G112+Données!H112+Données!S112</f>
        <v>2133362.0690013929</v>
      </c>
      <c r="E112" s="8">
        <f>+Données!E112</f>
        <v>0</v>
      </c>
      <c r="F112" s="8">
        <f>+Données!I112</f>
        <v>303939.15000000002</v>
      </c>
      <c r="G112" s="8">
        <f>+Données!J112</f>
        <v>487004.75</v>
      </c>
      <c r="H112" s="8">
        <f>Données!U112</f>
        <v>-1660558.52</v>
      </c>
      <c r="I112" s="216">
        <f>Données!V112</f>
        <v>0</v>
      </c>
      <c r="J112" s="216">
        <f>Données!W112</f>
        <v>-42495.95</v>
      </c>
      <c r="K112" s="8">
        <f>+Données!Q112</f>
        <v>57226.67</v>
      </c>
      <c r="L112" s="464">
        <f t="shared" si="4"/>
        <v>29629978.579001393</v>
      </c>
      <c r="M112" s="8">
        <f>+Données!F112</f>
        <v>0</v>
      </c>
      <c r="N112" s="8">
        <f>+Données!K112</f>
        <v>327992.5</v>
      </c>
      <c r="O112" s="8">
        <f>(Données!L112/Données!Y112)*1</f>
        <v>2549868</v>
      </c>
      <c r="P112" s="464">
        <f t="shared" si="5"/>
        <v>32507839.079001393</v>
      </c>
      <c r="Q112" s="241">
        <f>+Données!X112</f>
        <v>73.5</v>
      </c>
      <c r="R112" s="464">
        <f t="shared" si="3"/>
        <v>442283.52488437272</v>
      </c>
    </row>
    <row r="113" spans="1:18" x14ac:dyDescent="0.25">
      <c r="A113" s="7">
        <f>Données!A113</f>
        <v>5588</v>
      </c>
      <c r="B113" s="27" t="str">
        <f>Données!B113</f>
        <v>Paudex</v>
      </c>
      <c r="C113" s="8">
        <f>Données!C113+Données!D113</f>
        <v>5948318.2999999998</v>
      </c>
      <c r="D113" s="8">
        <f>+Données!G113+Données!H113+Données!S113</f>
        <v>411876.39130747283</v>
      </c>
      <c r="E113" s="8">
        <f>+Données!E113</f>
        <v>0</v>
      </c>
      <c r="F113" s="8">
        <f>+Données!I113</f>
        <v>1773887.12</v>
      </c>
      <c r="G113" s="8">
        <f>+Données!J113</f>
        <v>312946.12</v>
      </c>
      <c r="H113" s="8">
        <f>Données!U113</f>
        <v>-21713.48</v>
      </c>
      <c r="I113" s="216">
        <f>Données!V113</f>
        <v>0</v>
      </c>
      <c r="J113" s="216">
        <f>Données!W113</f>
        <v>-53249.09</v>
      </c>
      <c r="K113" s="8">
        <f>+Données!Q113</f>
        <v>4490.5600000000004</v>
      </c>
      <c r="L113" s="464">
        <f t="shared" si="4"/>
        <v>8376555.9213074716</v>
      </c>
      <c r="M113" s="8">
        <f>+Données!F113</f>
        <v>0</v>
      </c>
      <c r="N113" s="8">
        <f>+Données!K113</f>
        <v>53488.55</v>
      </c>
      <c r="O113" s="8">
        <f>(Données!L113/Données!Y113)*1</f>
        <v>569095.78571428568</v>
      </c>
      <c r="P113" s="464">
        <f t="shared" si="5"/>
        <v>8999140.2570217568</v>
      </c>
      <c r="Q113" s="241">
        <f>+Données!X113</f>
        <v>66.5</v>
      </c>
      <c r="R113" s="464">
        <f t="shared" si="3"/>
        <v>135325.41739882343</v>
      </c>
    </row>
    <row r="114" spans="1:18" x14ac:dyDescent="0.25">
      <c r="A114" s="7">
        <f>Données!A114</f>
        <v>5589</v>
      </c>
      <c r="B114" s="27" t="str">
        <f>Données!B114</f>
        <v>Prilly</v>
      </c>
      <c r="C114" s="8">
        <f>Données!C114+Données!D114</f>
        <v>21807574.990000002</v>
      </c>
      <c r="D114" s="8">
        <f>+Données!G114+Données!H114+Données!S114</f>
        <v>6772767.2367809694</v>
      </c>
      <c r="E114" s="8">
        <f>+Données!E114</f>
        <v>0</v>
      </c>
      <c r="F114" s="8">
        <f>+Données!I114</f>
        <v>194742.55</v>
      </c>
      <c r="G114" s="8">
        <f>+Données!J114</f>
        <v>1577734.95</v>
      </c>
      <c r="H114" s="8">
        <f>Données!U114</f>
        <v>-335813.23</v>
      </c>
      <c r="I114" s="216">
        <f>Données!V114</f>
        <v>0</v>
      </c>
      <c r="J114" s="216">
        <f>Données!W114</f>
        <v>-18843.54</v>
      </c>
      <c r="K114" s="8">
        <f>+Données!Q114</f>
        <v>64448.13</v>
      </c>
      <c r="L114" s="464">
        <f t="shared" si="4"/>
        <v>30062611.086780973</v>
      </c>
      <c r="M114" s="8">
        <f>+Données!F114</f>
        <v>0</v>
      </c>
      <c r="N114" s="8">
        <f>+Données!K114</f>
        <v>476420.1</v>
      </c>
      <c r="O114" s="8">
        <f>(Données!L114/Données!Y114)*1</f>
        <v>2315030.269230769</v>
      </c>
      <c r="P114" s="464">
        <f t="shared" si="5"/>
        <v>32854061.456011742</v>
      </c>
      <c r="Q114" s="241">
        <f>+Données!X114</f>
        <v>72.5</v>
      </c>
      <c r="R114" s="464">
        <f t="shared" si="3"/>
        <v>453159.46835878264</v>
      </c>
    </row>
    <row r="115" spans="1:18" x14ac:dyDescent="0.25">
      <c r="A115" s="7">
        <f>Données!A115</f>
        <v>5590</v>
      </c>
      <c r="B115" s="27" t="str">
        <f>Données!B115</f>
        <v>Pully</v>
      </c>
      <c r="C115" s="8">
        <f>Données!C115+Données!D115</f>
        <v>72947899.200000003</v>
      </c>
      <c r="D115" s="8">
        <f>+Données!G115+Données!H115+Données!S115</f>
        <v>8427285.9314653501</v>
      </c>
      <c r="E115" s="8">
        <f>+Données!E115</f>
        <v>0</v>
      </c>
      <c r="F115" s="8">
        <f>+Données!I115</f>
        <v>2885824.78</v>
      </c>
      <c r="G115" s="8">
        <f>+Données!J115</f>
        <v>1229871.8899999999</v>
      </c>
      <c r="H115" s="8">
        <f>Données!U115</f>
        <v>-425355.01</v>
      </c>
      <c r="I115" s="216">
        <f>Données!V115</f>
        <v>0</v>
      </c>
      <c r="J115" s="216">
        <f>Données!W115</f>
        <v>-766422.94</v>
      </c>
      <c r="K115" s="8">
        <f>+Données!Q115</f>
        <v>97237.75</v>
      </c>
      <c r="L115" s="464">
        <f t="shared" si="4"/>
        <v>84396341.601465344</v>
      </c>
      <c r="M115" s="8">
        <f>+Données!F115</f>
        <v>0</v>
      </c>
      <c r="N115" s="8">
        <f>+Données!K115</f>
        <v>372675.2</v>
      </c>
      <c r="O115" s="8">
        <f>(Données!L115/Données!Y115)*1</f>
        <v>5281147.7857142864</v>
      </c>
      <c r="P115" s="464">
        <f t="shared" si="5"/>
        <v>90050164.587179631</v>
      </c>
      <c r="Q115" s="241">
        <f>+Données!X115</f>
        <v>61</v>
      </c>
      <c r="R115" s="464">
        <f t="shared" si="3"/>
        <v>1476232.2063472071</v>
      </c>
    </row>
    <row r="116" spans="1:18" x14ac:dyDescent="0.25">
      <c r="A116" s="7">
        <f>Données!A116</f>
        <v>5591</v>
      </c>
      <c r="B116" s="27" t="str">
        <f>Données!B116</f>
        <v>Renens</v>
      </c>
      <c r="C116" s="8">
        <f>Données!C116+Données!D116</f>
        <v>32775631.699999999</v>
      </c>
      <c r="D116" s="8">
        <f>+Données!G116+Données!H116+Données!S116</f>
        <v>7242381.8266654043</v>
      </c>
      <c r="E116" s="8">
        <f>+Données!E116</f>
        <v>0</v>
      </c>
      <c r="F116" s="8">
        <f>+Données!I116</f>
        <v>0</v>
      </c>
      <c r="G116" s="8">
        <f>+Données!J116</f>
        <v>2464233.13</v>
      </c>
      <c r="H116" s="8">
        <f>Données!U116</f>
        <v>-1308350.45</v>
      </c>
      <c r="I116" s="216">
        <f>Données!V116</f>
        <v>0</v>
      </c>
      <c r="J116" s="216">
        <f>Données!W116</f>
        <v>-8754.91</v>
      </c>
      <c r="K116" s="8">
        <f>+Données!Q116</f>
        <v>329854.67</v>
      </c>
      <c r="L116" s="464">
        <f t="shared" si="4"/>
        <v>41494995.96666541</v>
      </c>
      <c r="M116" s="8">
        <f>+Données!F116</f>
        <v>0</v>
      </c>
      <c r="N116" s="8">
        <f>+Données!K116</f>
        <v>728905.4</v>
      </c>
      <c r="O116" s="8">
        <f>(Données!L116/Données!Y116)*1</f>
        <v>3581714.6785714286</v>
      </c>
      <c r="P116" s="464">
        <f t="shared" si="5"/>
        <v>45805616.045236833</v>
      </c>
      <c r="Q116" s="241">
        <f>+Données!X116</f>
        <v>77</v>
      </c>
      <c r="R116" s="464">
        <f t="shared" si="3"/>
        <v>594878.13045762118</v>
      </c>
    </row>
    <row r="117" spans="1:18" x14ac:dyDescent="0.25">
      <c r="A117" s="7">
        <f>Données!A117</f>
        <v>5592</v>
      </c>
      <c r="B117" s="27" t="str">
        <f>Données!B117</f>
        <v>Romanel-sur-Lausanne</v>
      </c>
      <c r="C117" s="8">
        <f>Données!C117+Données!D117</f>
        <v>6871404.5299999993</v>
      </c>
      <c r="D117" s="8">
        <f>+Données!G117+Données!H117+Données!S117</f>
        <v>694435.0392017581</v>
      </c>
      <c r="E117" s="8">
        <f>+Données!E117</f>
        <v>0</v>
      </c>
      <c r="F117" s="8">
        <f>+Données!I117</f>
        <v>45581.35</v>
      </c>
      <c r="G117" s="8">
        <f>+Données!J117</f>
        <v>186916.63</v>
      </c>
      <c r="H117" s="8">
        <f>Données!U117</f>
        <v>-117204.62</v>
      </c>
      <c r="I117" s="216">
        <f>Données!V117</f>
        <v>0</v>
      </c>
      <c r="J117" s="216">
        <f>Données!W117</f>
        <v>-12135.29</v>
      </c>
      <c r="K117" s="8">
        <f>+Données!Q117</f>
        <v>50808.95</v>
      </c>
      <c r="L117" s="464">
        <f t="shared" si="4"/>
        <v>7719806.5892017568</v>
      </c>
      <c r="M117" s="8">
        <f>+Données!F117</f>
        <v>0</v>
      </c>
      <c r="N117" s="8">
        <f>+Données!K117</f>
        <v>141567.75</v>
      </c>
      <c r="O117" s="8">
        <f>(Données!L117/Données!Y117)*1</f>
        <v>676712.76</v>
      </c>
      <c r="P117" s="464">
        <f t="shared" si="5"/>
        <v>8538087.0992017575</v>
      </c>
      <c r="Q117" s="241">
        <f>+Données!X117</f>
        <v>70.5</v>
      </c>
      <c r="R117" s="464">
        <f t="shared" si="3"/>
        <v>121107.61842839372</v>
      </c>
    </row>
    <row r="118" spans="1:18" x14ac:dyDescent="0.25">
      <c r="A118" s="7">
        <f>Données!A118</f>
        <v>5601</v>
      </c>
      <c r="B118" s="27" t="str">
        <f>Données!B118</f>
        <v>Chexbres</v>
      </c>
      <c r="C118" s="8">
        <f>Données!C118+Données!D118</f>
        <v>5939369.3099999996</v>
      </c>
      <c r="D118" s="8">
        <f>+Données!G118+Données!H118+Données!S118</f>
        <v>65813.364365920163</v>
      </c>
      <c r="E118" s="8">
        <f>+Données!E118</f>
        <v>0</v>
      </c>
      <c r="F118" s="8">
        <f>+Données!I118</f>
        <v>13068.55</v>
      </c>
      <c r="G118" s="8">
        <f>+Données!J118</f>
        <v>121037.52</v>
      </c>
      <c r="H118" s="8">
        <f>Données!U118</f>
        <v>-12673.96</v>
      </c>
      <c r="I118" s="216">
        <f>Données!V118</f>
        <v>0</v>
      </c>
      <c r="J118" s="216">
        <f>Données!W118</f>
        <v>-7708.02</v>
      </c>
      <c r="K118" s="8">
        <f>+Données!Q118</f>
        <v>1536.82</v>
      </c>
      <c r="L118" s="464">
        <f t="shared" si="4"/>
        <v>6120443.5843659202</v>
      </c>
      <c r="M118" s="8">
        <f>+Données!F118</f>
        <v>0</v>
      </c>
      <c r="N118" s="8">
        <f>+Données!K118</f>
        <v>7556.7</v>
      </c>
      <c r="O118" s="8">
        <f>(Données!L118/Données!Y118)*1</f>
        <v>490552.9</v>
      </c>
      <c r="P118" s="464">
        <f t="shared" si="5"/>
        <v>6618553.1843659207</v>
      </c>
      <c r="Q118" s="241">
        <f>+Données!X118</f>
        <v>67.5</v>
      </c>
      <c r="R118" s="464">
        <f t="shared" si="3"/>
        <v>98052.639768384004</v>
      </c>
    </row>
    <row r="119" spans="1:18" x14ac:dyDescent="0.25">
      <c r="A119" s="7">
        <f>Données!A119</f>
        <v>5604</v>
      </c>
      <c r="B119" s="27" t="str">
        <f>Données!B119</f>
        <v>Forel (Lavaux)</v>
      </c>
      <c r="C119" s="8">
        <f>Données!C119+Données!D119</f>
        <v>4281467.7799999993</v>
      </c>
      <c r="D119" s="8">
        <f>+Données!G119+Données!H119+Données!S119</f>
        <v>151779.33899273517</v>
      </c>
      <c r="E119" s="8">
        <f>+Données!E119</f>
        <v>0</v>
      </c>
      <c r="F119" s="8">
        <f>+Données!I119</f>
        <v>0</v>
      </c>
      <c r="G119" s="8">
        <f>+Données!J119</f>
        <v>86748.479999999996</v>
      </c>
      <c r="H119" s="8">
        <f>Données!U119</f>
        <v>-43233.91</v>
      </c>
      <c r="I119" s="216">
        <f>Données!V119</f>
        <v>0</v>
      </c>
      <c r="J119" s="216">
        <f>Données!W119</f>
        <v>-1455.11</v>
      </c>
      <c r="K119" s="8">
        <f>+Données!Q119</f>
        <v>16420.169999999998</v>
      </c>
      <c r="L119" s="464">
        <f t="shared" si="4"/>
        <v>4491726.7489927346</v>
      </c>
      <c r="M119" s="8">
        <f>+Données!F119</f>
        <v>0</v>
      </c>
      <c r="N119" s="8">
        <f>+Données!K119</f>
        <v>20348.599999999999</v>
      </c>
      <c r="O119" s="8">
        <f>(Données!L119/Données!Y119)*1</f>
        <v>405290.4</v>
      </c>
      <c r="P119" s="464">
        <f t="shared" si="5"/>
        <v>4917365.7489927346</v>
      </c>
      <c r="Q119" s="241">
        <f>+Données!X119</f>
        <v>69</v>
      </c>
      <c r="R119" s="464">
        <f t="shared" si="3"/>
        <v>71266.170275257027</v>
      </c>
    </row>
    <row r="120" spans="1:18" x14ac:dyDescent="0.25">
      <c r="A120" s="7">
        <f>Données!A120</f>
        <v>5606</v>
      </c>
      <c r="B120" s="27" t="str">
        <f>Données!B120</f>
        <v>Lutry</v>
      </c>
      <c r="C120" s="8">
        <f>Données!C120+Données!D120</f>
        <v>39751059.530000001</v>
      </c>
      <c r="D120" s="8">
        <f>+Données!G120+Données!H120+Données!S120</f>
        <v>2817249.8878760096</v>
      </c>
      <c r="E120" s="8">
        <f>+Données!E120</f>
        <v>0</v>
      </c>
      <c r="F120" s="8">
        <f>+Données!I120</f>
        <v>1361832.33</v>
      </c>
      <c r="G120" s="8">
        <f>+Données!J120</f>
        <v>271196.74</v>
      </c>
      <c r="H120" s="8">
        <f>Données!U120</f>
        <v>-128103.74</v>
      </c>
      <c r="I120" s="216">
        <f>Données!V120</f>
        <v>0</v>
      </c>
      <c r="J120" s="216">
        <f>Données!W120</f>
        <v>-111574.46</v>
      </c>
      <c r="K120" s="8">
        <f>+Données!Q120</f>
        <v>-90098.94</v>
      </c>
      <c r="L120" s="464">
        <f t="shared" si="4"/>
        <v>43871561.347876012</v>
      </c>
      <c r="M120" s="8">
        <f>+Données!F120</f>
        <v>0</v>
      </c>
      <c r="N120" s="8">
        <f>+Données!K120</f>
        <v>139267.6</v>
      </c>
      <c r="O120" s="8">
        <f>(Données!L120/Données!Y120)*1</f>
        <v>3195585.6428571432</v>
      </c>
      <c r="P120" s="464">
        <f t="shared" si="5"/>
        <v>47206414.590733156</v>
      </c>
      <c r="Q120" s="241">
        <f>+Données!X120</f>
        <v>54</v>
      </c>
      <c r="R120" s="464">
        <f t="shared" si="3"/>
        <v>874192.86279135477</v>
      </c>
    </row>
    <row r="121" spans="1:18" x14ac:dyDescent="0.25">
      <c r="A121" s="7">
        <f>Données!A121</f>
        <v>5607</v>
      </c>
      <c r="B121" s="27" t="str">
        <f>Données!B121</f>
        <v>Puidoux</v>
      </c>
      <c r="C121" s="8">
        <f>Données!C121+Données!D121</f>
        <v>5438473.3399999999</v>
      </c>
      <c r="D121" s="8">
        <f>+Données!G121+Données!H121+Données!S121</f>
        <v>677525.64856718259</v>
      </c>
      <c r="E121" s="8">
        <f>+Données!E121</f>
        <v>0</v>
      </c>
      <c r="F121" s="8">
        <f>+Données!I121</f>
        <v>-135.85</v>
      </c>
      <c r="G121" s="8">
        <f>+Données!J121</f>
        <v>211359.3</v>
      </c>
      <c r="H121" s="8">
        <f>Données!U121</f>
        <v>-109442.74</v>
      </c>
      <c r="I121" s="216">
        <f>Données!V121</f>
        <v>0</v>
      </c>
      <c r="J121" s="216">
        <f>Données!W121</f>
        <v>-3269.53</v>
      </c>
      <c r="K121" s="8">
        <f>+Données!Q121</f>
        <v>-2283.14</v>
      </c>
      <c r="L121" s="464">
        <f t="shared" si="4"/>
        <v>6212227.0285671828</v>
      </c>
      <c r="M121" s="8">
        <f>+Données!F121</f>
        <v>0</v>
      </c>
      <c r="N121" s="8">
        <f>+Données!K121</f>
        <v>119887.6</v>
      </c>
      <c r="O121" s="8">
        <f>(Données!L121/Données!Y121)*1</f>
        <v>706142.47826086963</v>
      </c>
      <c r="P121" s="464">
        <f t="shared" si="5"/>
        <v>7038257.1068280526</v>
      </c>
      <c r="Q121" s="241">
        <f>+Données!X121</f>
        <v>68.5</v>
      </c>
      <c r="R121" s="464">
        <f t="shared" si="3"/>
        <v>102748.27893179639</v>
      </c>
    </row>
    <row r="122" spans="1:18" x14ac:dyDescent="0.25">
      <c r="A122" s="7">
        <f>Données!A122</f>
        <v>5609</v>
      </c>
      <c r="B122" s="27" t="str">
        <f>Données!B122</f>
        <v>Rivaz</v>
      </c>
      <c r="C122" s="8">
        <f>Données!C122+Données!D122</f>
        <v>871687.7699999999</v>
      </c>
      <c r="D122" s="8">
        <f>+Données!G122+Données!H122+Données!S122</f>
        <v>9852.1261326890453</v>
      </c>
      <c r="E122" s="8">
        <f>+Données!E122</f>
        <v>0</v>
      </c>
      <c r="F122" s="8">
        <f>+Données!I122</f>
        <v>0</v>
      </c>
      <c r="G122" s="8">
        <f>+Données!J122</f>
        <v>59004.01</v>
      </c>
      <c r="H122" s="8">
        <f>Données!U122</f>
        <v>-6552.11</v>
      </c>
      <c r="I122" s="216">
        <f>Données!V122</f>
        <v>0</v>
      </c>
      <c r="J122" s="216">
        <f>Données!W122</f>
        <v>-460.48</v>
      </c>
      <c r="K122" s="8">
        <f>+Données!Q122</f>
        <v>2003.79</v>
      </c>
      <c r="L122" s="464">
        <f t="shared" si="4"/>
        <v>935535.10613268905</v>
      </c>
      <c r="M122" s="8">
        <f>+Données!F122</f>
        <v>0</v>
      </c>
      <c r="N122" s="8">
        <f>+Données!K122</f>
        <v>185.9</v>
      </c>
      <c r="O122" s="8">
        <f>(Données!L122/Données!Y122)*1</f>
        <v>59111.8</v>
      </c>
      <c r="P122" s="464">
        <f t="shared" si="5"/>
        <v>994832.80613268912</v>
      </c>
      <c r="Q122" s="241">
        <f>+Données!X122</f>
        <v>62</v>
      </c>
      <c r="R122" s="464">
        <f t="shared" si="3"/>
        <v>16045.690421494986</v>
      </c>
    </row>
    <row r="123" spans="1:18" x14ac:dyDescent="0.25">
      <c r="A123" s="7">
        <f>Données!A123</f>
        <v>5610</v>
      </c>
      <c r="B123" s="27" t="str">
        <f>Données!B123</f>
        <v>St-Saphorin (Lavaux)</v>
      </c>
      <c r="C123" s="8">
        <f>Données!C123+Données!D123</f>
        <v>1225623.1099999999</v>
      </c>
      <c r="D123" s="8">
        <f>+Données!G123+Données!H123+Données!S123</f>
        <v>6000.3433186444481</v>
      </c>
      <c r="E123" s="8">
        <f>+Données!E123</f>
        <v>0</v>
      </c>
      <c r="F123" s="8">
        <f>+Données!I123</f>
        <v>42593.15</v>
      </c>
      <c r="G123" s="8">
        <f>+Données!J123</f>
        <v>26916.85</v>
      </c>
      <c r="H123" s="8">
        <f>Données!U123</f>
        <v>-6131.57</v>
      </c>
      <c r="I123" s="216">
        <f>Données!V123</f>
        <v>0</v>
      </c>
      <c r="J123" s="216">
        <f>Données!W123</f>
        <v>-5216.2700000000004</v>
      </c>
      <c r="K123" s="8">
        <f>+Données!Q123</f>
        <v>-13472.35</v>
      </c>
      <c r="L123" s="464">
        <f t="shared" si="4"/>
        <v>1276313.2633186441</v>
      </c>
      <c r="M123" s="8">
        <f>+Données!F123</f>
        <v>0</v>
      </c>
      <c r="N123" s="8">
        <f>+Données!K123</f>
        <v>6697.85</v>
      </c>
      <c r="O123" s="8">
        <f>(Données!L123/Données!Y123)*1</f>
        <v>100257.66666666667</v>
      </c>
      <c r="P123" s="464">
        <f t="shared" si="5"/>
        <v>1383268.779985311</v>
      </c>
      <c r="Q123" s="241">
        <f>+Données!X123</f>
        <v>72</v>
      </c>
      <c r="R123" s="464">
        <f t="shared" si="3"/>
        <v>19212.066388684874</v>
      </c>
    </row>
    <row r="124" spans="1:18" x14ac:dyDescent="0.25">
      <c r="A124" s="7">
        <f>Données!A124</f>
        <v>5611</v>
      </c>
      <c r="B124" s="27" t="str">
        <f>Données!B124</f>
        <v>Savigny</v>
      </c>
      <c r="C124" s="8">
        <f>Données!C124+Données!D124</f>
        <v>8179834.54</v>
      </c>
      <c r="D124" s="8">
        <f>+Données!G124+Données!H124+Données!S124</f>
        <v>396029.13787494588</v>
      </c>
      <c r="E124" s="8">
        <f>+Données!E124</f>
        <v>0</v>
      </c>
      <c r="F124" s="8">
        <f>+Données!I124</f>
        <v>90726.6</v>
      </c>
      <c r="G124" s="8">
        <f>+Données!J124</f>
        <v>106210.31</v>
      </c>
      <c r="H124" s="8">
        <f>Données!U124</f>
        <v>-49490.14</v>
      </c>
      <c r="I124" s="216">
        <f>Données!V124</f>
        <v>0</v>
      </c>
      <c r="J124" s="216">
        <f>Données!W124</f>
        <v>-6573</v>
      </c>
      <c r="K124" s="8">
        <f>+Données!Q124</f>
        <v>21308.07</v>
      </c>
      <c r="L124" s="464">
        <f t="shared" si="4"/>
        <v>8738045.517874945</v>
      </c>
      <c r="M124" s="8">
        <f>+Données!F124</f>
        <v>0</v>
      </c>
      <c r="N124" s="8">
        <f>+Données!K124</f>
        <v>18582.650000000001</v>
      </c>
      <c r="O124" s="8">
        <f>(Données!L124/Données!Y124)*1</f>
        <v>668854.54166666663</v>
      </c>
      <c r="P124" s="464">
        <f t="shared" si="5"/>
        <v>9425482.7095416114</v>
      </c>
      <c r="Q124" s="241">
        <f>+Données!X124</f>
        <v>69</v>
      </c>
      <c r="R124" s="464">
        <f t="shared" si="3"/>
        <v>136601.19868900886</v>
      </c>
    </row>
    <row r="125" spans="1:18" x14ac:dyDescent="0.25">
      <c r="A125" s="7">
        <f>Données!A125</f>
        <v>5613</v>
      </c>
      <c r="B125" s="27" t="str">
        <f>Données!B125</f>
        <v>Bourg-en-Lavaux</v>
      </c>
      <c r="C125" s="8">
        <f>Données!C125+Données!D125</f>
        <v>18943640.329999998</v>
      </c>
      <c r="D125" s="8">
        <f>+Données!G125+Données!H125+Données!S125</f>
        <v>264950.14602325193</v>
      </c>
      <c r="E125" s="8">
        <f>+Données!E125</f>
        <v>0</v>
      </c>
      <c r="F125" s="8">
        <f>+Données!I125</f>
        <v>247378.1</v>
      </c>
      <c r="G125" s="8">
        <f>+Données!J125</f>
        <v>527617.93000000005</v>
      </c>
      <c r="H125" s="8">
        <f>Données!U125</f>
        <v>-40257.919999999998</v>
      </c>
      <c r="I125" s="216">
        <f>Données!V125</f>
        <v>0</v>
      </c>
      <c r="J125" s="216">
        <f>Données!W125</f>
        <v>-36921.5</v>
      </c>
      <c r="K125" s="8">
        <f>+Données!Q125</f>
        <v>70473.53</v>
      </c>
      <c r="L125" s="464">
        <f t="shared" si="4"/>
        <v>19976880.61602325</v>
      </c>
      <c r="M125" s="8">
        <f>+Données!F125</f>
        <v>0</v>
      </c>
      <c r="N125" s="8">
        <f>+Données!K125</f>
        <v>38012.449999999997</v>
      </c>
      <c r="O125" s="8">
        <f>(Données!L125/Données!Y125)*1</f>
        <v>1469099</v>
      </c>
      <c r="P125" s="464">
        <f t="shared" si="5"/>
        <v>21483992.066023249</v>
      </c>
      <c r="Q125" s="241">
        <f>+Données!X125</f>
        <v>62.5</v>
      </c>
      <c r="R125" s="464">
        <f t="shared" si="3"/>
        <v>343743.87305637199</v>
      </c>
    </row>
    <row r="126" spans="1:18" x14ac:dyDescent="0.25">
      <c r="A126" s="7">
        <f>Données!A126</f>
        <v>5621</v>
      </c>
      <c r="B126" s="27" t="str">
        <f>Données!B126</f>
        <v>Aclens</v>
      </c>
      <c r="C126" s="8">
        <f>Données!C126+Données!D126</f>
        <v>1151452.5</v>
      </c>
      <c r="D126" s="8">
        <f>+Données!G126+Données!H126+Données!S126</f>
        <v>463607.6579104556</v>
      </c>
      <c r="E126" s="8">
        <f>+Données!E126</f>
        <v>0</v>
      </c>
      <c r="F126" s="8">
        <f>+Données!I126</f>
        <v>0</v>
      </c>
      <c r="G126" s="8">
        <f>+Données!J126</f>
        <v>69241.11</v>
      </c>
      <c r="H126" s="8">
        <f>Données!U126</f>
        <v>-9314.2800000000007</v>
      </c>
      <c r="I126" s="216">
        <f>Données!V126</f>
        <v>0</v>
      </c>
      <c r="J126" s="216">
        <f>Données!W126</f>
        <v>-204.26</v>
      </c>
      <c r="K126" s="8">
        <f>+Données!Q126</f>
        <v>4629.88</v>
      </c>
      <c r="L126" s="464">
        <f t="shared" si="4"/>
        <v>1679412.6079104554</v>
      </c>
      <c r="M126" s="8">
        <f>+Données!F126</f>
        <v>0</v>
      </c>
      <c r="N126" s="8">
        <f>+Données!K126</f>
        <v>28236.75</v>
      </c>
      <c r="O126" s="8">
        <f>(Données!L126/Données!Y126)*1</f>
        <v>292669.63636363629</v>
      </c>
      <c r="P126" s="464">
        <f t="shared" si="5"/>
        <v>2000318.9942740917</v>
      </c>
      <c r="Q126" s="241">
        <f>+Données!X126</f>
        <v>62</v>
      </c>
      <c r="R126" s="464">
        <f t="shared" si="3"/>
        <v>32263.209585065993</v>
      </c>
    </row>
    <row r="127" spans="1:18" x14ac:dyDescent="0.25">
      <c r="A127" s="7">
        <f>Données!A127</f>
        <v>5622</v>
      </c>
      <c r="B127" s="27" t="str">
        <f>Données!B127</f>
        <v>Bremblens</v>
      </c>
      <c r="C127" s="8">
        <f>Données!C127+Données!D127</f>
        <v>1707933.0999999999</v>
      </c>
      <c r="D127" s="8">
        <f>+Données!G127+Données!H127+Données!S127</f>
        <v>14902.220635706652</v>
      </c>
      <c r="E127" s="8">
        <f>+Données!E127</f>
        <v>0</v>
      </c>
      <c r="F127" s="8">
        <f>+Données!I127</f>
        <v>0</v>
      </c>
      <c r="G127" s="8">
        <f>+Données!J127</f>
        <v>14665.45</v>
      </c>
      <c r="H127" s="8">
        <f>Données!U127</f>
        <v>-1602.49</v>
      </c>
      <c r="I127" s="216">
        <f>Données!V127</f>
        <v>0</v>
      </c>
      <c r="J127" s="216">
        <f>Données!W127</f>
        <v>-332.81</v>
      </c>
      <c r="K127" s="8">
        <f>+Données!Q127</f>
        <v>0</v>
      </c>
      <c r="L127" s="464">
        <f t="shared" si="4"/>
        <v>1735565.4706357063</v>
      </c>
      <c r="M127" s="8">
        <f>+Données!F127</f>
        <v>0</v>
      </c>
      <c r="N127" s="8">
        <f>+Données!K127</f>
        <v>3690.5</v>
      </c>
      <c r="O127" s="8">
        <f>(Données!L127/Données!Y127)*1</f>
        <v>151065.4</v>
      </c>
      <c r="P127" s="464">
        <f t="shared" si="5"/>
        <v>1890321.3706357062</v>
      </c>
      <c r="Q127" s="241">
        <f>+Données!X127</f>
        <v>68</v>
      </c>
      <c r="R127" s="464">
        <f t="shared" si="3"/>
        <v>27798.843685819211</v>
      </c>
    </row>
    <row r="128" spans="1:18" x14ac:dyDescent="0.25">
      <c r="A128" s="7">
        <f>Données!A128</f>
        <v>5623</v>
      </c>
      <c r="B128" s="27" t="str">
        <f>Données!B128</f>
        <v>Buchillon</v>
      </c>
      <c r="C128" s="8">
        <f>Données!C128+Données!D128</f>
        <v>4453526.62</v>
      </c>
      <c r="D128" s="8">
        <f>+Données!G128+Données!H128+Données!S128</f>
        <v>-48216.45</v>
      </c>
      <c r="E128" s="8">
        <f>+Données!E128</f>
        <v>0</v>
      </c>
      <c r="F128" s="8">
        <f>+Données!I128</f>
        <v>172845.75</v>
      </c>
      <c r="G128" s="8">
        <f>+Données!J128</f>
        <v>55295.25</v>
      </c>
      <c r="H128" s="8">
        <f>Données!U128</f>
        <v>-22779.51</v>
      </c>
      <c r="I128" s="216">
        <f>Données!V128</f>
        <v>0</v>
      </c>
      <c r="J128" s="216">
        <f>Données!W128</f>
        <v>-63718.03</v>
      </c>
      <c r="K128" s="8">
        <f>+Données!Q128</f>
        <v>14447.47</v>
      </c>
      <c r="L128" s="464">
        <f t="shared" si="4"/>
        <v>4561401.0999999996</v>
      </c>
      <c r="M128" s="8">
        <f>+Données!F128</f>
        <v>0</v>
      </c>
      <c r="N128" s="8">
        <f>+Données!K128</f>
        <v>-987</v>
      </c>
      <c r="O128" s="8">
        <f>(Données!L128/Données!Y128)*1</f>
        <v>353857.95</v>
      </c>
      <c r="P128" s="464">
        <f t="shared" si="5"/>
        <v>4914272.05</v>
      </c>
      <c r="Q128" s="241">
        <f>+Données!X128</f>
        <v>52</v>
      </c>
      <c r="R128" s="464">
        <f t="shared" si="3"/>
        <v>94505.231730769228</v>
      </c>
    </row>
    <row r="129" spans="1:18" x14ac:dyDescent="0.25">
      <c r="A129" s="7">
        <f>Données!A129</f>
        <v>5624</v>
      </c>
      <c r="B129" s="27" t="str">
        <f>Données!B129</f>
        <v>Bussigny</v>
      </c>
      <c r="C129" s="8">
        <f>Données!C129+Données!D129</f>
        <v>15948517.08</v>
      </c>
      <c r="D129" s="8">
        <f>+Données!G129+Données!H129+Données!S129</f>
        <v>3018938.0874737478</v>
      </c>
      <c r="E129" s="8">
        <f>+Données!E129</f>
        <v>0</v>
      </c>
      <c r="F129" s="8">
        <f>+Données!I129</f>
        <v>0</v>
      </c>
      <c r="G129" s="8">
        <f>+Données!J129</f>
        <v>827180.89</v>
      </c>
      <c r="H129" s="8">
        <f>Données!U129</f>
        <v>-467050.49</v>
      </c>
      <c r="I129" s="216">
        <f>Données!V129</f>
        <v>0</v>
      </c>
      <c r="J129" s="216">
        <f>Données!W129</f>
        <v>-199.73</v>
      </c>
      <c r="K129" s="8">
        <f>+Données!Q129</f>
        <v>23694.2</v>
      </c>
      <c r="L129" s="464">
        <f t="shared" si="4"/>
        <v>19351080.037473749</v>
      </c>
      <c r="M129" s="8">
        <f>+Données!F129</f>
        <v>0</v>
      </c>
      <c r="N129" s="8">
        <f>+Données!K129</f>
        <v>388139.95</v>
      </c>
      <c r="O129" s="8">
        <f>(Données!L129/Données!Y129)*1</f>
        <v>2192995.4</v>
      </c>
      <c r="P129" s="464">
        <f t="shared" si="5"/>
        <v>21932215.387473747</v>
      </c>
      <c r="Q129" s="241">
        <f>+Données!X129</f>
        <v>62.5</v>
      </c>
      <c r="R129" s="464">
        <f t="shared" si="3"/>
        <v>350915.44619957998</v>
      </c>
    </row>
    <row r="130" spans="1:18" x14ac:dyDescent="0.25">
      <c r="A130" s="7">
        <f>Données!A130</f>
        <v>5627</v>
      </c>
      <c r="B130" s="27" t="str">
        <f>Données!B130</f>
        <v>Chavannes-près-Renens</v>
      </c>
      <c r="C130" s="8">
        <f>Données!C130+Données!D130</f>
        <v>11045907.140000001</v>
      </c>
      <c r="D130" s="8">
        <f>+Données!G130+Données!H130+Données!S130</f>
        <v>-338823.9</v>
      </c>
      <c r="E130" s="8">
        <f>+Données!E130</f>
        <v>0</v>
      </c>
      <c r="F130" s="8">
        <f>+Données!I130</f>
        <v>0</v>
      </c>
      <c r="G130" s="8">
        <f>+Données!J130</f>
        <v>811299.64</v>
      </c>
      <c r="H130" s="8">
        <f>Données!U130</f>
        <v>-355491.9</v>
      </c>
      <c r="I130" s="216">
        <f>Données!V130</f>
        <v>0</v>
      </c>
      <c r="J130" s="216">
        <f>Données!W130</f>
        <v>-1921.6</v>
      </c>
      <c r="K130" s="8">
        <f>+Données!Q130</f>
        <v>116725.81</v>
      </c>
      <c r="L130" s="464">
        <f t="shared" si="4"/>
        <v>11277695.190000001</v>
      </c>
      <c r="M130" s="8">
        <f>+Données!F130</f>
        <v>0</v>
      </c>
      <c r="N130" s="8">
        <f>+Données!K130</f>
        <v>226072.5</v>
      </c>
      <c r="O130" s="8">
        <f>(Données!L130/Données!Y130)*1</f>
        <v>1084255.0666666667</v>
      </c>
      <c r="P130" s="464">
        <f t="shared" si="5"/>
        <v>12588022.756666668</v>
      </c>
      <c r="Q130" s="241">
        <f>+Données!X130</f>
        <v>77.5</v>
      </c>
      <c r="R130" s="464">
        <f t="shared" si="3"/>
        <v>162426.10008602153</v>
      </c>
    </row>
    <row r="131" spans="1:18" x14ac:dyDescent="0.25">
      <c r="A131" s="7">
        <f>Données!A131</f>
        <v>5628</v>
      </c>
      <c r="B131" s="27" t="str">
        <f>Données!B131</f>
        <v>Chigny</v>
      </c>
      <c r="C131" s="8">
        <f>Données!C131+Données!D131</f>
        <v>1368519.47</v>
      </c>
      <c r="D131" s="8">
        <f>+Données!G131+Données!H131+Données!S131</f>
        <v>6305.2333442511881</v>
      </c>
      <c r="E131" s="8">
        <f>+Données!E131</f>
        <v>0</v>
      </c>
      <c r="F131" s="8">
        <f>+Données!I131</f>
        <v>0</v>
      </c>
      <c r="G131" s="8">
        <f>+Données!J131</f>
        <v>62499.47</v>
      </c>
      <c r="H131" s="8">
        <f>Données!U131</f>
        <v>-10689.49</v>
      </c>
      <c r="I131" s="216">
        <f>Données!V131</f>
        <v>0</v>
      </c>
      <c r="J131" s="216">
        <f>Données!W131</f>
        <v>0</v>
      </c>
      <c r="K131" s="8">
        <f>+Données!Q131</f>
        <v>0</v>
      </c>
      <c r="L131" s="464">
        <f t="shared" si="4"/>
        <v>1426634.6833442512</v>
      </c>
      <c r="M131" s="8">
        <f>+Données!F131</f>
        <v>0</v>
      </c>
      <c r="N131" s="8">
        <f>+Données!K131</f>
        <v>859.5</v>
      </c>
      <c r="O131" s="8">
        <f>(Données!L131/Données!Y131)*1</f>
        <v>99101.3</v>
      </c>
      <c r="P131" s="464">
        <f t="shared" si="5"/>
        <v>1526595.4833442513</v>
      </c>
      <c r="Q131" s="241">
        <f>+Données!X131</f>
        <v>62</v>
      </c>
      <c r="R131" s="464">
        <f t="shared" si="3"/>
        <v>24622.507795875023</v>
      </c>
    </row>
    <row r="132" spans="1:18" x14ac:dyDescent="0.25">
      <c r="A132" s="7">
        <f>Données!A132</f>
        <v>5629</v>
      </c>
      <c r="B132" s="27" t="str">
        <f>Données!B132</f>
        <v>Clarmont</v>
      </c>
      <c r="C132" s="8">
        <f>Données!C132+Données!D132</f>
        <v>582754.06999999995</v>
      </c>
      <c r="D132" s="8">
        <f>+Données!G132+Données!H132+Données!S132</f>
        <v>2349.5144923039138</v>
      </c>
      <c r="E132" s="8">
        <f>+Données!E132</f>
        <v>0</v>
      </c>
      <c r="F132" s="8">
        <f>+Données!I132</f>
        <v>0</v>
      </c>
      <c r="G132" s="8">
        <f>+Données!J132</f>
        <v>18243.009999999998</v>
      </c>
      <c r="H132" s="8">
        <f>Données!U132</f>
        <v>-15345.52</v>
      </c>
      <c r="I132" s="216">
        <f>Données!V132</f>
        <v>0</v>
      </c>
      <c r="J132" s="216">
        <f>Données!W132</f>
        <v>0</v>
      </c>
      <c r="K132" s="8">
        <f>+Données!Q132</f>
        <v>0</v>
      </c>
      <c r="L132" s="464">
        <f t="shared" si="4"/>
        <v>588001.07449230389</v>
      </c>
      <c r="M132" s="8">
        <f>+Données!F132</f>
        <v>0</v>
      </c>
      <c r="N132" s="8">
        <f>+Données!K132</f>
        <v>715.55</v>
      </c>
      <c r="O132" s="8">
        <f>(Données!L132/Données!Y132)*1</f>
        <v>37549.25</v>
      </c>
      <c r="P132" s="464">
        <f t="shared" si="5"/>
        <v>626265.87449230393</v>
      </c>
      <c r="Q132" s="241">
        <f>+Données!X132</f>
        <v>73.5</v>
      </c>
      <c r="R132" s="464">
        <f t="shared" si="3"/>
        <v>8520.6241427524346</v>
      </c>
    </row>
    <row r="133" spans="1:18" x14ac:dyDescent="0.25">
      <c r="A133" s="7">
        <f>Données!A133</f>
        <v>5631</v>
      </c>
      <c r="B133" s="27" t="str">
        <f>Données!B133</f>
        <v>Denens</v>
      </c>
      <c r="C133" s="8">
        <f>Données!C133+Données!D133</f>
        <v>2613471.36</v>
      </c>
      <c r="D133" s="8">
        <f>+Données!G133+Données!H133+Données!S133</f>
        <v>38981.504759615607</v>
      </c>
      <c r="E133" s="8">
        <f>+Données!E133</f>
        <v>0</v>
      </c>
      <c r="F133" s="8">
        <f>+Données!I133</f>
        <v>78240</v>
      </c>
      <c r="G133" s="8">
        <f>+Données!J133</f>
        <v>69432.86</v>
      </c>
      <c r="H133" s="8">
        <f>Données!U133</f>
        <v>-45226</v>
      </c>
      <c r="I133" s="216">
        <f>Données!V133</f>
        <v>0</v>
      </c>
      <c r="J133" s="216">
        <f>Données!W133</f>
        <v>-11006.35</v>
      </c>
      <c r="K133" s="8">
        <f>+Données!Q133</f>
        <v>0</v>
      </c>
      <c r="L133" s="464">
        <f t="shared" si="4"/>
        <v>2743893.3747596154</v>
      </c>
      <c r="M133" s="8">
        <f>+Données!F133</f>
        <v>0</v>
      </c>
      <c r="N133" s="8">
        <f>+Données!K133</f>
        <v>3267.65</v>
      </c>
      <c r="O133" s="8">
        <f>(Données!L133/Données!Y133)*1</f>
        <v>207013.45</v>
      </c>
      <c r="P133" s="464">
        <f t="shared" si="5"/>
        <v>2954174.4747596155</v>
      </c>
      <c r="Q133" s="241">
        <f>+Données!X133</f>
        <v>68</v>
      </c>
      <c r="R133" s="464">
        <f t="shared" si="3"/>
        <v>43443.742275876699</v>
      </c>
    </row>
    <row r="134" spans="1:18" x14ac:dyDescent="0.25">
      <c r="A134" s="7">
        <f>Données!A134</f>
        <v>5632</v>
      </c>
      <c r="B134" s="27" t="str">
        <f>Données!B134</f>
        <v>Denges</v>
      </c>
      <c r="C134" s="8">
        <f>Données!C134+Données!D134</f>
        <v>3948839.86</v>
      </c>
      <c r="D134" s="8">
        <f>+Données!G134+Données!H134+Données!S134</f>
        <v>245392.96681176219</v>
      </c>
      <c r="E134" s="8">
        <f>+Données!E134</f>
        <v>0</v>
      </c>
      <c r="F134" s="8">
        <f>+Données!I134</f>
        <v>0</v>
      </c>
      <c r="G134" s="8">
        <f>+Données!J134</f>
        <v>210458.31</v>
      </c>
      <c r="H134" s="8">
        <f>Données!U134</f>
        <v>-43095.32</v>
      </c>
      <c r="I134" s="216">
        <f>Données!V134</f>
        <v>0</v>
      </c>
      <c r="J134" s="216">
        <f>Données!W134</f>
        <v>-1532.09</v>
      </c>
      <c r="K134" s="8">
        <f>+Données!Q134</f>
        <v>4195.5</v>
      </c>
      <c r="L134" s="464">
        <f t="shared" si="4"/>
        <v>4364259.226811762</v>
      </c>
      <c r="M134" s="8">
        <f>+Données!F134</f>
        <v>0</v>
      </c>
      <c r="N134" s="8">
        <f>+Données!K134</f>
        <v>23646.6</v>
      </c>
      <c r="O134" s="8">
        <f>(Données!L134/Données!Y134)*1</f>
        <v>348972.1</v>
      </c>
      <c r="P134" s="464">
        <f t="shared" si="5"/>
        <v>4736877.9268117612</v>
      </c>
      <c r="Q134" s="241">
        <f>+Données!X134</f>
        <v>62</v>
      </c>
      <c r="R134" s="464">
        <f t="shared" ref="R134:R197" si="6">P134/Q134</f>
        <v>76401.256884060669</v>
      </c>
    </row>
    <row r="135" spans="1:18" x14ac:dyDescent="0.25">
      <c r="A135" s="7">
        <f>Données!A135</f>
        <v>5633</v>
      </c>
      <c r="B135" s="27" t="str">
        <f>Données!B135</f>
        <v>Echandens</v>
      </c>
      <c r="C135" s="8">
        <f>Données!C135+Données!D135</f>
        <v>7585728.7000000002</v>
      </c>
      <c r="D135" s="8">
        <f>+Données!G135+Données!H135+Données!S135</f>
        <v>534586.74768051493</v>
      </c>
      <c r="E135" s="8">
        <f>+Données!E135</f>
        <v>0</v>
      </c>
      <c r="F135" s="8">
        <f>+Données!I135</f>
        <v>0</v>
      </c>
      <c r="G135" s="8">
        <f>+Données!J135</f>
        <v>204276.94</v>
      </c>
      <c r="H135" s="8">
        <f>Données!U135</f>
        <v>-40672.81</v>
      </c>
      <c r="I135" s="216">
        <f>Données!V135</f>
        <v>0</v>
      </c>
      <c r="J135" s="216">
        <f>Données!W135</f>
        <v>0</v>
      </c>
      <c r="K135" s="8">
        <f>+Données!Q135</f>
        <v>2267.2600000000002</v>
      </c>
      <c r="L135" s="464">
        <f t="shared" ref="L135:L198" si="7">SUM(C135:K135)</f>
        <v>8286186.8376805158</v>
      </c>
      <c r="M135" s="8">
        <f>+Données!F135</f>
        <v>0</v>
      </c>
      <c r="N135" s="8">
        <f>+Données!K135</f>
        <v>32221.7</v>
      </c>
      <c r="O135" s="8">
        <f>(Données!L135/Données!Y135)*1</f>
        <v>654603.94999999995</v>
      </c>
      <c r="P135" s="464">
        <f t="shared" ref="P135:P198" si="8">SUM(L135:O135)</f>
        <v>8973012.4876805153</v>
      </c>
      <c r="Q135" s="241">
        <f>+Données!X135</f>
        <v>60.5</v>
      </c>
      <c r="R135" s="464">
        <f t="shared" si="6"/>
        <v>148314.25599471925</v>
      </c>
    </row>
    <row r="136" spans="1:18" x14ac:dyDescent="0.25">
      <c r="A136" s="7">
        <f>Données!A136</f>
        <v>5634</v>
      </c>
      <c r="B136" s="27" t="str">
        <f>Données!B136</f>
        <v>Echichens</v>
      </c>
      <c r="C136" s="8">
        <f>Données!C136+Données!D136</f>
        <v>9540721.9000000004</v>
      </c>
      <c r="D136" s="8">
        <f>+Données!G136+Données!H136+Données!S136</f>
        <v>383204.26536076475</v>
      </c>
      <c r="E136" s="8">
        <f>+Données!E136</f>
        <v>0</v>
      </c>
      <c r="F136" s="8">
        <f>+Données!I136</f>
        <v>79996.100000000006</v>
      </c>
      <c r="G136" s="8">
        <f>+Données!J136</f>
        <v>114182.63</v>
      </c>
      <c r="H136" s="8">
        <f>Données!U136</f>
        <v>1122.06</v>
      </c>
      <c r="I136" s="216">
        <f>Données!V136</f>
        <v>0</v>
      </c>
      <c r="J136" s="216">
        <f>Données!W136</f>
        <v>-16430.84</v>
      </c>
      <c r="K136" s="8">
        <f>+Données!Q136</f>
        <v>-22414.37</v>
      </c>
      <c r="L136" s="464">
        <f t="shared" si="7"/>
        <v>10080381.745360767</v>
      </c>
      <c r="M136" s="8">
        <f>+Données!F136</f>
        <v>0</v>
      </c>
      <c r="N136" s="8">
        <f>+Données!K136</f>
        <v>30661.9</v>
      </c>
      <c r="O136" s="8">
        <f>(Données!L136/Données!Y136)*1</f>
        <v>717057.2</v>
      </c>
      <c r="P136" s="464">
        <f t="shared" si="8"/>
        <v>10828100.845360767</v>
      </c>
      <c r="Q136" s="241">
        <f>+Données!X136</f>
        <v>66</v>
      </c>
      <c r="R136" s="464">
        <f t="shared" si="6"/>
        <v>164062.1340206177</v>
      </c>
    </row>
    <row r="137" spans="1:18" x14ac:dyDescent="0.25">
      <c r="A137" s="7">
        <f>Données!A137</f>
        <v>5635</v>
      </c>
      <c r="B137" s="27" t="str">
        <f>Données!B137</f>
        <v>Ecublens</v>
      </c>
      <c r="C137" s="8">
        <f>Données!C137+Données!D137</f>
        <v>21962150.350000001</v>
      </c>
      <c r="D137" s="8">
        <f>+Données!G137+Données!H137+Données!S137</f>
        <v>5365051.8170600655</v>
      </c>
      <c r="E137" s="8">
        <f>+Données!E137</f>
        <v>0</v>
      </c>
      <c r="F137" s="8">
        <f>+Données!I137</f>
        <v>0</v>
      </c>
      <c r="G137" s="8">
        <f>+Données!J137</f>
        <v>1749282.28</v>
      </c>
      <c r="H137" s="8">
        <f>Données!U137</f>
        <v>-620064.99</v>
      </c>
      <c r="I137" s="216">
        <f>Données!V137</f>
        <v>0</v>
      </c>
      <c r="J137" s="216">
        <f>Données!W137</f>
        <v>-25901.47</v>
      </c>
      <c r="K137" s="8">
        <f>+Données!Q137</f>
        <v>76637.2</v>
      </c>
      <c r="L137" s="464">
        <f t="shared" si="7"/>
        <v>28507155.187060069</v>
      </c>
      <c r="M137" s="8">
        <f>+Données!F137</f>
        <v>0</v>
      </c>
      <c r="N137" s="8">
        <f>+Données!K137</f>
        <v>453708.3</v>
      </c>
      <c r="O137" s="8">
        <f>(Données!L137/Données!Y137)*1</f>
        <v>2424391.9583333335</v>
      </c>
      <c r="P137" s="464">
        <f t="shared" si="8"/>
        <v>31385255.445393402</v>
      </c>
      <c r="Q137" s="241">
        <f>+Données!X137</f>
        <v>62.5</v>
      </c>
      <c r="R137" s="464">
        <f t="shared" si="6"/>
        <v>502164.08712629444</v>
      </c>
    </row>
    <row r="138" spans="1:18" x14ac:dyDescent="0.25">
      <c r="A138" s="7">
        <f>Données!A138</f>
        <v>5636</v>
      </c>
      <c r="B138" s="27" t="str">
        <f>Données!B138</f>
        <v>Etoy</v>
      </c>
      <c r="C138" s="8">
        <f>Données!C138+Données!D138</f>
        <v>6858006.46</v>
      </c>
      <c r="D138" s="8">
        <f>+Données!G138+Données!H138+Données!S138</f>
        <v>1603136.5719086677</v>
      </c>
      <c r="E138" s="8">
        <f>+Données!E138</f>
        <v>0</v>
      </c>
      <c r="F138" s="8">
        <f>+Données!I138</f>
        <v>0</v>
      </c>
      <c r="G138" s="8">
        <f>+Données!J138</f>
        <v>357527.27</v>
      </c>
      <c r="H138" s="8">
        <f>Données!U138</f>
        <v>-79322.78</v>
      </c>
      <c r="I138" s="216">
        <f>Données!V138</f>
        <v>0</v>
      </c>
      <c r="J138" s="216">
        <f>Données!W138</f>
        <v>-3378.24</v>
      </c>
      <c r="K138" s="8">
        <f>+Données!Q138</f>
        <v>728.49</v>
      </c>
      <c r="L138" s="464">
        <f t="shared" si="7"/>
        <v>8736697.7719086688</v>
      </c>
      <c r="M138" s="8">
        <f>+Données!F138</f>
        <v>0</v>
      </c>
      <c r="N138" s="8">
        <f>+Données!K138</f>
        <v>284447.09999999998</v>
      </c>
      <c r="O138" s="8">
        <f>(Données!L138/Données!Y138)*1</f>
        <v>1189901.8500000001</v>
      </c>
      <c r="P138" s="464">
        <f t="shared" si="8"/>
        <v>10211046.721908668</v>
      </c>
      <c r="Q138" s="241">
        <f>+Données!X138</f>
        <v>60</v>
      </c>
      <c r="R138" s="464">
        <f t="shared" si="6"/>
        <v>170184.11203181112</v>
      </c>
    </row>
    <row r="139" spans="1:18" x14ac:dyDescent="0.25">
      <c r="A139" s="7">
        <f>Données!A139</f>
        <v>5637</v>
      </c>
      <c r="B139" s="27" t="str">
        <f>Données!B139</f>
        <v>Lavigny</v>
      </c>
      <c r="C139" s="8">
        <f>Données!C139+Données!D139</f>
        <v>2750212.11</v>
      </c>
      <c r="D139" s="8">
        <f>+Données!G139+Données!H139+Données!S139</f>
        <v>13235.675174290951</v>
      </c>
      <c r="E139" s="8">
        <f>+Données!E139</f>
        <v>0</v>
      </c>
      <c r="F139" s="8">
        <f>+Données!I139</f>
        <v>0</v>
      </c>
      <c r="G139" s="8">
        <f>+Données!J139</f>
        <v>75916.59</v>
      </c>
      <c r="H139" s="8">
        <f>Données!U139</f>
        <v>-32228.12</v>
      </c>
      <c r="I139" s="216">
        <f>Données!V139</f>
        <v>0</v>
      </c>
      <c r="J139" s="216">
        <f>Données!W139</f>
        <v>-1637.58</v>
      </c>
      <c r="K139" s="8">
        <f>+Données!Q139</f>
        <v>2396.9899999999998</v>
      </c>
      <c r="L139" s="464">
        <f t="shared" si="7"/>
        <v>2807895.6651742905</v>
      </c>
      <c r="M139" s="8">
        <f>+Données!F139</f>
        <v>0</v>
      </c>
      <c r="N139" s="8">
        <f>+Données!K139</f>
        <v>5748.85</v>
      </c>
      <c r="O139" s="8">
        <f>(Données!L139/Données!Y139)*1</f>
        <v>193302.39999999999</v>
      </c>
      <c r="P139" s="464">
        <f t="shared" si="8"/>
        <v>3006946.9151742905</v>
      </c>
      <c r="Q139" s="241">
        <f>+Données!X139</f>
        <v>73</v>
      </c>
      <c r="R139" s="464">
        <f t="shared" si="6"/>
        <v>41191.053632524527</v>
      </c>
    </row>
    <row r="140" spans="1:18" x14ac:dyDescent="0.25">
      <c r="A140" s="7">
        <f>Données!A140</f>
        <v>5638</v>
      </c>
      <c r="B140" s="27" t="str">
        <f>Données!B140</f>
        <v>Lonay</v>
      </c>
      <c r="C140" s="8">
        <f>Données!C140+Données!D140</f>
        <v>6812727.2400000002</v>
      </c>
      <c r="D140" s="8">
        <f>+Données!G140+Données!H140+Données!S140</f>
        <v>50372.576062074389</v>
      </c>
      <c r="E140" s="8">
        <f>+Données!E140</f>
        <v>0</v>
      </c>
      <c r="F140" s="8">
        <f>+Données!I140</f>
        <v>317203.75</v>
      </c>
      <c r="G140" s="8">
        <f>+Données!J140</f>
        <v>128647.64</v>
      </c>
      <c r="H140" s="8">
        <f>Données!U140</f>
        <v>-53189.35</v>
      </c>
      <c r="I140" s="216">
        <f>Données!V140</f>
        <v>0</v>
      </c>
      <c r="J140" s="216">
        <f>Données!W140</f>
        <v>-14646.69</v>
      </c>
      <c r="K140" s="8">
        <f>+Données!Q140</f>
        <v>17148.830000000002</v>
      </c>
      <c r="L140" s="464">
        <f t="shared" si="7"/>
        <v>7258263.9960620739</v>
      </c>
      <c r="M140" s="8">
        <f>+Données!F140</f>
        <v>0</v>
      </c>
      <c r="N140" s="8">
        <f>+Données!K140</f>
        <v>64583.25</v>
      </c>
      <c r="O140" s="8">
        <f>(Données!L140/Données!Y140)*1</f>
        <v>678102.1</v>
      </c>
      <c r="P140" s="464">
        <f t="shared" si="8"/>
        <v>8000949.3460620735</v>
      </c>
      <c r="Q140" s="241">
        <f>+Données!X140</f>
        <v>55</v>
      </c>
      <c r="R140" s="464">
        <f t="shared" si="6"/>
        <v>145471.80629203771</v>
      </c>
    </row>
    <row r="141" spans="1:18" x14ac:dyDescent="0.25">
      <c r="A141" s="7">
        <f>Données!A141</f>
        <v>5639</v>
      </c>
      <c r="B141" s="27" t="str">
        <f>Données!B141</f>
        <v>Lully</v>
      </c>
      <c r="C141" s="8">
        <f>Données!C141+Données!D141</f>
        <v>2651852.83</v>
      </c>
      <c r="D141" s="8">
        <f>+Données!G141+Données!H141+Données!S141</f>
        <v>-57987.5</v>
      </c>
      <c r="E141" s="8">
        <f>+Données!E141</f>
        <v>0</v>
      </c>
      <c r="F141" s="8">
        <f>+Données!I141</f>
        <v>0</v>
      </c>
      <c r="G141" s="8">
        <f>+Données!J141</f>
        <v>9023.2800000000007</v>
      </c>
      <c r="H141" s="8">
        <f>Données!U141</f>
        <v>-11017.54</v>
      </c>
      <c r="I141" s="216">
        <f>Données!V141</f>
        <v>0</v>
      </c>
      <c r="J141" s="216">
        <f>Données!W141</f>
        <v>0</v>
      </c>
      <c r="K141" s="8">
        <f>+Données!Q141</f>
        <v>669.49</v>
      </c>
      <c r="L141" s="464">
        <f t="shared" si="7"/>
        <v>2592540.56</v>
      </c>
      <c r="M141" s="8">
        <f>+Données!F141</f>
        <v>0</v>
      </c>
      <c r="N141" s="8">
        <f>+Données!K141</f>
        <v>-8250.15</v>
      </c>
      <c r="O141" s="8">
        <f>(Données!L141/Données!Y141)*1</f>
        <v>205673.76</v>
      </c>
      <c r="P141" s="464">
        <f t="shared" si="8"/>
        <v>2789964.17</v>
      </c>
      <c r="Q141" s="241">
        <f>+Données!X141</f>
        <v>61</v>
      </c>
      <c r="R141" s="464">
        <f t="shared" si="6"/>
        <v>45737.117540983607</v>
      </c>
    </row>
    <row r="142" spans="1:18" x14ac:dyDescent="0.25">
      <c r="A142" s="7">
        <f>Données!A142</f>
        <v>5640</v>
      </c>
      <c r="B142" s="27" t="str">
        <f>Données!B142</f>
        <v>Lussy-sur-Morges</v>
      </c>
      <c r="C142" s="8">
        <f>Données!C142+Données!D142</f>
        <v>3389836.15</v>
      </c>
      <c r="D142" s="8">
        <f>+Données!G142+Données!H142+Données!S142</f>
        <v>28945.829670397958</v>
      </c>
      <c r="E142" s="8">
        <f>+Données!E142</f>
        <v>0</v>
      </c>
      <c r="F142" s="8">
        <f>+Données!I142</f>
        <v>123554.25</v>
      </c>
      <c r="G142" s="8">
        <f>+Données!J142</f>
        <v>23735.61</v>
      </c>
      <c r="H142" s="8">
        <f>Données!U142</f>
        <v>-3891.6</v>
      </c>
      <c r="I142" s="216">
        <f>Données!V142</f>
        <v>0</v>
      </c>
      <c r="J142" s="216">
        <f>Données!W142</f>
        <v>-2209.71</v>
      </c>
      <c r="K142" s="8">
        <f>+Données!Q142</f>
        <v>123.98</v>
      </c>
      <c r="L142" s="464">
        <f t="shared" si="7"/>
        <v>3560094.5096703977</v>
      </c>
      <c r="M142" s="8">
        <f>+Données!F142</f>
        <v>0</v>
      </c>
      <c r="N142" s="8">
        <f>+Données!K142</f>
        <v>3322.35</v>
      </c>
      <c r="O142" s="8">
        <f>(Données!L142/Données!Y142)*1</f>
        <v>200088.65</v>
      </c>
      <c r="P142" s="464">
        <f t="shared" si="8"/>
        <v>3763505.5096703977</v>
      </c>
      <c r="Q142" s="241">
        <f>+Données!X142</f>
        <v>66</v>
      </c>
      <c r="R142" s="464">
        <f t="shared" si="6"/>
        <v>57022.810752581783</v>
      </c>
    </row>
    <row r="143" spans="1:18" x14ac:dyDescent="0.25">
      <c r="A143" s="7">
        <f>Données!A143</f>
        <v>5642</v>
      </c>
      <c r="B143" s="27" t="str">
        <f>Données!B143</f>
        <v>Morges</v>
      </c>
      <c r="C143" s="8">
        <f>Données!C143+Données!D143</f>
        <v>44787968.010000005</v>
      </c>
      <c r="D143" s="8">
        <f>+Données!G143+Données!H143+Données!S143</f>
        <v>7526817.1184704546</v>
      </c>
      <c r="E143" s="8">
        <f>+Données!E143</f>
        <v>0</v>
      </c>
      <c r="F143" s="8">
        <f>+Données!I143</f>
        <v>1785593.95</v>
      </c>
      <c r="G143" s="8">
        <f>+Données!J143</f>
        <v>1767628.67</v>
      </c>
      <c r="H143" s="8">
        <f>Données!U143</f>
        <v>-1266950.6599999999</v>
      </c>
      <c r="I143" s="216">
        <f>Données!V143</f>
        <v>0</v>
      </c>
      <c r="J143" s="216">
        <f>Données!W143</f>
        <v>-65343.82</v>
      </c>
      <c r="K143" s="8">
        <f>+Données!Q143</f>
        <v>124680.94</v>
      </c>
      <c r="L143" s="464">
        <f t="shared" si="7"/>
        <v>54660394.208470464</v>
      </c>
      <c r="M143" s="8">
        <f>+Données!F143</f>
        <v>0</v>
      </c>
      <c r="N143" s="8">
        <f>+Données!K143</f>
        <v>528585.69999999995</v>
      </c>
      <c r="O143" s="8">
        <f>(Données!L143/Données!Y143)*1</f>
        <v>3270455.1</v>
      </c>
      <c r="P143" s="464">
        <f t="shared" si="8"/>
        <v>58459435.008470468</v>
      </c>
      <c r="Q143" s="241">
        <f>+Données!X143</f>
        <v>67</v>
      </c>
      <c r="R143" s="464">
        <f t="shared" si="6"/>
        <v>872528.88072343986</v>
      </c>
    </row>
    <row r="144" spans="1:18" x14ac:dyDescent="0.25">
      <c r="A144" s="7">
        <f>Données!A144</f>
        <v>5643</v>
      </c>
      <c r="B144" s="27" t="str">
        <f>Données!B144</f>
        <v>Préverenges</v>
      </c>
      <c r="C144" s="8">
        <f>Données!C144+Données!D144</f>
        <v>14122542.82</v>
      </c>
      <c r="D144" s="8">
        <f>+Données!G144+Données!H144+Données!S144</f>
        <v>496867.35475569527</v>
      </c>
      <c r="E144" s="8">
        <f>+Données!E144</f>
        <v>0</v>
      </c>
      <c r="F144" s="8">
        <f>+Données!I144</f>
        <v>447354.21</v>
      </c>
      <c r="G144" s="8">
        <f>+Données!J144</f>
        <v>265216.28000000003</v>
      </c>
      <c r="H144" s="8">
        <f>Données!U144</f>
        <v>-195126.12</v>
      </c>
      <c r="I144" s="216">
        <f>Données!V144</f>
        <v>0</v>
      </c>
      <c r="J144" s="216">
        <f>Données!W144</f>
        <v>-37519.589999999997</v>
      </c>
      <c r="K144" s="8">
        <f>+Données!Q144</f>
        <v>34745.64</v>
      </c>
      <c r="L144" s="464">
        <f t="shared" si="7"/>
        <v>15134080.594755698</v>
      </c>
      <c r="M144" s="8">
        <f>+Données!F144</f>
        <v>0</v>
      </c>
      <c r="N144" s="8">
        <f>+Données!K144</f>
        <v>126037</v>
      </c>
      <c r="O144" s="8">
        <f>(Données!L144/Données!Y144)*1</f>
        <v>1126087.1299999999</v>
      </c>
      <c r="P144" s="464">
        <f t="shared" si="8"/>
        <v>16386204.724755697</v>
      </c>
      <c r="Q144" s="241">
        <f>+Données!X144</f>
        <v>62.5</v>
      </c>
      <c r="R144" s="464">
        <f t="shared" si="6"/>
        <v>262179.27559609117</v>
      </c>
    </row>
    <row r="145" spans="1:18" x14ac:dyDescent="0.25">
      <c r="A145" s="7">
        <f>Données!A145</f>
        <v>5645</v>
      </c>
      <c r="B145" s="27" t="str">
        <f>Données!B145</f>
        <v>Romanel-sur-Morges</v>
      </c>
      <c r="C145" s="8">
        <f>Données!C145+Données!D145</f>
        <v>1140048.52</v>
      </c>
      <c r="D145" s="8">
        <f>+Données!G145+Données!H145+Données!S145</f>
        <v>151068.47798759735</v>
      </c>
      <c r="E145" s="8">
        <f>+Données!E145</f>
        <v>0</v>
      </c>
      <c r="F145" s="8">
        <f>+Données!I145</f>
        <v>0</v>
      </c>
      <c r="G145" s="8">
        <f>+Données!J145</f>
        <v>66708.12</v>
      </c>
      <c r="H145" s="8">
        <f>Données!U145</f>
        <v>-10244.790000000001</v>
      </c>
      <c r="I145" s="216">
        <f>Données!V145</f>
        <v>0</v>
      </c>
      <c r="J145" s="216">
        <f>Données!W145</f>
        <v>-1656.45</v>
      </c>
      <c r="K145" s="8">
        <f>+Données!Q145</f>
        <v>2974.46</v>
      </c>
      <c r="L145" s="464">
        <f t="shared" si="7"/>
        <v>1348898.3379875973</v>
      </c>
      <c r="M145" s="8">
        <f>+Données!F145</f>
        <v>0</v>
      </c>
      <c r="N145" s="8">
        <f>+Données!K145</f>
        <v>20606.599999999999</v>
      </c>
      <c r="O145" s="8">
        <f>(Données!L145/Données!Y145)*1</f>
        <v>159938.35</v>
      </c>
      <c r="P145" s="464">
        <f t="shared" si="8"/>
        <v>1529443.2879875975</v>
      </c>
      <c r="Q145" s="241">
        <f>+Données!X145</f>
        <v>56</v>
      </c>
      <c r="R145" s="464">
        <f t="shared" si="6"/>
        <v>27311.487285492814</v>
      </c>
    </row>
    <row r="146" spans="1:18" x14ac:dyDescent="0.25">
      <c r="A146" s="7">
        <f>Données!A146</f>
        <v>5646</v>
      </c>
      <c r="B146" s="27" t="str">
        <f>Données!B146</f>
        <v>Saint-Prex</v>
      </c>
      <c r="C146" s="8">
        <f>Données!C146+Données!D146</f>
        <v>14853850.120000001</v>
      </c>
      <c r="D146" s="8">
        <f>+Données!G146+Données!H146+Données!S146</f>
        <v>11720239.919013301</v>
      </c>
      <c r="E146" s="8">
        <f>+Données!E146</f>
        <v>0</v>
      </c>
      <c r="F146" s="8">
        <f>+Données!I146</f>
        <v>762116.87</v>
      </c>
      <c r="G146" s="8">
        <f>+Données!J146</f>
        <v>587722.06000000006</v>
      </c>
      <c r="H146" s="8">
        <f>Données!U146</f>
        <v>-178640.07</v>
      </c>
      <c r="I146" s="216">
        <f>Données!V146</f>
        <v>0</v>
      </c>
      <c r="J146" s="216">
        <f>Données!W146</f>
        <v>-34323.89</v>
      </c>
      <c r="K146" s="8">
        <f>+Données!Q146</f>
        <v>23957.29</v>
      </c>
      <c r="L146" s="464">
        <f t="shared" si="7"/>
        <v>27734922.299013302</v>
      </c>
      <c r="M146" s="8">
        <f>+Données!F146</f>
        <v>0</v>
      </c>
      <c r="N146" s="8">
        <f>+Données!K146</f>
        <v>135101.5</v>
      </c>
      <c r="O146" s="8">
        <f>(Données!L146/Données!Y146)*1</f>
        <v>1656997.9</v>
      </c>
      <c r="P146" s="464">
        <f t="shared" si="8"/>
        <v>29527021.6990133</v>
      </c>
      <c r="Q146" s="241">
        <f>+Données!X146</f>
        <v>55</v>
      </c>
      <c r="R146" s="464">
        <f t="shared" si="6"/>
        <v>536854.93998205999</v>
      </c>
    </row>
    <row r="147" spans="1:18" x14ac:dyDescent="0.25">
      <c r="A147" s="7">
        <f>Données!A147</f>
        <v>5648</v>
      </c>
      <c r="B147" s="27" t="str">
        <f>Données!B147</f>
        <v>Saint-Sulpice</v>
      </c>
      <c r="C147" s="8">
        <f>Données!C147+Données!D147</f>
        <v>17488228.039999999</v>
      </c>
      <c r="D147" s="8">
        <f>+Données!G147+Données!H147+Données!S147</f>
        <v>1516744.8603363177</v>
      </c>
      <c r="E147" s="8">
        <f>+Données!E147</f>
        <v>0</v>
      </c>
      <c r="F147" s="8">
        <f>+Données!I147</f>
        <v>548606.35</v>
      </c>
      <c r="G147" s="8">
        <f>+Données!J147</f>
        <v>709111.6</v>
      </c>
      <c r="H147" s="8">
        <f>Données!U147</f>
        <v>-152293.5</v>
      </c>
      <c r="I147" s="216">
        <f>Données!V147</f>
        <v>0</v>
      </c>
      <c r="J147" s="216">
        <f>Données!W147</f>
        <v>-115155.93</v>
      </c>
      <c r="K147" s="8">
        <f>+Données!Q147</f>
        <v>10214.629999999999</v>
      </c>
      <c r="L147" s="464">
        <f t="shared" si="7"/>
        <v>20005456.05033632</v>
      </c>
      <c r="M147" s="8">
        <f>+Données!F147</f>
        <v>0</v>
      </c>
      <c r="N147" s="8">
        <f>+Données!K147</f>
        <v>137836.75</v>
      </c>
      <c r="O147" s="8">
        <f>(Données!L147/Données!Y147)*1</f>
        <v>1632970.7999999998</v>
      </c>
      <c r="P147" s="464">
        <f t="shared" si="8"/>
        <v>21776263.600336321</v>
      </c>
      <c r="Q147" s="241">
        <f>+Données!X147</f>
        <v>55</v>
      </c>
      <c r="R147" s="464">
        <f t="shared" si="6"/>
        <v>395932.06546066038</v>
      </c>
    </row>
    <row r="148" spans="1:18" x14ac:dyDescent="0.25">
      <c r="A148" s="7">
        <f>Données!A148</f>
        <v>5649</v>
      </c>
      <c r="B148" s="27" t="str">
        <f>Données!B148</f>
        <v>Tolochenaz</v>
      </c>
      <c r="C148" s="8">
        <f>Données!C148+Données!D148</f>
        <v>4602367.82</v>
      </c>
      <c r="D148" s="8">
        <f>+Données!G148+Données!H148+Données!S148</f>
        <v>7380761.1850241181</v>
      </c>
      <c r="E148" s="8">
        <f>+Données!E148</f>
        <v>0</v>
      </c>
      <c r="F148" s="8">
        <f>+Données!I148</f>
        <v>30789.15</v>
      </c>
      <c r="G148" s="8">
        <f>+Données!J148</f>
        <v>256600.22</v>
      </c>
      <c r="H148" s="8">
        <f>Données!U148</f>
        <v>-65339.54</v>
      </c>
      <c r="I148" s="216">
        <f>Données!V148</f>
        <v>0</v>
      </c>
      <c r="J148" s="216">
        <f>Données!W148</f>
        <v>-3405.73</v>
      </c>
      <c r="K148" s="8">
        <f>+Données!Q148</f>
        <v>19414.7</v>
      </c>
      <c r="L148" s="464">
        <f t="shared" si="7"/>
        <v>12221187.805024119</v>
      </c>
      <c r="M148" s="8">
        <f>+Données!F148</f>
        <v>0</v>
      </c>
      <c r="N148" s="8">
        <f>+Données!K148</f>
        <v>65122.1</v>
      </c>
      <c r="O148" s="8">
        <f>(Données!L148/Données!Y148)*1</f>
        <v>557667.69999999995</v>
      </c>
      <c r="P148" s="464">
        <f t="shared" si="8"/>
        <v>12843977.605024118</v>
      </c>
      <c r="Q148" s="241">
        <f>+Données!X148</f>
        <v>65</v>
      </c>
      <c r="R148" s="464">
        <f t="shared" si="6"/>
        <v>197599.65546190951</v>
      </c>
    </row>
    <row r="149" spans="1:18" x14ac:dyDescent="0.25">
      <c r="A149" s="7">
        <f>Données!A149</f>
        <v>5650</v>
      </c>
      <c r="B149" s="27" t="str">
        <f>Données!B149</f>
        <v>Vaux-sur-Morges</v>
      </c>
      <c r="C149" s="8">
        <f>Données!C149+Données!D149</f>
        <v>3505164.8000000003</v>
      </c>
      <c r="D149" s="8">
        <f>+Données!G149+Données!H149+Données!S149</f>
        <v>5998.9157766552935</v>
      </c>
      <c r="E149" s="8">
        <f>+Données!E149</f>
        <v>0</v>
      </c>
      <c r="F149" s="8">
        <f>+Données!I149</f>
        <v>0</v>
      </c>
      <c r="G149" s="8">
        <f>+Données!J149</f>
        <v>-25222.14</v>
      </c>
      <c r="H149" s="8">
        <f>Données!U149</f>
        <v>-3776.83</v>
      </c>
      <c r="I149" s="216">
        <f>Données!V149</f>
        <v>0</v>
      </c>
      <c r="J149" s="216">
        <f>Données!W149</f>
        <v>0</v>
      </c>
      <c r="K149" s="8">
        <f>+Données!Q149</f>
        <v>0</v>
      </c>
      <c r="L149" s="464">
        <f t="shared" si="7"/>
        <v>3482164.7457766552</v>
      </c>
      <c r="M149" s="8">
        <f>+Données!F149</f>
        <v>0</v>
      </c>
      <c r="N149" s="8">
        <f>+Données!K149</f>
        <v>0</v>
      </c>
      <c r="O149" s="8">
        <f>(Données!L149/Données!Y149)*1</f>
        <v>45852</v>
      </c>
      <c r="P149" s="464">
        <f t="shared" si="8"/>
        <v>3528016.7457766552</v>
      </c>
      <c r="Q149" s="241">
        <f>+Données!X149</f>
        <v>56</v>
      </c>
      <c r="R149" s="464">
        <f t="shared" si="6"/>
        <v>63000.299031725983</v>
      </c>
    </row>
    <row r="150" spans="1:18" x14ac:dyDescent="0.25">
      <c r="A150" s="7">
        <f>Données!A150</f>
        <v>5651</v>
      </c>
      <c r="B150" s="27" t="str">
        <f>Données!B150</f>
        <v>Villars-Sainte-Croix</v>
      </c>
      <c r="C150" s="8">
        <f>Données!C150+Données!D150</f>
        <v>2359568.42</v>
      </c>
      <c r="D150" s="8">
        <f>+Données!G150+Données!H150+Données!S150</f>
        <v>569918.80518443743</v>
      </c>
      <c r="E150" s="8">
        <f>+Données!E150</f>
        <v>0</v>
      </c>
      <c r="F150" s="8">
        <f>+Données!I150</f>
        <v>0</v>
      </c>
      <c r="G150" s="8">
        <f>+Données!J150</f>
        <v>32671.37</v>
      </c>
      <c r="H150" s="8">
        <f>Données!U150</f>
        <v>-25961.53</v>
      </c>
      <c r="I150" s="216">
        <f>Données!V150</f>
        <v>0</v>
      </c>
      <c r="J150" s="216">
        <f>Données!W150</f>
        <v>-576.03</v>
      </c>
      <c r="K150" s="8">
        <f>+Données!Q150</f>
        <v>8244.7000000000007</v>
      </c>
      <c r="L150" s="464">
        <f t="shared" si="7"/>
        <v>2943865.7351844381</v>
      </c>
      <c r="M150" s="8">
        <f>+Données!F150</f>
        <v>0</v>
      </c>
      <c r="N150" s="8">
        <f>+Données!K150</f>
        <v>36688.400000000001</v>
      </c>
      <c r="O150" s="8">
        <f>(Données!L150/Données!Y150)*1</f>
        <v>383846.1</v>
      </c>
      <c r="P150" s="464">
        <f t="shared" si="8"/>
        <v>3364400.2351844381</v>
      </c>
      <c r="Q150" s="241">
        <f>+Données!X150</f>
        <v>60.5</v>
      </c>
      <c r="R150" s="464">
        <f t="shared" si="6"/>
        <v>55609.921242717981</v>
      </c>
    </row>
    <row r="151" spans="1:18" x14ac:dyDescent="0.25">
      <c r="A151" s="7">
        <f>Données!A151</f>
        <v>5652</v>
      </c>
      <c r="B151" s="27" t="str">
        <f>Données!B151</f>
        <v>Villars-sous-Yens</v>
      </c>
      <c r="C151" s="8">
        <f>Données!C151+Données!D151</f>
        <v>1797196.25</v>
      </c>
      <c r="D151" s="8">
        <f>+Données!G151+Données!H151+Données!S151</f>
        <v>27272.475931803212</v>
      </c>
      <c r="E151" s="8">
        <f>+Données!E151</f>
        <v>0</v>
      </c>
      <c r="F151" s="8">
        <f>+Données!I151</f>
        <v>0</v>
      </c>
      <c r="G151" s="8">
        <f>+Données!J151</f>
        <v>28766.84</v>
      </c>
      <c r="H151" s="8">
        <f>Données!U151</f>
        <v>-17306.95</v>
      </c>
      <c r="I151" s="216">
        <f>Données!V151</f>
        <v>0</v>
      </c>
      <c r="J151" s="216">
        <f>Données!W151</f>
        <v>-480.35</v>
      </c>
      <c r="K151" s="8">
        <f>+Données!Q151</f>
        <v>3767.87</v>
      </c>
      <c r="L151" s="464">
        <f t="shared" si="7"/>
        <v>1839216.1359318034</v>
      </c>
      <c r="M151" s="8">
        <f>+Données!F151</f>
        <v>0</v>
      </c>
      <c r="N151" s="8">
        <f>+Données!K151</f>
        <v>817.15</v>
      </c>
      <c r="O151" s="8">
        <f>(Données!L151/Données!Y151)*1</f>
        <v>109757.79166666667</v>
      </c>
      <c r="P151" s="464">
        <f t="shared" si="8"/>
        <v>1949791.07759847</v>
      </c>
      <c r="Q151" s="241">
        <f>+Données!X151</f>
        <v>76</v>
      </c>
      <c r="R151" s="464">
        <f t="shared" si="6"/>
        <v>25655.145757874605</v>
      </c>
    </row>
    <row r="152" spans="1:18" x14ac:dyDescent="0.25">
      <c r="A152" s="7">
        <f>Données!A152</f>
        <v>5653</v>
      </c>
      <c r="B152" s="27" t="str">
        <f>Données!B152</f>
        <v>Vufflens-le-Château</v>
      </c>
      <c r="C152" s="8">
        <f>Données!C152+Données!D152</f>
        <v>3623607.6599999997</v>
      </c>
      <c r="D152" s="8">
        <f>+Données!G152+Données!H152+Données!S152</f>
        <v>56172.514447625996</v>
      </c>
      <c r="E152" s="8">
        <f>+Données!E152</f>
        <v>0</v>
      </c>
      <c r="F152" s="8">
        <f>+Données!I152</f>
        <v>44343.35</v>
      </c>
      <c r="G152" s="8">
        <f>+Données!J152</f>
        <v>57614.15</v>
      </c>
      <c r="H152" s="8">
        <f>Données!U152</f>
        <v>-7935.47</v>
      </c>
      <c r="I152" s="216">
        <f>Données!V152</f>
        <v>0</v>
      </c>
      <c r="J152" s="216">
        <f>Données!W152</f>
        <v>-13811.53</v>
      </c>
      <c r="K152" s="8">
        <f>+Données!Q152</f>
        <v>978.52</v>
      </c>
      <c r="L152" s="464">
        <f t="shared" si="7"/>
        <v>3760969.1944476259</v>
      </c>
      <c r="M152" s="8">
        <f>+Données!F152</f>
        <v>0</v>
      </c>
      <c r="N152" s="8">
        <f>+Données!K152</f>
        <v>3412.75</v>
      </c>
      <c r="O152" s="8">
        <f>(Données!L152/Données!Y152)*1</f>
        <v>258484</v>
      </c>
      <c r="P152" s="464">
        <f t="shared" si="8"/>
        <v>4022865.9444476259</v>
      </c>
      <c r="Q152" s="241">
        <f>+Données!X152</f>
        <v>58.5</v>
      </c>
      <c r="R152" s="464">
        <f t="shared" si="6"/>
        <v>68766.939221326931</v>
      </c>
    </row>
    <row r="153" spans="1:18" x14ac:dyDescent="0.25">
      <c r="A153" s="7">
        <f>Données!A153</f>
        <v>5654</v>
      </c>
      <c r="B153" s="27" t="str">
        <f>Données!B153</f>
        <v>Vullierens</v>
      </c>
      <c r="C153" s="8">
        <f>Données!C153+Données!D153</f>
        <v>1295421.03</v>
      </c>
      <c r="D153" s="8">
        <f>+Données!G153+Données!H153+Données!S153</f>
        <v>2267.5955443108901</v>
      </c>
      <c r="E153" s="8">
        <f>+Données!E153</f>
        <v>0</v>
      </c>
      <c r="F153" s="8">
        <f>+Données!I153</f>
        <v>0</v>
      </c>
      <c r="G153" s="8">
        <f>+Données!J153</f>
        <v>41216.39</v>
      </c>
      <c r="H153" s="8">
        <f>Données!U153</f>
        <v>-29527.75</v>
      </c>
      <c r="I153" s="216">
        <f>Données!V153</f>
        <v>0</v>
      </c>
      <c r="J153" s="216">
        <f>Données!W153</f>
        <v>-161.51</v>
      </c>
      <c r="K153" s="8">
        <f>+Données!Q153</f>
        <v>46734.8</v>
      </c>
      <c r="L153" s="464">
        <f t="shared" si="7"/>
        <v>1355950.5555443109</v>
      </c>
      <c r="M153" s="8">
        <f>+Données!F153</f>
        <v>0</v>
      </c>
      <c r="N153" s="8">
        <f>+Données!K153</f>
        <v>1973.05</v>
      </c>
      <c r="O153" s="8">
        <f>(Données!L153/Données!Y153)*1</f>
        <v>106239.65</v>
      </c>
      <c r="P153" s="464">
        <f t="shared" si="8"/>
        <v>1464163.2555443109</v>
      </c>
      <c r="Q153" s="241">
        <f>+Données!X153</f>
        <v>76</v>
      </c>
      <c r="R153" s="464">
        <f t="shared" si="6"/>
        <v>19265.305994004091</v>
      </c>
    </row>
    <row r="154" spans="1:18" x14ac:dyDescent="0.25">
      <c r="A154" s="7">
        <f>Données!A154</f>
        <v>5655</v>
      </c>
      <c r="B154" s="27" t="str">
        <f>Données!B154</f>
        <v>Yens</v>
      </c>
      <c r="C154" s="8">
        <f>Données!C154+Données!D154</f>
        <v>5770873.5300000003</v>
      </c>
      <c r="D154" s="8">
        <f>+Données!G154+Données!H154+Données!S154</f>
        <v>304565.36961512989</v>
      </c>
      <c r="E154" s="8">
        <f>+Données!E154</f>
        <v>0</v>
      </c>
      <c r="F154" s="8">
        <f>+Données!I154</f>
        <v>66010.45</v>
      </c>
      <c r="G154" s="8">
        <f>+Données!J154</f>
        <v>-13414.22</v>
      </c>
      <c r="H154" s="8">
        <f>Données!U154</f>
        <v>-56723.22</v>
      </c>
      <c r="I154" s="216">
        <f>Données!V154</f>
        <v>0</v>
      </c>
      <c r="J154" s="216">
        <f>Données!W154</f>
        <v>-2589.31</v>
      </c>
      <c r="K154" s="8">
        <f>+Données!Q154</f>
        <v>-76.89</v>
      </c>
      <c r="L154" s="464">
        <f t="shared" si="7"/>
        <v>6068645.7096151318</v>
      </c>
      <c r="M154" s="8">
        <f>+Données!F154</f>
        <v>0</v>
      </c>
      <c r="N154" s="8">
        <f>+Données!K154</f>
        <v>11308.65</v>
      </c>
      <c r="O154" s="8">
        <f>(Données!L154/Données!Y154)*1</f>
        <v>415850.1</v>
      </c>
      <c r="P154" s="464">
        <f t="shared" si="8"/>
        <v>6495804.4596151318</v>
      </c>
      <c r="Q154" s="241">
        <f>+Données!X154</f>
        <v>71.5</v>
      </c>
      <c r="R154" s="464">
        <f t="shared" si="6"/>
        <v>90850.412022589255</v>
      </c>
    </row>
    <row r="155" spans="1:18" x14ac:dyDescent="0.25">
      <c r="A155" s="7">
        <f>Données!A155</f>
        <v>5656</v>
      </c>
      <c r="B155" s="27" t="str">
        <f>Données!B155</f>
        <v>Hautemorges</v>
      </c>
      <c r="C155" s="8">
        <f>Données!C155+Données!D155</f>
        <v>10612305.470000001</v>
      </c>
      <c r="D155" s="8">
        <f>+Données!G155+Données!H155+Données!S155</f>
        <v>116095.88958405584</v>
      </c>
      <c r="E155" s="8">
        <f>+Données!E155</f>
        <v>0</v>
      </c>
      <c r="F155" s="8">
        <f>+Données!I155</f>
        <v>67515.199999999997</v>
      </c>
      <c r="G155" s="8">
        <f>+Données!J155</f>
        <v>395436.37</v>
      </c>
      <c r="H155" s="8">
        <f>Données!U155</f>
        <v>-193089.69</v>
      </c>
      <c r="I155" s="216">
        <f>Données!V155</f>
        <v>0</v>
      </c>
      <c r="J155" s="216">
        <f>Données!W155</f>
        <v>-6065.88</v>
      </c>
      <c r="K155" s="8">
        <f>+Données!Q155</f>
        <v>42842.87</v>
      </c>
      <c r="L155" s="464">
        <f t="shared" si="7"/>
        <v>11035040.229584053</v>
      </c>
      <c r="M155" s="8">
        <f>+Données!F155</f>
        <v>0</v>
      </c>
      <c r="N155" s="8">
        <f>+Données!K155</f>
        <v>25516.800000000003</v>
      </c>
      <c r="O155" s="8">
        <f>(Données!L155/Données!Y155)*1</f>
        <v>862737.15</v>
      </c>
      <c r="P155" s="464">
        <f t="shared" si="8"/>
        <v>11923294.179584054</v>
      </c>
      <c r="Q155" s="241">
        <f>+Données!X155</f>
        <v>74.06</v>
      </c>
      <c r="R155" s="464">
        <f t="shared" si="6"/>
        <v>160995.06048587704</v>
      </c>
    </row>
    <row r="156" spans="1:18" x14ac:dyDescent="0.25">
      <c r="A156" s="7">
        <f>Données!A156</f>
        <v>5661</v>
      </c>
      <c r="B156" s="27" t="str">
        <f>Données!B156</f>
        <v>Boulens</v>
      </c>
      <c r="C156" s="8">
        <f>Données!C156+Données!D156</f>
        <v>646733.61</v>
      </c>
      <c r="D156" s="8">
        <f>+Données!G156+Données!H156+Données!S156</f>
        <v>14477.526893933173</v>
      </c>
      <c r="E156" s="8">
        <f>+Données!E156</f>
        <v>0</v>
      </c>
      <c r="F156" s="8">
        <f>+Données!I156</f>
        <v>0</v>
      </c>
      <c r="G156" s="8">
        <f>+Données!J156</f>
        <v>6062.62</v>
      </c>
      <c r="H156" s="8">
        <f>Données!U156</f>
        <v>-52.72</v>
      </c>
      <c r="I156" s="216">
        <f>Données!V156</f>
        <v>0</v>
      </c>
      <c r="J156" s="216">
        <f>Données!W156</f>
        <v>0</v>
      </c>
      <c r="K156" s="8">
        <f>+Données!Q156</f>
        <v>1200</v>
      </c>
      <c r="L156" s="464">
        <f t="shared" si="7"/>
        <v>668421.0368939332</v>
      </c>
      <c r="M156" s="8">
        <f>+Données!F156</f>
        <v>0</v>
      </c>
      <c r="N156" s="8">
        <f>+Données!K156</f>
        <v>425</v>
      </c>
      <c r="O156" s="8">
        <f>(Données!L156/Données!Y156)*1</f>
        <v>57867.5</v>
      </c>
      <c r="P156" s="464">
        <f t="shared" si="8"/>
        <v>726713.5368939332</v>
      </c>
      <c r="Q156" s="241">
        <f>+Données!X156</f>
        <v>71.5</v>
      </c>
      <c r="R156" s="464">
        <f t="shared" si="6"/>
        <v>10163.82569082424</v>
      </c>
    </row>
    <row r="157" spans="1:18" x14ac:dyDescent="0.25">
      <c r="A157" s="7">
        <f>Données!A157</f>
        <v>5663</v>
      </c>
      <c r="B157" s="27" t="str">
        <f>Données!B157</f>
        <v>Bussy-sur-Moudon</v>
      </c>
      <c r="C157" s="8">
        <f>Données!C157+Données!D157</f>
        <v>403459.43999999994</v>
      </c>
      <c r="D157" s="8">
        <f>+Données!G157+Données!H157+Données!S157</f>
        <v>5441.3508189681961</v>
      </c>
      <c r="E157" s="8">
        <f>+Données!E157</f>
        <v>0</v>
      </c>
      <c r="F157" s="8">
        <f>+Données!I157</f>
        <v>0</v>
      </c>
      <c r="G157" s="8">
        <f>+Données!J157</f>
        <v>7597.84</v>
      </c>
      <c r="H157" s="8">
        <f>Données!U157</f>
        <v>-17752.509999999998</v>
      </c>
      <c r="I157" s="216">
        <f>Données!V157</f>
        <v>0</v>
      </c>
      <c r="J157" s="216">
        <f>Données!W157</f>
        <v>0</v>
      </c>
      <c r="K157" s="8">
        <f>+Données!Q157</f>
        <v>0</v>
      </c>
      <c r="L157" s="464">
        <f t="shared" si="7"/>
        <v>398746.12081896816</v>
      </c>
      <c r="M157" s="8">
        <f>+Données!F157</f>
        <v>1280</v>
      </c>
      <c r="N157" s="8">
        <f>+Données!K157</f>
        <v>325.2</v>
      </c>
      <c r="O157" s="8">
        <f>(Données!L157/Données!Y157)*1</f>
        <v>32190.75</v>
      </c>
      <c r="P157" s="464">
        <f t="shared" si="8"/>
        <v>432542.07081896818</v>
      </c>
      <c r="Q157" s="241">
        <f>+Données!X157</f>
        <v>80</v>
      </c>
      <c r="R157" s="464">
        <f t="shared" si="6"/>
        <v>5406.7758852371026</v>
      </c>
    </row>
    <row r="158" spans="1:18" x14ac:dyDescent="0.25">
      <c r="A158" s="7">
        <f>Données!A158</f>
        <v>5665</v>
      </c>
      <c r="B158" s="27" t="str">
        <f>Données!B158</f>
        <v>Chavannes-sur-Moudon</v>
      </c>
      <c r="C158" s="8">
        <f>Données!C158+Données!D158</f>
        <v>463236.83</v>
      </c>
      <c r="D158" s="8">
        <f>+Données!G158+Données!H158+Données!S158</f>
        <v>213.19790553412091</v>
      </c>
      <c r="E158" s="8">
        <f>+Données!E158</f>
        <v>0</v>
      </c>
      <c r="F158" s="8">
        <f>+Données!I158</f>
        <v>0</v>
      </c>
      <c r="G158" s="8">
        <f>+Données!J158</f>
        <v>9972.25</v>
      </c>
      <c r="H158" s="8">
        <f>Données!U158</f>
        <v>-84.4</v>
      </c>
      <c r="I158" s="216">
        <f>Données!V158</f>
        <v>0</v>
      </c>
      <c r="J158" s="216">
        <f>Données!W158</f>
        <v>0</v>
      </c>
      <c r="K158" s="8">
        <f>+Données!Q158</f>
        <v>0</v>
      </c>
      <c r="L158" s="464">
        <f t="shared" si="7"/>
        <v>473337.87790553411</v>
      </c>
      <c r="M158" s="8">
        <f>+Données!F158</f>
        <v>0</v>
      </c>
      <c r="N158" s="8">
        <f>+Données!K158</f>
        <v>4.5</v>
      </c>
      <c r="O158" s="8">
        <f>(Données!L158/Données!Y158)*1</f>
        <v>25595.4</v>
      </c>
      <c r="P158" s="464">
        <f t="shared" si="8"/>
        <v>498937.77790553414</v>
      </c>
      <c r="Q158" s="241">
        <f>+Données!X158</f>
        <v>73</v>
      </c>
      <c r="R158" s="464">
        <f t="shared" si="6"/>
        <v>6834.7640808977276</v>
      </c>
    </row>
    <row r="159" spans="1:18" x14ac:dyDescent="0.25">
      <c r="A159" s="7">
        <f>Données!A159</f>
        <v>5669</v>
      </c>
      <c r="B159" s="27" t="str">
        <f>Données!B159</f>
        <v>Curtilles</v>
      </c>
      <c r="C159" s="8">
        <f>Données!C159+Données!D159</f>
        <v>706440.6399999999</v>
      </c>
      <c r="D159" s="8">
        <f>+Données!G159+Données!H159+Données!S159</f>
        <v>6828.5921996596971</v>
      </c>
      <c r="E159" s="8">
        <f>+Données!E159</f>
        <v>0</v>
      </c>
      <c r="F159" s="8">
        <f>+Données!I159</f>
        <v>0</v>
      </c>
      <c r="G159" s="8">
        <f>+Données!J159</f>
        <v>-2083.19</v>
      </c>
      <c r="H159" s="8">
        <f>Données!U159</f>
        <v>-8889.51</v>
      </c>
      <c r="I159" s="216">
        <f>Données!V159</f>
        <v>0</v>
      </c>
      <c r="J159" s="216">
        <f>Données!W159</f>
        <v>-116.59</v>
      </c>
      <c r="K159" s="8">
        <f>+Données!Q159</f>
        <v>0</v>
      </c>
      <c r="L159" s="464">
        <f t="shared" si="7"/>
        <v>702179.94219965965</v>
      </c>
      <c r="M159" s="8">
        <f>+Données!F159</f>
        <v>0</v>
      </c>
      <c r="N159" s="8">
        <f>+Données!K159</f>
        <v>356.7</v>
      </c>
      <c r="O159" s="8">
        <f>(Données!L159/Données!Y159)*1</f>
        <v>48267.9</v>
      </c>
      <c r="P159" s="464">
        <f t="shared" si="8"/>
        <v>750804.54219965963</v>
      </c>
      <c r="Q159" s="241">
        <f>+Données!X159</f>
        <v>73</v>
      </c>
      <c r="R159" s="464">
        <f t="shared" si="6"/>
        <v>10284.99372876246</v>
      </c>
    </row>
    <row r="160" spans="1:18" x14ac:dyDescent="0.25">
      <c r="A160" s="7">
        <f>Données!A160</f>
        <v>5671</v>
      </c>
      <c r="B160" s="27" t="str">
        <f>Données!B160</f>
        <v>Dompierre</v>
      </c>
      <c r="C160" s="8">
        <f>Données!C160+Données!D160</f>
        <v>442614.23</v>
      </c>
      <c r="D160" s="8">
        <f>+Données!G160+Données!H160+Données!S160</f>
        <v>3818.3453882217095</v>
      </c>
      <c r="E160" s="8">
        <f>+Données!E160</f>
        <v>0</v>
      </c>
      <c r="F160" s="8">
        <f>+Données!I160</f>
        <v>0</v>
      </c>
      <c r="G160" s="8">
        <f>+Données!J160</f>
        <v>873.22</v>
      </c>
      <c r="H160" s="8">
        <f>Données!U160</f>
        <v>-17407.05</v>
      </c>
      <c r="I160" s="216">
        <f>Données!V160</f>
        <v>0</v>
      </c>
      <c r="J160" s="216">
        <f>Données!W160</f>
        <v>0</v>
      </c>
      <c r="K160" s="8">
        <f>+Données!Q160</f>
        <v>8434.0499999999993</v>
      </c>
      <c r="L160" s="464">
        <f t="shared" si="7"/>
        <v>438332.79538822168</v>
      </c>
      <c r="M160" s="8">
        <f>+Données!F160</f>
        <v>0</v>
      </c>
      <c r="N160" s="8">
        <f>+Données!K160</f>
        <v>223.5</v>
      </c>
      <c r="O160" s="8">
        <f>(Données!L160/Données!Y160)*1</f>
        <v>32024.9</v>
      </c>
      <c r="P160" s="464">
        <f t="shared" si="8"/>
        <v>470581.19538822171</v>
      </c>
      <c r="Q160" s="241">
        <f>+Données!X160</f>
        <v>78</v>
      </c>
      <c r="R160" s="464">
        <f t="shared" si="6"/>
        <v>6033.0922485669453</v>
      </c>
    </row>
    <row r="161" spans="1:18" x14ac:dyDescent="0.25">
      <c r="A161" s="7">
        <f>Données!A161</f>
        <v>5673</v>
      </c>
      <c r="B161" s="27" t="str">
        <f>Données!B161</f>
        <v>Hermenches</v>
      </c>
      <c r="C161" s="8">
        <f>Données!C161+Données!D161</f>
        <v>735556.51</v>
      </c>
      <c r="D161" s="8">
        <f>+Données!G161+Données!H161+Données!S161</f>
        <v>2674.8293494477889</v>
      </c>
      <c r="E161" s="8">
        <f>+Données!E161</f>
        <v>0</v>
      </c>
      <c r="F161" s="8">
        <f>+Données!I161</f>
        <v>0</v>
      </c>
      <c r="G161" s="8">
        <f>+Données!J161</f>
        <v>10930.52</v>
      </c>
      <c r="H161" s="8">
        <f>Données!U161</f>
        <v>-17050.080000000002</v>
      </c>
      <c r="I161" s="216">
        <f>Données!V161</f>
        <v>0</v>
      </c>
      <c r="J161" s="216">
        <f>Données!W161</f>
        <v>-51.43</v>
      </c>
      <c r="K161" s="8">
        <f>+Données!Q161</f>
        <v>0</v>
      </c>
      <c r="L161" s="464">
        <f t="shared" si="7"/>
        <v>732060.34934944776</v>
      </c>
      <c r="M161" s="8">
        <f>+Données!F161</f>
        <v>2030</v>
      </c>
      <c r="N161" s="8">
        <f>+Données!K161</f>
        <v>408</v>
      </c>
      <c r="O161" s="8">
        <f>(Données!L161/Données!Y161)*1</f>
        <v>47395</v>
      </c>
      <c r="P161" s="464">
        <f t="shared" si="8"/>
        <v>781893.34934944776</v>
      </c>
      <c r="Q161" s="241">
        <f>+Données!X161</f>
        <v>73.5</v>
      </c>
      <c r="R161" s="464">
        <f t="shared" si="6"/>
        <v>10638.00475305371</v>
      </c>
    </row>
    <row r="162" spans="1:18" x14ac:dyDescent="0.25">
      <c r="A162" s="7">
        <f>Données!A162</f>
        <v>5674</v>
      </c>
      <c r="B162" s="27" t="str">
        <f>Données!B162</f>
        <v>Lovatens</v>
      </c>
      <c r="C162" s="8">
        <f>Données!C162+Données!D162</f>
        <v>250280.52000000002</v>
      </c>
      <c r="D162" s="8">
        <f>+Données!G162+Données!H162+Données!S162</f>
        <v>282.43369200811674</v>
      </c>
      <c r="E162" s="8">
        <f>+Données!E162</f>
        <v>0</v>
      </c>
      <c r="F162" s="8">
        <f>+Données!I162</f>
        <v>0</v>
      </c>
      <c r="G162" s="8">
        <f>+Données!J162</f>
        <v>96.23</v>
      </c>
      <c r="H162" s="8">
        <f>Données!U162</f>
        <v>-1000.44</v>
      </c>
      <c r="I162" s="216">
        <f>Données!V162</f>
        <v>-11419.4</v>
      </c>
      <c r="J162" s="216">
        <f>Données!W162</f>
        <v>-49.05</v>
      </c>
      <c r="K162" s="8">
        <f>+Données!Q162</f>
        <v>0</v>
      </c>
      <c r="L162" s="464">
        <f t="shared" si="7"/>
        <v>238190.29369200816</v>
      </c>
      <c r="M162" s="8">
        <f>+Données!F162</f>
        <v>0</v>
      </c>
      <c r="N162" s="8">
        <f>+Données!K162</f>
        <v>64.099999999999994</v>
      </c>
      <c r="O162" s="8">
        <f>(Données!L162/Données!Y162)*1</f>
        <v>19045.642857142859</v>
      </c>
      <c r="P162" s="464">
        <f t="shared" si="8"/>
        <v>257300.03654915103</v>
      </c>
      <c r="Q162" s="241">
        <f>+Données!X162</f>
        <v>75</v>
      </c>
      <c r="R162" s="464">
        <f t="shared" si="6"/>
        <v>3430.6671539886806</v>
      </c>
    </row>
    <row r="163" spans="1:18" x14ac:dyDescent="0.25">
      <c r="A163" s="7">
        <f>Données!A163</f>
        <v>5675</v>
      </c>
      <c r="B163" s="27" t="str">
        <f>Données!B163</f>
        <v>Lucens</v>
      </c>
      <c r="C163" s="8">
        <f>Données!C163+Données!D163</f>
        <v>5136056.5999999996</v>
      </c>
      <c r="D163" s="8">
        <f>+Données!G163+Données!H163+Données!S163</f>
        <v>686169.47021697462</v>
      </c>
      <c r="E163" s="8">
        <f>+Données!E163</f>
        <v>0</v>
      </c>
      <c r="F163" s="8">
        <f>+Données!I163</f>
        <v>0</v>
      </c>
      <c r="G163" s="8">
        <f>+Données!J163</f>
        <v>233881.34</v>
      </c>
      <c r="H163" s="8">
        <f>Données!U163</f>
        <v>-166505.23000000001</v>
      </c>
      <c r="I163" s="216">
        <f>Données!V163</f>
        <v>0</v>
      </c>
      <c r="J163" s="216">
        <f>Données!W163</f>
        <v>-2257.4899999999998</v>
      </c>
      <c r="K163" s="8">
        <f>+Données!Q163</f>
        <v>50050.27</v>
      </c>
      <c r="L163" s="464">
        <f t="shared" si="7"/>
        <v>5937394.960216973</v>
      </c>
      <c r="M163" s="8">
        <f>+Données!F163</f>
        <v>0</v>
      </c>
      <c r="N163" s="8">
        <f>+Données!K163</f>
        <v>-37589.300000000003</v>
      </c>
      <c r="O163" s="8">
        <f>(Données!L163/Données!Y163)*1</f>
        <v>644458.59090909082</v>
      </c>
      <c r="P163" s="464">
        <f t="shared" si="8"/>
        <v>6544264.251126064</v>
      </c>
      <c r="Q163" s="241">
        <f>+Données!X163</f>
        <v>67.5</v>
      </c>
      <c r="R163" s="464">
        <f t="shared" si="6"/>
        <v>96952.062979645387</v>
      </c>
    </row>
    <row r="164" spans="1:18" x14ac:dyDescent="0.25">
      <c r="A164" s="7">
        <f>Données!A164</f>
        <v>5678</v>
      </c>
      <c r="B164" s="27" t="str">
        <f>Données!B164</f>
        <v>Moudon</v>
      </c>
      <c r="C164" s="8">
        <f>Données!C164+Données!D164</f>
        <v>7577383.7999999998</v>
      </c>
      <c r="D164" s="8">
        <f>+Données!G164+Données!H164+Données!S164</f>
        <v>378088.94316993497</v>
      </c>
      <c r="E164" s="8">
        <f>+Données!E164</f>
        <v>0</v>
      </c>
      <c r="F164" s="8">
        <f>+Données!I164</f>
        <v>0</v>
      </c>
      <c r="G164" s="8">
        <f>+Données!J164</f>
        <v>471175.92</v>
      </c>
      <c r="H164" s="8">
        <f>Données!U164</f>
        <v>-347595.64</v>
      </c>
      <c r="I164" s="216">
        <f>Données!V164</f>
        <v>0</v>
      </c>
      <c r="J164" s="216">
        <f>Données!W164</f>
        <v>-3702.04</v>
      </c>
      <c r="K164" s="8">
        <f>+Données!Q164</f>
        <v>58437.71</v>
      </c>
      <c r="L164" s="464">
        <f t="shared" si="7"/>
        <v>8133788.6931699356</v>
      </c>
      <c r="M164" s="8">
        <f>+Données!F164</f>
        <v>34545.9</v>
      </c>
      <c r="N164" s="8">
        <f>+Données!K164</f>
        <v>68232.7</v>
      </c>
      <c r="O164" s="8">
        <f>(Données!L164/Données!Y164)*1</f>
        <v>815906.65</v>
      </c>
      <c r="P164" s="464">
        <f t="shared" si="8"/>
        <v>9052473.9431699365</v>
      </c>
      <c r="Q164" s="241">
        <f>+Données!X164</f>
        <v>72.5</v>
      </c>
      <c r="R164" s="464">
        <f t="shared" si="6"/>
        <v>124861.70956096463</v>
      </c>
    </row>
    <row r="165" spans="1:18" x14ac:dyDescent="0.25">
      <c r="A165" s="7">
        <f>Données!A165</f>
        <v>5680</v>
      </c>
      <c r="B165" s="27" t="str">
        <f>Données!B165</f>
        <v>Ogens</v>
      </c>
      <c r="C165" s="8">
        <f>Données!C165+Données!D165</f>
        <v>626655.42999999993</v>
      </c>
      <c r="D165" s="8">
        <f>+Données!G165+Données!H165+Données!S165</f>
        <v>3532.013408473978</v>
      </c>
      <c r="E165" s="8">
        <f>+Données!E165</f>
        <v>0</v>
      </c>
      <c r="F165" s="8">
        <f>+Données!I165</f>
        <v>0</v>
      </c>
      <c r="G165" s="8">
        <f>+Données!J165</f>
        <v>9518.5499999999993</v>
      </c>
      <c r="H165" s="8">
        <f>Données!U165</f>
        <v>-41881.83</v>
      </c>
      <c r="I165" s="216">
        <f>Données!V165</f>
        <v>0</v>
      </c>
      <c r="J165" s="216">
        <f>Données!W165</f>
        <v>-40.29</v>
      </c>
      <c r="K165" s="8">
        <f>+Données!Q165</f>
        <v>27156.61</v>
      </c>
      <c r="L165" s="464">
        <f t="shared" si="7"/>
        <v>624940.4834084739</v>
      </c>
      <c r="M165" s="8">
        <f>+Données!F165</f>
        <v>0</v>
      </c>
      <c r="N165" s="8">
        <f>+Données!K165</f>
        <v>625</v>
      </c>
      <c r="O165" s="8">
        <f>(Données!L165/Données!Y165)*1</f>
        <v>51019.366666666669</v>
      </c>
      <c r="P165" s="464">
        <f t="shared" si="8"/>
        <v>676584.8500751406</v>
      </c>
      <c r="Q165" s="241">
        <f>+Données!X165</f>
        <v>78</v>
      </c>
      <c r="R165" s="464">
        <f t="shared" si="6"/>
        <v>8674.1647445530853</v>
      </c>
    </row>
    <row r="166" spans="1:18" x14ac:dyDescent="0.25">
      <c r="A166" s="7">
        <f>Données!A166</f>
        <v>5683</v>
      </c>
      <c r="B166" s="27" t="str">
        <f>Données!B166</f>
        <v>Prévonloup</v>
      </c>
      <c r="C166" s="8">
        <f>Données!C166+Données!D166</f>
        <v>340116.06</v>
      </c>
      <c r="D166" s="8">
        <f>+Données!G166+Données!H166+Données!S166</f>
        <v>-2795.15</v>
      </c>
      <c r="E166" s="8">
        <f>+Données!E166</f>
        <v>0</v>
      </c>
      <c r="F166" s="8">
        <f>+Données!I166</f>
        <v>0</v>
      </c>
      <c r="G166" s="8">
        <f>+Données!J166</f>
        <v>-1870.79</v>
      </c>
      <c r="H166" s="8">
        <f>Données!U166</f>
        <v>-2962.05</v>
      </c>
      <c r="I166" s="216">
        <f>Données!V166</f>
        <v>0</v>
      </c>
      <c r="J166" s="216">
        <f>Données!W166</f>
        <v>0</v>
      </c>
      <c r="K166" s="8">
        <f>+Données!Q166</f>
        <v>0</v>
      </c>
      <c r="L166" s="464">
        <f t="shared" si="7"/>
        <v>332488.07</v>
      </c>
      <c r="M166" s="8">
        <f>+Données!F166</f>
        <v>0</v>
      </c>
      <c r="N166" s="8">
        <f>+Données!K166</f>
        <v>2220.5</v>
      </c>
      <c r="O166" s="8">
        <f>(Données!L166/Données!Y166)*1</f>
        <v>28563.75</v>
      </c>
      <c r="P166" s="464">
        <f t="shared" si="8"/>
        <v>363272.32</v>
      </c>
      <c r="Q166" s="241">
        <f>+Données!X166</f>
        <v>72.5</v>
      </c>
      <c r="R166" s="464">
        <f t="shared" si="6"/>
        <v>5010.6526896551723</v>
      </c>
    </row>
    <row r="167" spans="1:18" x14ac:dyDescent="0.25">
      <c r="A167" s="7">
        <f>Données!A167</f>
        <v>5684</v>
      </c>
      <c r="B167" s="27" t="str">
        <f>Données!B167</f>
        <v>Rossenges</v>
      </c>
      <c r="C167" s="8">
        <f>Données!C167+Données!D167</f>
        <v>319522.90000000002</v>
      </c>
      <c r="D167" s="8">
        <f>+Données!G167+Données!H167+Données!S167</f>
        <v>-29.300000000000011</v>
      </c>
      <c r="E167" s="8">
        <f>+Données!E167</f>
        <v>0</v>
      </c>
      <c r="F167" s="8">
        <f>+Données!I167</f>
        <v>0</v>
      </c>
      <c r="G167" s="8">
        <f>+Données!J167</f>
        <v>121.38</v>
      </c>
      <c r="H167" s="8">
        <f>Données!U167</f>
        <v>-2517.2399999999998</v>
      </c>
      <c r="I167" s="216">
        <f>Données!V167</f>
        <v>0</v>
      </c>
      <c r="J167" s="216">
        <f>Données!W167</f>
        <v>-22.35</v>
      </c>
      <c r="K167" s="8">
        <f>+Données!Q167</f>
        <v>0</v>
      </c>
      <c r="L167" s="464">
        <f t="shared" si="7"/>
        <v>317075.39000000007</v>
      </c>
      <c r="M167" s="8">
        <f>+Données!F167</f>
        <v>0</v>
      </c>
      <c r="N167" s="8">
        <f>+Données!K167</f>
        <v>0</v>
      </c>
      <c r="O167" s="8">
        <f>(Données!L167/Données!Y167)*1</f>
        <v>8077.3749999999991</v>
      </c>
      <c r="P167" s="464">
        <f t="shared" si="8"/>
        <v>325152.76500000007</v>
      </c>
      <c r="Q167" s="241">
        <f>+Données!X167</f>
        <v>75</v>
      </c>
      <c r="R167" s="464">
        <f t="shared" si="6"/>
        <v>4335.3702000000012</v>
      </c>
    </row>
    <row r="168" spans="1:18" x14ac:dyDescent="0.25">
      <c r="A168" s="7">
        <f>Données!A168</f>
        <v>5688</v>
      </c>
      <c r="B168" s="27" t="str">
        <f>Données!B168</f>
        <v>Syens</v>
      </c>
      <c r="C168" s="8">
        <f>Données!C168+Données!D168</f>
        <v>347836.32999999996</v>
      </c>
      <c r="D168" s="8">
        <f>+Données!G168+Données!H168+Données!S168</f>
        <v>11895.048530091461</v>
      </c>
      <c r="E168" s="8">
        <f>+Données!E168</f>
        <v>0</v>
      </c>
      <c r="F168" s="8">
        <f>+Données!I168</f>
        <v>0</v>
      </c>
      <c r="G168" s="8">
        <f>+Données!J168</f>
        <v>1283.3900000000001</v>
      </c>
      <c r="H168" s="8">
        <f>Données!U168</f>
        <v>-7.04</v>
      </c>
      <c r="I168" s="216">
        <f>Données!V168</f>
        <v>0</v>
      </c>
      <c r="J168" s="216">
        <f>Données!W168</f>
        <v>0</v>
      </c>
      <c r="K168" s="8">
        <f>+Données!Q168</f>
        <v>0</v>
      </c>
      <c r="L168" s="464">
        <f t="shared" si="7"/>
        <v>361007.72853009147</v>
      </c>
      <c r="M168" s="8">
        <f>+Données!F168</f>
        <v>0</v>
      </c>
      <c r="N168" s="8">
        <f>+Données!K168</f>
        <v>157.5</v>
      </c>
      <c r="O168" s="8">
        <f>(Données!L168/Données!Y168)*1</f>
        <v>23710.400000000001</v>
      </c>
      <c r="P168" s="464">
        <f t="shared" si="8"/>
        <v>384875.62853009149</v>
      </c>
      <c r="Q168" s="241">
        <f>+Données!X168</f>
        <v>75.599999999999994</v>
      </c>
      <c r="R168" s="464">
        <f t="shared" si="6"/>
        <v>5090.9474673292525</v>
      </c>
    </row>
    <row r="169" spans="1:18" x14ac:dyDescent="0.25">
      <c r="A169" s="7">
        <f>Données!A169</f>
        <v>5690</v>
      </c>
      <c r="B169" s="27" t="str">
        <f>Données!B169</f>
        <v>Villars-le-Comte</v>
      </c>
      <c r="C169" s="8">
        <f>Données!C169+Données!D169</f>
        <v>223949.19</v>
      </c>
      <c r="D169" s="8">
        <f>+Données!G169+Données!H169+Données!S169</f>
        <v>434.02767016410633</v>
      </c>
      <c r="E169" s="8">
        <f>+Données!E169</f>
        <v>0</v>
      </c>
      <c r="F169" s="8">
        <f>+Données!I169</f>
        <v>0</v>
      </c>
      <c r="G169" s="8">
        <f>+Données!J169</f>
        <v>0</v>
      </c>
      <c r="H169" s="8">
        <f>Données!U169</f>
        <v>-2176.4299999999998</v>
      </c>
      <c r="I169" s="216">
        <f>Données!V169</f>
        <v>0</v>
      </c>
      <c r="J169" s="216">
        <f>Données!W169</f>
        <v>0</v>
      </c>
      <c r="K169" s="8">
        <f>+Données!Q169</f>
        <v>0</v>
      </c>
      <c r="L169" s="464">
        <f t="shared" si="7"/>
        <v>222206.78767016411</v>
      </c>
      <c r="M169" s="8">
        <f>+Données!F169</f>
        <v>750</v>
      </c>
      <c r="N169" s="8">
        <f>+Données!K169</f>
        <v>184.1</v>
      </c>
      <c r="O169" s="8">
        <f>(Données!L169/Données!Y169)*1</f>
        <v>20715</v>
      </c>
      <c r="P169" s="464">
        <f t="shared" si="8"/>
        <v>243855.88767016411</v>
      </c>
      <c r="Q169" s="241">
        <f>+Données!X169</f>
        <v>70</v>
      </c>
      <c r="R169" s="464">
        <f t="shared" si="6"/>
        <v>3483.6555381452017</v>
      </c>
    </row>
    <row r="170" spans="1:18" x14ac:dyDescent="0.25">
      <c r="A170" s="7">
        <f>Données!A170</f>
        <v>5692</v>
      </c>
      <c r="B170" s="27" t="str">
        <f>Données!B170</f>
        <v>Vucherens</v>
      </c>
      <c r="C170" s="8">
        <f>Données!C170+Données!D170</f>
        <v>1253380.94</v>
      </c>
      <c r="D170" s="8">
        <f>+Données!G170+Données!H170+Données!S170</f>
        <v>14678.425976176115</v>
      </c>
      <c r="E170" s="8">
        <f>+Données!E170</f>
        <v>0</v>
      </c>
      <c r="F170" s="8">
        <f>+Données!I170</f>
        <v>0</v>
      </c>
      <c r="G170" s="8">
        <f>+Données!J170</f>
        <v>24468.36</v>
      </c>
      <c r="H170" s="8">
        <f>Données!U170</f>
        <v>-1412.65</v>
      </c>
      <c r="I170" s="216">
        <f>Données!V170</f>
        <v>0</v>
      </c>
      <c r="J170" s="216">
        <f>Données!W170</f>
        <v>-0.46</v>
      </c>
      <c r="K170" s="8">
        <f>+Données!Q170</f>
        <v>11.77</v>
      </c>
      <c r="L170" s="464">
        <f t="shared" si="7"/>
        <v>1291126.3859761762</v>
      </c>
      <c r="M170" s="8">
        <f>+Données!F170</f>
        <v>0</v>
      </c>
      <c r="N170" s="8">
        <f>+Données!K170</f>
        <v>3158.45</v>
      </c>
      <c r="O170" s="8">
        <f>(Données!L170/Données!Y170)*1</f>
        <v>97934.1</v>
      </c>
      <c r="P170" s="464">
        <f t="shared" si="8"/>
        <v>1392218.9359761763</v>
      </c>
      <c r="Q170" s="241">
        <f>+Données!X170</f>
        <v>77</v>
      </c>
      <c r="R170" s="464">
        <f t="shared" si="6"/>
        <v>18080.765402288005</v>
      </c>
    </row>
    <row r="171" spans="1:18" x14ac:dyDescent="0.25">
      <c r="A171" s="7">
        <f>Données!A171</f>
        <v>5693</v>
      </c>
      <c r="B171" s="27" t="str">
        <f>Données!B171</f>
        <v>Montanaire</v>
      </c>
      <c r="C171" s="8">
        <f>Données!C171+Données!D171</f>
        <v>4687124.3299999991</v>
      </c>
      <c r="D171" s="8">
        <f>+Données!G171+Données!H171+Données!S171</f>
        <v>40770.050155642908</v>
      </c>
      <c r="E171" s="8">
        <f>+Données!E171</f>
        <v>0</v>
      </c>
      <c r="F171" s="8">
        <f>+Données!I171</f>
        <v>0</v>
      </c>
      <c r="G171" s="8">
        <f>+Données!J171</f>
        <v>72440.38</v>
      </c>
      <c r="H171" s="8">
        <f>Données!U171</f>
        <v>-125251.55</v>
      </c>
      <c r="I171" s="216">
        <f>Données!V171</f>
        <v>0</v>
      </c>
      <c r="J171" s="216">
        <f>Données!W171</f>
        <v>-290.72000000000003</v>
      </c>
      <c r="K171" s="8">
        <f>+Données!Q171</f>
        <v>11807.36</v>
      </c>
      <c r="L171" s="464">
        <f t="shared" si="7"/>
        <v>4686599.8501556423</v>
      </c>
      <c r="M171" s="8">
        <f>+Données!F171</f>
        <v>0</v>
      </c>
      <c r="N171" s="8">
        <f>+Données!K171</f>
        <v>9495.6</v>
      </c>
      <c r="O171" s="8">
        <f>(Données!L171/Données!Y171)*1</f>
        <v>423772.3</v>
      </c>
      <c r="P171" s="464">
        <f t="shared" si="8"/>
        <v>5119867.7501556417</v>
      </c>
      <c r="Q171" s="241">
        <f>+Données!X171</f>
        <v>72</v>
      </c>
      <c r="R171" s="464">
        <f t="shared" si="6"/>
        <v>71109.274307717249</v>
      </c>
    </row>
    <row r="172" spans="1:18" x14ac:dyDescent="0.25">
      <c r="A172" s="7">
        <f>Données!A172</f>
        <v>5701</v>
      </c>
      <c r="B172" s="27" t="str">
        <f>Données!B172</f>
        <v>Arnex-sur-Nyon</v>
      </c>
      <c r="C172" s="8">
        <f>Données!C172+Données!D172</f>
        <v>760418.95000000007</v>
      </c>
      <c r="D172" s="8">
        <f>+Données!G172+Données!H172+Données!S172</f>
        <v>5981.8401782465598</v>
      </c>
      <c r="E172" s="8">
        <f>+Données!E172</f>
        <v>0</v>
      </c>
      <c r="F172" s="8">
        <f>+Données!I172</f>
        <v>65044.25</v>
      </c>
      <c r="G172" s="8">
        <f>+Données!J172</f>
        <v>-11789.17</v>
      </c>
      <c r="H172" s="8">
        <f>Données!U172</f>
        <v>-11178.47</v>
      </c>
      <c r="I172" s="216">
        <f>Données!V172</f>
        <v>0</v>
      </c>
      <c r="J172" s="216">
        <f>Données!W172</f>
        <v>-204.29</v>
      </c>
      <c r="K172" s="8">
        <f>+Données!Q172</f>
        <v>0</v>
      </c>
      <c r="L172" s="464">
        <f t="shared" si="7"/>
        <v>808273.11017824663</v>
      </c>
      <c r="M172" s="8">
        <f>+Données!F172</f>
        <v>0</v>
      </c>
      <c r="N172" s="8">
        <f>+Données!K172</f>
        <v>510.25</v>
      </c>
      <c r="O172" s="8">
        <f>(Données!L172/Données!Y172)*1</f>
        <v>71655.100000000006</v>
      </c>
      <c r="P172" s="464">
        <f t="shared" si="8"/>
        <v>880438.46017824661</v>
      </c>
      <c r="Q172" s="241">
        <f>+Données!X172</f>
        <v>70</v>
      </c>
      <c r="R172" s="464">
        <f t="shared" si="6"/>
        <v>12577.692288260665</v>
      </c>
    </row>
    <row r="173" spans="1:18" x14ac:dyDescent="0.25">
      <c r="A173" s="7">
        <f>Données!A173</f>
        <v>5702</v>
      </c>
      <c r="B173" s="27" t="str">
        <f>Données!B173</f>
        <v>Arzier-Le Muids</v>
      </c>
      <c r="C173" s="8">
        <f>Données!C173+Données!D173</f>
        <v>9333219.2400000002</v>
      </c>
      <c r="D173" s="8">
        <f>+Données!G173+Données!H173+Données!S173</f>
        <v>105540.43038210231</v>
      </c>
      <c r="E173" s="8">
        <f>+Données!E173</f>
        <v>0</v>
      </c>
      <c r="F173" s="8">
        <f>+Données!I173</f>
        <v>377543.7</v>
      </c>
      <c r="G173" s="8">
        <f>+Données!J173</f>
        <v>143021.01999999999</v>
      </c>
      <c r="H173" s="8">
        <f>Données!U173</f>
        <v>-36504.25</v>
      </c>
      <c r="I173" s="216">
        <f>Données!V173</f>
        <v>0</v>
      </c>
      <c r="J173" s="216">
        <f>Données!W173</f>
        <v>-34129.629999999997</v>
      </c>
      <c r="K173" s="8">
        <f>+Données!Q173</f>
        <v>10125.129999999999</v>
      </c>
      <c r="L173" s="464">
        <f t="shared" si="7"/>
        <v>9898815.6403821018</v>
      </c>
      <c r="M173" s="8">
        <f>+Données!F173</f>
        <v>0</v>
      </c>
      <c r="N173" s="8">
        <f>+Données!K173</f>
        <v>15460.15</v>
      </c>
      <c r="O173" s="8">
        <f>(Données!L173/Données!Y173)*1</f>
        <v>819696.8666666667</v>
      </c>
      <c r="P173" s="464">
        <f t="shared" si="8"/>
        <v>10733972.657048769</v>
      </c>
      <c r="Q173" s="241">
        <f>+Données!X173</f>
        <v>64</v>
      </c>
      <c r="R173" s="464">
        <f t="shared" si="6"/>
        <v>167718.32276638702</v>
      </c>
    </row>
    <row r="174" spans="1:18" x14ac:dyDescent="0.25">
      <c r="A174" s="7">
        <f>Données!A174</f>
        <v>5703</v>
      </c>
      <c r="B174" s="27" t="str">
        <f>Données!B174</f>
        <v>Bassins</v>
      </c>
      <c r="C174" s="8">
        <f>Données!C174+Données!D174</f>
        <v>4467370.2299999995</v>
      </c>
      <c r="D174" s="8">
        <f>+Données!G174+Données!H174+Données!S174</f>
        <v>63369.796818715404</v>
      </c>
      <c r="E174" s="8">
        <f>+Données!E174</f>
        <v>0</v>
      </c>
      <c r="F174" s="8">
        <f>+Données!I174</f>
        <v>1654.45</v>
      </c>
      <c r="G174" s="8">
        <f>+Données!J174</f>
        <v>75222.679999999993</v>
      </c>
      <c r="H174" s="8">
        <f>Données!U174</f>
        <v>-101171.26</v>
      </c>
      <c r="I174" s="216">
        <f>Données!V174</f>
        <v>0</v>
      </c>
      <c r="J174" s="216">
        <f>Données!W174</f>
        <v>-2461.21</v>
      </c>
      <c r="K174" s="8">
        <f>+Données!Q174</f>
        <v>17195.88</v>
      </c>
      <c r="L174" s="464">
        <f t="shared" si="7"/>
        <v>4521180.5668187151</v>
      </c>
      <c r="M174" s="8">
        <f>+Données!F174</f>
        <v>0</v>
      </c>
      <c r="N174" s="8">
        <f>+Données!K174</f>
        <v>1865</v>
      </c>
      <c r="O174" s="8">
        <f>(Données!L174/Données!Y174)*1</f>
        <v>326260.60714285716</v>
      </c>
      <c r="P174" s="464">
        <f t="shared" si="8"/>
        <v>4849306.1739615723</v>
      </c>
      <c r="Q174" s="241">
        <f>+Données!X174</f>
        <v>72.5</v>
      </c>
      <c r="R174" s="464">
        <f t="shared" si="6"/>
        <v>66886.981709814791</v>
      </c>
    </row>
    <row r="175" spans="1:18" x14ac:dyDescent="0.25">
      <c r="A175" s="7">
        <f>Données!A175</f>
        <v>5704</v>
      </c>
      <c r="B175" s="27" t="str">
        <f>Données!B175</f>
        <v>Begnins</v>
      </c>
      <c r="C175" s="8">
        <f>Données!C175+Données!D175</f>
        <v>7853403.9199999999</v>
      </c>
      <c r="D175" s="8">
        <f>+Données!G175+Données!H175+Données!S175</f>
        <v>27557.27055863955</v>
      </c>
      <c r="E175" s="8">
        <f>+Données!E175</f>
        <v>0</v>
      </c>
      <c r="F175" s="8">
        <f>+Données!I175</f>
        <v>381207.8</v>
      </c>
      <c r="G175" s="8">
        <f>+Données!J175</f>
        <v>90862.86</v>
      </c>
      <c r="H175" s="8">
        <f>Données!U175</f>
        <v>-48920.72</v>
      </c>
      <c r="I175" s="216">
        <f>Données!V175</f>
        <v>0</v>
      </c>
      <c r="J175" s="216">
        <f>Données!W175</f>
        <v>-83814.63</v>
      </c>
      <c r="K175" s="8">
        <f>+Données!Q175</f>
        <v>73562.570000000007</v>
      </c>
      <c r="L175" s="464">
        <f t="shared" si="7"/>
        <v>8293859.0705586402</v>
      </c>
      <c r="M175" s="8">
        <f>+Données!F175</f>
        <v>0</v>
      </c>
      <c r="N175" s="8">
        <f>+Données!K175</f>
        <v>18287.150000000001</v>
      </c>
      <c r="O175" s="8">
        <f>(Données!L175/Données!Y175)*1</f>
        <v>533480.43333333335</v>
      </c>
      <c r="P175" s="464">
        <f t="shared" si="8"/>
        <v>8845626.6538919732</v>
      </c>
      <c r="Q175" s="241">
        <f>+Données!X175</f>
        <v>62.5</v>
      </c>
      <c r="R175" s="464">
        <f t="shared" si="6"/>
        <v>141530.02646227158</v>
      </c>
    </row>
    <row r="176" spans="1:18" x14ac:dyDescent="0.25">
      <c r="A176" s="7">
        <f>Données!A176</f>
        <v>5705</v>
      </c>
      <c r="B176" s="27" t="str">
        <f>Données!B176</f>
        <v>Bogis-Bossey</v>
      </c>
      <c r="C176" s="8">
        <f>Données!C176+Données!D176</f>
        <v>3992475.18</v>
      </c>
      <c r="D176" s="8">
        <f>+Données!G176+Données!H176+Données!S176</f>
        <v>20883.347042958634</v>
      </c>
      <c r="E176" s="8">
        <f>+Données!E176</f>
        <v>0</v>
      </c>
      <c r="F176" s="8">
        <f>+Données!I176</f>
        <v>38823.85</v>
      </c>
      <c r="G176" s="8">
        <f>+Données!J176</f>
        <v>10099.85</v>
      </c>
      <c r="H176" s="8">
        <f>Données!U176</f>
        <v>-497.79</v>
      </c>
      <c r="I176" s="216">
        <f>Données!V176</f>
        <v>0</v>
      </c>
      <c r="J176" s="216">
        <f>Données!W176</f>
        <v>-116438.39</v>
      </c>
      <c r="K176" s="8">
        <f>+Données!Q176</f>
        <v>143.03</v>
      </c>
      <c r="L176" s="464">
        <f t="shared" si="7"/>
        <v>3945489.0770429587</v>
      </c>
      <c r="M176" s="8">
        <f>+Données!F176</f>
        <v>0</v>
      </c>
      <c r="N176" s="8">
        <f>+Données!K176</f>
        <v>9634.25</v>
      </c>
      <c r="O176" s="8">
        <f>(Données!L176/Données!Y176)*1</f>
        <v>227558</v>
      </c>
      <c r="P176" s="464">
        <f t="shared" si="8"/>
        <v>4182681.3270429587</v>
      </c>
      <c r="Q176" s="241">
        <f>+Données!X176</f>
        <v>74.5</v>
      </c>
      <c r="R176" s="464">
        <f t="shared" si="6"/>
        <v>56143.373517355147</v>
      </c>
    </row>
    <row r="177" spans="1:18" x14ac:dyDescent="0.25">
      <c r="A177" s="7">
        <f>Données!A177</f>
        <v>5706</v>
      </c>
      <c r="B177" s="27" t="str">
        <f>Données!B177</f>
        <v>Borex</v>
      </c>
      <c r="C177" s="8">
        <f>Données!C177+Données!D177</f>
        <v>4546720.55</v>
      </c>
      <c r="D177" s="8">
        <f>+Données!G177+Données!H177+Données!S177</f>
        <v>-1818.5</v>
      </c>
      <c r="E177" s="8">
        <f>+Données!E177</f>
        <v>0</v>
      </c>
      <c r="F177" s="8">
        <f>+Données!I177</f>
        <v>4063.55</v>
      </c>
      <c r="G177" s="8">
        <f>+Données!J177</f>
        <v>-26932.26</v>
      </c>
      <c r="H177" s="8">
        <f>Données!U177</f>
        <v>-29073.74</v>
      </c>
      <c r="I177" s="216">
        <f>Données!V177</f>
        <v>0</v>
      </c>
      <c r="J177" s="216">
        <f>Données!W177</f>
        <v>-11373.69</v>
      </c>
      <c r="K177" s="8">
        <f>+Données!Q177</f>
        <v>0</v>
      </c>
      <c r="L177" s="464">
        <f t="shared" si="7"/>
        <v>4481585.9099999992</v>
      </c>
      <c r="M177" s="8">
        <f>+Données!F177</f>
        <v>0</v>
      </c>
      <c r="N177" s="8">
        <f>+Données!K177</f>
        <v>10352.700000000001</v>
      </c>
      <c r="O177" s="8">
        <f>(Données!L177/Données!Y177)*1</f>
        <v>299568.8</v>
      </c>
      <c r="P177" s="464">
        <f t="shared" si="8"/>
        <v>4791507.4099999992</v>
      </c>
      <c r="Q177" s="241">
        <f>+Données!X177</f>
        <v>57</v>
      </c>
      <c r="R177" s="464">
        <f t="shared" si="6"/>
        <v>84061.533508771914</v>
      </c>
    </row>
    <row r="178" spans="1:18" x14ac:dyDescent="0.25">
      <c r="A178" s="7">
        <f>Données!A178</f>
        <v>5707</v>
      </c>
      <c r="B178" s="27" t="str">
        <f>Données!B178</f>
        <v>Chavannes-de-Bogis</v>
      </c>
      <c r="C178" s="8">
        <f>Données!C178+Données!D178</f>
        <v>3838137.19</v>
      </c>
      <c r="D178" s="8">
        <f>+Données!G178+Données!H178+Données!S178</f>
        <v>276108.19854871184</v>
      </c>
      <c r="E178" s="8">
        <f>+Données!E178</f>
        <v>0</v>
      </c>
      <c r="F178" s="8">
        <f>+Données!I178</f>
        <v>14123.7</v>
      </c>
      <c r="G178" s="8">
        <f>+Données!J178</f>
        <v>108890.43</v>
      </c>
      <c r="H178" s="8">
        <f>Données!U178</f>
        <v>-25658.06</v>
      </c>
      <c r="I178" s="216">
        <f>Données!V178</f>
        <v>0</v>
      </c>
      <c r="J178" s="216">
        <f>Données!W178</f>
        <v>-7228.29</v>
      </c>
      <c r="K178" s="8">
        <f>+Données!Q178</f>
        <v>0</v>
      </c>
      <c r="L178" s="464">
        <f t="shared" si="7"/>
        <v>4204373.1685487125</v>
      </c>
      <c r="M178" s="8">
        <f>+Données!F178</f>
        <v>0</v>
      </c>
      <c r="N178" s="8">
        <f>+Données!K178</f>
        <v>62295.199999999997</v>
      </c>
      <c r="O178" s="8">
        <f>(Données!L178/Données!Y178)*1</f>
        <v>474289.3666666667</v>
      </c>
      <c r="P178" s="464">
        <f t="shared" si="8"/>
        <v>4740957.7352153789</v>
      </c>
      <c r="Q178" s="241">
        <f>+Données!X178</f>
        <v>58</v>
      </c>
      <c r="R178" s="464">
        <f t="shared" si="6"/>
        <v>81740.650607161704</v>
      </c>
    </row>
    <row r="179" spans="1:18" x14ac:dyDescent="0.25">
      <c r="A179" s="7">
        <f>Données!A179</f>
        <v>5708</v>
      </c>
      <c r="B179" s="27" t="str">
        <f>Données!B179</f>
        <v>Chavannes-des-Bois</v>
      </c>
      <c r="C179" s="8">
        <f>Données!C179+Données!D179</f>
        <v>4267644.82</v>
      </c>
      <c r="D179" s="8">
        <f>+Données!G179+Données!H179+Données!S179</f>
        <v>33924.601979418956</v>
      </c>
      <c r="E179" s="8">
        <f>+Données!E179</f>
        <v>0</v>
      </c>
      <c r="F179" s="8">
        <f>+Données!I179</f>
        <v>0</v>
      </c>
      <c r="G179" s="8">
        <f>+Données!J179</f>
        <v>-17158.88</v>
      </c>
      <c r="H179" s="8">
        <f>Données!U179</f>
        <v>-12006.52</v>
      </c>
      <c r="I179" s="216">
        <f>Données!V179</f>
        <v>0</v>
      </c>
      <c r="J179" s="216">
        <f>Données!W179</f>
        <v>-1350.03</v>
      </c>
      <c r="K179" s="8">
        <f>+Données!Q179</f>
        <v>11199.88</v>
      </c>
      <c r="L179" s="464">
        <f t="shared" si="7"/>
        <v>4282253.8719794191</v>
      </c>
      <c r="M179" s="8">
        <f>+Données!F179</f>
        <v>0</v>
      </c>
      <c r="N179" s="8">
        <f>+Données!K179</f>
        <v>2539.65</v>
      </c>
      <c r="O179" s="8">
        <f>(Données!L179/Données!Y179)*1</f>
        <v>287947.5</v>
      </c>
      <c r="P179" s="464">
        <f t="shared" si="8"/>
        <v>4572741.0219794195</v>
      </c>
      <c r="Q179" s="241">
        <f>+Données!X179</f>
        <v>68</v>
      </c>
      <c r="R179" s="464">
        <f t="shared" si="6"/>
        <v>67246.19149969735</v>
      </c>
    </row>
    <row r="180" spans="1:18" x14ac:dyDescent="0.25">
      <c r="A180" s="7">
        <f>Données!A180</f>
        <v>5709</v>
      </c>
      <c r="B180" s="27" t="str">
        <f>Données!B180</f>
        <v>Chéserex</v>
      </c>
      <c r="C180" s="8">
        <f>Données!C180+Données!D180</f>
        <v>4610507.83</v>
      </c>
      <c r="D180" s="8">
        <f>+Données!G180+Données!H180+Données!S180</f>
        <v>12964.606912734949</v>
      </c>
      <c r="E180" s="8">
        <f>+Données!E180</f>
        <v>0</v>
      </c>
      <c r="F180" s="8">
        <f>+Données!I180</f>
        <v>503480.6</v>
      </c>
      <c r="G180" s="8">
        <f>+Données!J180</f>
        <v>65878.34</v>
      </c>
      <c r="H180" s="8">
        <f>Données!U180</f>
        <v>-48890.62</v>
      </c>
      <c r="I180" s="216">
        <f>Données!V180</f>
        <v>0</v>
      </c>
      <c r="J180" s="216">
        <f>Données!W180</f>
        <v>-9724.3799999999992</v>
      </c>
      <c r="K180" s="8">
        <f>+Données!Q180</f>
        <v>45204.33</v>
      </c>
      <c r="L180" s="464">
        <f t="shared" si="7"/>
        <v>5179420.7069127345</v>
      </c>
      <c r="M180" s="8">
        <f>+Données!F180</f>
        <v>0</v>
      </c>
      <c r="N180" s="8">
        <f>+Données!K180</f>
        <v>6088.85</v>
      </c>
      <c r="O180" s="8">
        <f>(Données!L180/Données!Y180)*1</f>
        <v>364212.4</v>
      </c>
      <c r="P180" s="464">
        <f t="shared" si="8"/>
        <v>5549721.9569127345</v>
      </c>
      <c r="Q180" s="241">
        <f>+Données!X180</f>
        <v>57</v>
      </c>
      <c r="R180" s="464">
        <f t="shared" si="6"/>
        <v>97363.543103732183</v>
      </c>
    </row>
    <row r="181" spans="1:18" x14ac:dyDescent="0.25">
      <c r="A181" s="7">
        <f>Données!A181</f>
        <v>5710</v>
      </c>
      <c r="B181" s="27" t="str">
        <f>Données!B181</f>
        <v>Coinsins</v>
      </c>
      <c r="C181" s="8">
        <f>Données!C181+Données!D181</f>
        <v>1782696.55</v>
      </c>
      <c r="D181" s="8">
        <f>+Données!G181+Données!H181+Données!S181</f>
        <v>49079.552452667194</v>
      </c>
      <c r="E181" s="8">
        <f>+Données!E181</f>
        <v>0</v>
      </c>
      <c r="F181" s="8">
        <f>+Données!I181</f>
        <v>110957.8</v>
      </c>
      <c r="G181" s="8">
        <f>+Données!J181</f>
        <v>30135.7</v>
      </c>
      <c r="H181" s="8">
        <f>Données!U181</f>
        <v>-3790.71</v>
      </c>
      <c r="I181" s="216">
        <f>Données!V181</f>
        <v>0</v>
      </c>
      <c r="J181" s="216">
        <f>Données!W181</f>
        <v>-13971.31</v>
      </c>
      <c r="K181" s="8">
        <f>+Données!Q181</f>
        <v>-320.83</v>
      </c>
      <c r="L181" s="464">
        <f t="shared" si="7"/>
        <v>1954786.7524526671</v>
      </c>
      <c r="M181" s="8">
        <f>+Données!F181</f>
        <v>0</v>
      </c>
      <c r="N181" s="8">
        <f>+Données!K181</f>
        <v>5015.25</v>
      </c>
      <c r="O181" s="8">
        <f>(Données!L181/Données!Y181)*1</f>
        <v>135779.20000000001</v>
      </c>
      <c r="P181" s="464">
        <f t="shared" si="8"/>
        <v>2095581.2024526671</v>
      </c>
      <c r="Q181" s="241">
        <f>+Données!X181</f>
        <v>51</v>
      </c>
      <c r="R181" s="464">
        <f t="shared" si="6"/>
        <v>41089.8274990719</v>
      </c>
    </row>
    <row r="182" spans="1:18" x14ac:dyDescent="0.25">
      <c r="A182" s="7">
        <f>Données!A182</f>
        <v>5711</v>
      </c>
      <c r="B182" s="27" t="str">
        <f>Données!B182</f>
        <v>Commugny</v>
      </c>
      <c r="C182" s="8">
        <f>Données!C182+Données!D182</f>
        <v>12874227.779999999</v>
      </c>
      <c r="D182" s="8">
        <f>+Données!G182+Données!H182+Données!S182</f>
        <v>59695.303738631585</v>
      </c>
      <c r="E182" s="8">
        <f>+Données!E182</f>
        <v>0</v>
      </c>
      <c r="F182" s="8">
        <f>+Données!I182</f>
        <v>181988.1</v>
      </c>
      <c r="G182" s="8">
        <f>+Données!J182</f>
        <v>184128.86</v>
      </c>
      <c r="H182" s="8">
        <f>Données!U182</f>
        <v>-66802.02</v>
      </c>
      <c r="I182" s="216">
        <f>Données!V182</f>
        <v>0</v>
      </c>
      <c r="J182" s="216">
        <f>Données!W182</f>
        <v>-140964.12</v>
      </c>
      <c r="K182" s="8">
        <f>+Données!Q182</f>
        <v>10623.89</v>
      </c>
      <c r="L182" s="464">
        <f t="shared" si="7"/>
        <v>13102897.793738632</v>
      </c>
      <c r="M182" s="8">
        <f>+Données!F182</f>
        <v>0</v>
      </c>
      <c r="N182" s="8">
        <f>+Données!K182</f>
        <v>14036.65</v>
      </c>
      <c r="O182" s="8">
        <f>(Données!L182/Données!Y182)*1</f>
        <v>910761.76923076925</v>
      </c>
      <c r="P182" s="464">
        <f t="shared" si="8"/>
        <v>14027696.212969402</v>
      </c>
      <c r="Q182" s="241">
        <f>+Données!X182</f>
        <v>55.5</v>
      </c>
      <c r="R182" s="464">
        <f t="shared" si="6"/>
        <v>252751.28311656581</v>
      </c>
    </row>
    <row r="183" spans="1:18" x14ac:dyDescent="0.25">
      <c r="A183" s="7">
        <f>Données!A183</f>
        <v>5712</v>
      </c>
      <c r="B183" s="27" t="str">
        <f>Données!B183</f>
        <v>Coppet</v>
      </c>
      <c r="C183" s="8">
        <f>Données!C183+Données!D183</f>
        <v>17379116.07</v>
      </c>
      <c r="D183" s="8">
        <f>+Données!G183+Données!H183+Données!S183</f>
        <v>179119.89769632887</v>
      </c>
      <c r="E183" s="8">
        <f>+Données!E183</f>
        <v>0</v>
      </c>
      <c r="F183" s="8">
        <f>+Données!I183</f>
        <v>1121150.23</v>
      </c>
      <c r="G183" s="8">
        <f>+Données!J183</f>
        <v>358802.08</v>
      </c>
      <c r="H183" s="8">
        <f>Données!U183</f>
        <v>-20670.150000000001</v>
      </c>
      <c r="I183" s="216">
        <f>Données!V183</f>
        <v>0</v>
      </c>
      <c r="J183" s="216">
        <f>Données!W183</f>
        <v>-48473.31</v>
      </c>
      <c r="K183" s="8">
        <f>+Données!Q183</f>
        <v>21486.39</v>
      </c>
      <c r="L183" s="464">
        <f t="shared" si="7"/>
        <v>18990531.20769633</v>
      </c>
      <c r="M183" s="8">
        <f>+Données!F183</f>
        <v>0</v>
      </c>
      <c r="N183" s="8">
        <f>+Données!K183</f>
        <v>45987</v>
      </c>
      <c r="O183" s="8">
        <f>(Données!L183/Données!Y183)*1</f>
        <v>1206136.1333333333</v>
      </c>
      <c r="P183" s="464">
        <f t="shared" si="8"/>
        <v>20242654.341029663</v>
      </c>
      <c r="Q183" s="241">
        <f>+Données!X183</f>
        <v>53</v>
      </c>
      <c r="R183" s="464">
        <f t="shared" si="6"/>
        <v>381936.87435905024</v>
      </c>
    </row>
    <row r="184" spans="1:18" x14ac:dyDescent="0.25">
      <c r="A184" s="7">
        <f>Données!A184</f>
        <v>5713</v>
      </c>
      <c r="B184" s="27" t="str">
        <f>Données!B184</f>
        <v>Crans-près-Céligny</v>
      </c>
      <c r="C184" s="8">
        <f>Données!C184+Données!D184</f>
        <v>15401893.329999998</v>
      </c>
      <c r="D184" s="8">
        <f>+Données!G184+Données!H184+Données!S184</f>
        <v>36958.567950061362</v>
      </c>
      <c r="E184" s="8">
        <f>+Données!E184</f>
        <v>0</v>
      </c>
      <c r="F184" s="8">
        <f>+Données!I184</f>
        <v>828053.35</v>
      </c>
      <c r="G184" s="8">
        <f>+Données!J184</f>
        <v>204965.06</v>
      </c>
      <c r="H184" s="8">
        <f>Données!U184</f>
        <v>-8309.74</v>
      </c>
      <c r="I184" s="216">
        <f>Données!V184</f>
        <v>0</v>
      </c>
      <c r="J184" s="216">
        <f>Données!W184</f>
        <v>-29766.61</v>
      </c>
      <c r="K184" s="8">
        <f>+Données!Q184</f>
        <v>0</v>
      </c>
      <c r="L184" s="464">
        <f t="shared" si="7"/>
        <v>16433793.957950059</v>
      </c>
      <c r="M184" s="8">
        <f>+Données!F184</f>
        <v>0</v>
      </c>
      <c r="N184" s="8">
        <f>+Données!K184</f>
        <v>10573.5</v>
      </c>
      <c r="O184" s="8">
        <f>(Données!L184/Données!Y184)*1</f>
        <v>840352.05</v>
      </c>
      <c r="P184" s="464">
        <f t="shared" si="8"/>
        <v>17284719.50795006</v>
      </c>
      <c r="Q184" s="241">
        <f>+Données!X184</f>
        <v>56</v>
      </c>
      <c r="R184" s="464">
        <f t="shared" si="6"/>
        <v>308655.70549910824</v>
      </c>
    </row>
    <row r="185" spans="1:18" x14ac:dyDescent="0.25">
      <c r="A185" s="7">
        <f>Données!A185</f>
        <v>5714</v>
      </c>
      <c r="B185" s="27" t="str">
        <f>Données!B185</f>
        <v>Crassier</v>
      </c>
      <c r="C185" s="8">
        <f>Données!C185+Données!D185</f>
        <v>3301806.07</v>
      </c>
      <c r="D185" s="8">
        <f>+Données!G185+Données!H185+Données!S185</f>
        <v>-77063.3</v>
      </c>
      <c r="E185" s="8">
        <f>+Données!E185</f>
        <v>0</v>
      </c>
      <c r="F185" s="8">
        <f>+Données!I185</f>
        <v>110782.45</v>
      </c>
      <c r="G185" s="8">
        <f>+Données!J185</f>
        <v>65008.5</v>
      </c>
      <c r="H185" s="8">
        <f>Données!U185</f>
        <v>-19075.849999999999</v>
      </c>
      <c r="I185" s="216">
        <f>Données!V185</f>
        <v>0</v>
      </c>
      <c r="J185" s="216">
        <f>Données!W185</f>
        <v>-35557.89</v>
      </c>
      <c r="K185" s="8">
        <f>+Données!Q185</f>
        <v>0</v>
      </c>
      <c r="L185" s="464">
        <f t="shared" si="7"/>
        <v>3345899.98</v>
      </c>
      <c r="M185" s="8">
        <f>+Données!F185</f>
        <v>0</v>
      </c>
      <c r="N185" s="8">
        <f>+Données!K185</f>
        <v>6742.5</v>
      </c>
      <c r="O185" s="8">
        <f>(Données!L185/Données!Y185)*1</f>
        <v>289820.05</v>
      </c>
      <c r="P185" s="464">
        <f t="shared" si="8"/>
        <v>3642462.53</v>
      </c>
      <c r="Q185" s="241">
        <f>+Données!X185</f>
        <v>68</v>
      </c>
      <c r="R185" s="464">
        <f t="shared" si="6"/>
        <v>53565.625441176468</v>
      </c>
    </row>
    <row r="186" spans="1:18" x14ac:dyDescent="0.25">
      <c r="A186" s="7">
        <f>Données!A186</f>
        <v>5715</v>
      </c>
      <c r="B186" s="27" t="str">
        <f>Données!B186</f>
        <v>Duillier</v>
      </c>
      <c r="C186" s="8">
        <f>Données!C186+Données!D186</f>
        <v>3731005.09</v>
      </c>
      <c r="D186" s="8">
        <f>+Données!G186+Données!H186+Données!S186</f>
        <v>38417.241335671715</v>
      </c>
      <c r="E186" s="8">
        <f>+Données!E186</f>
        <v>0</v>
      </c>
      <c r="F186" s="8">
        <f>+Données!I186</f>
        <v>267.19999999999698</v>
      </c>
      <c r="G186" s="8">
        <f>+Données!J186</f>
        <v>111145.55</v>
      </c>
      <c r="H186" s="8">
        <f>Données!U186</f>
        <v>-111564.9</v>
      </c>
      <c r="I186" s="216">
        <f>Données!V186</f>
        <v>0</v>
      </c>
      <c r="J186" s="216">
        <f>Données!W186</f>
        <v>-4776.46</v>
      </c>
      <c r="K186" s="8">
        <f>+Données!Q186</f>
        <v>14698.53</v>
      </c>
      <c r="L186" s="464">
        <f t="shared" si="7"/>
        <v>3779192.2513356716</v>
      </c>
      <c r="M186" s="8">
        <f>+Données!F186</f>
        <v>0</v>
      </c>
      <c r="N186" s="8">
        <f>+Données!K186</f>
        <v>2940.5</v>
      </c>
      <c r="O186" s="8">
        <f>(Données!L186/Données!Y186)*1</f>
        <v>280968.40000000002</v>
      </c>
      <c r="P186" s="464">
        <f t="shared" si="8"/>
        <v>4063101.1513356715</v>
      </c>
      <c r="Q186" s="241">
        <f>+Données!X186</f>
        <v>66</v>
      </c>
      <c r="R186" s="464">
        <f t="shared" si="6"/>
        <v>61562.138656601084</v>
      </c>
    </row>
    <row r="187" spans="1:18" x14ac:dyDescent="0.25">
      <c r="A187" s="7">
        <f>Données!A187</f>
        <v>5716</v>
      </c>
      <c r="B187" s="27" t="str">
        <f>Données!B187</f>
        <v>Eysins</v>
      </c>
      <c r="C187" s="8">
        <f>Données!C187+Données!D187</f>
        <v>4596593.92</v>
      </c>
      <c r="D187" s="8">
        <f>+Données!G187+Données!H187+Données!S187</f>
        <v>11818569.28575357</v>
      </c>
      <c r="E187" s="8">
        <f>+Données!E187</f>
        <v>0</v>
      </c>
      <c r="F187" s="8">
        <f>+Données!I187</f>
        <v>0</v>
      </c>
      <c r="G187" s="8">
        <f>+Données!J187</f>
        <v>1090328.49</v>
      </c>
      <c r="H187" s="8">
        <f>Données!U187</f>
        <v>-54028.74</v>
      </c>
      <c r="I187" s="216">
        <f>Données!V187</f>
        <v>0</v>
      </c>
      <c r="J187" s="216">
        <f>Données!W187</f>
        <v>-1488.32</v>
      </c>
      <c r="K187" s="8">
        <f>+Données!Q187</f>
        <v>9607.18</v>
      </c>
      <c r="L187" s="464">
        <f t="shared" si="7"/>
        <v>17459581.815753572</v>
      </c>
      <c r="M187" s="8">
        <f>+Données!F187</f>
        <v>0</v>
      </c>
      <c r="N187" s="8">
        <f>+Données!K187</f>
        <v>191319.35</v>
      </c>
      <c r="O187" s="8">
        <f>(Données!L187/Données!Y187)*1</f>
        <v>648283.1</v>
      </c>
      <c r="P187" s="464">
        <f t="shared" si="8"/>
        <v>18299184.265753575</v>
      </c>
      <c r="Q187" s="241">
        <f>+Données!X187</f>
        <v>59.5</v>
      </c>
      <c r="R187" s="464">
        <f t="shared" si="6"/>
        <v>307549.31539081637</v>
      </c>
    </row>
    <row r="188" spans="1:18" x14ac:dyDescent="0.25">
      <c r="A188" s="7">
        <f>Données!A188</f>
        <v>5717</v>
      </c>
      <c r="B188" s="27" t="str">
        <f>Données!B188</f>
        <v>Founex</v>
      </c>
      <c r="C188" s="8">
        <f>Données!C188+Données!D188</f>
        <v>20121584.579999998</v>
      </c>
      <c r="D188" s="8">
        <f>+Données!G188+Données!H188+Données!S188</f>
        <v>118177.96546293749</v>
      </c>
      <c r="E188" s="8">
        <f>+Données!E188</f>
        <v>0</v>
      </c>
      <c r="F188" s="8">
        <f>+Données!I188</f>
        <v>925308</v>
      </c>
      <c r="G188" s="8">
        <f>+Données!J188</f>
        <v>-287667.32</v>
      </c>
      <c r="H188" s="8">
        <f>Données!U188</f>
        <v>-115528.89</v>
      </c>
      <c r="I188" s="216">
        <f>Données!V188</f>
        <v>0</v>
      </c>
      <c r="J188" s="216">
        <f>Données!W188</f>
        <v>-102206.5</v>
      </c>
      <c r="K188" s="8">
        <f>+Données!Q188</f>
        <v>12068.44</v>
      </c>
      <c r="L188" s="464">
        <f t="shared" si="7"/>
        <v>20671736.275462937</v>
      </c>
      <c r="M188" s="8">
        <f>+Données!F188</f>
        <v>0</v>
      </c>
      <c r="N188" s="8">
        <f>+Données!K188</f>
        <v>41372</v>
      </c>
      <c r="O188" s="8">
        <f>(Données!L188/Données!Y188)*1</f>
        <v>1332232.8999999999</v>
      </c>
      <c r="P188" s="464">
        <f t="shared" si="8"/>
        <v>22045341.175462935</v>
      </c>
      <c r="Q188" s="241">
        <f>+Données!X188</f>
        <v>57</v>
      </c>
      <c r="R188" s="464">
        <f t="shared" si="6"/>
        <v>386760.37149934971</v>
      </c>
    </row>
    <row r="189" spans="1:18" x14ac:dyDescent="0.25">
      <c r="A189" s="7">
        <f>Données!A189</f>
        <v>5718</v>
      </c>
      <c r="B189" s="27" t="str">
        <f>Données!B189</f>
        <v>Genolier</v>
      </c>
      <c r="C189" s="8">
        <f>Données!C189+Données!D189</f>
        <v>11901923.27</v>
      </c>
      <c r="D189" s="8">
        <f>+Données!G189+Données!H189+Données!S189</f>
        <v>351303.53358373907</v>
      </c>
      <c r="E189" s="8">
        <f>+Données!E189</f>
        <v>0</v>
      </c>
      <c r="F189" s="8">
        <f>+Données!I189</f>
        <v>345616.43</v>
      </c>
      <c r="G189" s="8">
        <f>+Données!J189</f>
        <v>183001.21</v>
      </c>
      <c r="H189" s="8">
        <f>Données!U189</f>
        <v>-26729.54</v>
      </c>
      <c r="I189" s="216">
        <f>Données!V189</f>
        <v>0</v>
      </c>
      <c r="J189" s="216">
        <f>Données!W189</f>
        <v>-12535.27</v>
      </c>
      <c r="K189" s="8">
        <f>+Données!Q189</f>
        <v>2276.39</v>
      </c>
      <c r="L189" s="464">
        <f t="shared" si="7"/>
        <v>12744856.023583742</v>
      </c>
      <c r="M189" s="8">
        <f>+Données!F189</f>
        <v>0</v>
      </c>
      <c r="N189" s="8">
        <f>+Données!K189</f>
        <v>41921.599999999999</v>
      </c>
      <c r="O189" s="8">
        <f>(Données!L189/Données!Y189)*1</f>
        <v>685761.5</v>
      </c>
      <c r="P189" s="464">
        <f t="shared" si="8"/>
        <v>13472539.123583741</v>
      </c>
      <c r="Q189" s="241">
        <f>+Données!X189</f>
        <v>55</v>
      </c>
      <c r="R189" s="464">
        <f t="shared" si="6"/>
        <v>244955.25679243167</v>
      </c>
    </row>
    <row r="190" spans="1:18" x14ac:dyDescent="0.25">
      <c r="A190" s="7">
        <f>Données!A190</f>
        <v>5719</v>
      </c>
      <c r="B190" s="27" t="str">
        <f>Données!B190</f>
        <v>Gingins</v>
      </c>
      <c r="C190" s="8">
        <f>Données!C190+Données!D190</f>
        <v>7188922.9000000004</v>
      </c>
      <c r="D190" s="8">
        <f>+Données!G190+Données!H190+Données!S190</f>
        <v>517091.12249420345</v>
      </c>
      <c r="E190" s="8">
        <f>+Données!E190</f>
        <v>0</v>
      </c>
      <c r="F190" s="8">
        <f>+Données!I190</f>
        <v>162245.15</v>
      </c>
      <c r="G190" s="8">
        <f>+Données!J190</f>
        <v>49408.41</v>
      </c>
      <c r="H190" s="8">
        <f>Données!U190</f>
        <v>-22774.959999999999</v>
      </c>
      <c r="I190" s="216">
        <f>Données!V190</f>
        <v>0</v>
      </c>
      <c r="J190" s="216">
        <f>Données!W190</f>
        <v>-12758.73</v>
      </c>
      <c r="K190" s="8">
        <f>+Données!Q190</f>
        <v>0</v>
      </c>
      <c r="L190" s="464">
        <f t="shared" si="7"/>
        <v>7882133.8924942035</v>
      </c>
      <c r="M190" s="8">
        <f>+Données!F190</f>
        <v>0</v>
      </c>
      <c r="N190" s="8">
        <f>+Données!K190</f>
        <v>6062.8</v>
      </c>
      <c r="O190" s="8">
        <f>(Données!L190/Données!Y190)*1</f>
        <v>409920.83333333337</v>
      </c>
      <c r="P190" s="464">
        <f t="shared" si="8"/>
        <v>8298117.5258275364</v>
      </c>
      <c r="Q190" s="241">
        <f>+Données!X190</f>
        <v>57</v>
      </c>
      <c r="R190" s="464">
        <f t="shared" si="6"/>
        <v>145581.00922504449</v>
      </c>
    </row>
    <row r="191" spans="1:18" x14ac:dyDescent="0.25">
      <c r="A191" s="7">
        <f>Données!A191</f>
        <v>5720</v>
      </c>
      <c r="B191" s="27" t="str">
        <f>Données!B191</f>
        <v>Givrins</v>
      </c>
      <c r="C191" s="8">
        <f>Données!C191+Données!D191</f>
        <v>4955759.28</v>
      </c>
      <c r="D191" s="8">
        <f>+Données!G191+Données!H191+Données!S191</f>
        <v>49771.141640951355</v>
      </c>
      <c r="E191" s="8">
        <f>+Données!E191</f>
        <v>0</v>
      </c>
      <c r="F191" s="8">
        <f>+Données!I191</f>
        <v>324111.55</v>
      </c>
      <c r="G191" s="8">
        <f>+Données!J191</f>
        <v>36650.199999999997</v>
      </c>
      <c r="H191" s="8">
        <f>Données!U191</f>
        <v>-24457.919999999998</v>
      </c>
      <c r="I191" s="216">
        <f>Données!V191</f>
        <v>0</v>
      </c>
      <c r="J191" s="216">
        <f>Données!W191</f>
        <v>-13000.22</v>
      </c>
      <c r="K191" s="8">
        <f>+Données!Q191</f>
        <v>1506.3</v>
      </c>
      <c r="L191" s="464">
        <f t="shared" si="7"/>
        <v>5330340.3316409513</v>
      </c>
      <c r="M191" s="8">
        <f>+Données!F191</f>
        <v>0</v>
      </c>
      <c r="N191" s="8">
        <f>+Données!K191</f>
        <v>0</v>
      </c>
      <c r="O191" s="8">
        <f>(Données!L191/Données!Y191)*1</f>
        <v>308210.94444444444</v>
      </c>
      <c r="P191" s="464">
        <f t="shared" si="8"/>
        <v>5638551.2760853954</v>
      </c>
      <c r="Q191" s="241">
        <f>+Données!X191</f>
        <v>67</v>
      </c>
      <c r="R191" s="464">
        <f t="shared" si="6"/>
        <v>84157.481732617845</v>
      </c>
    </row>
    <row r="192" spans="1:18" x14ac:dyDescent="0.25">
      <c r="A192" s="7">
        <f>Données!A192</f>
        <v>5721</v>
      </c>
      <c r="B192" s="27" t="str">
        <f>Données!B192</f>
        <v>Gland</v>
      </c>
      <c r="C192" s="8">
        <f>Données!C192+Données!D192</f>
        <v>31045638.420000002</v>
      </c>
      <c r="D192" s="8">
        <f>+Données!G192+Données!H192+Données!S192</f>
        <v>4149156.666362057</v>
      </c>
      <c r="E192" s="8">
        <f>+Données!E192</f>
        <v>0</v>
      </c>
      <c r="F192" s="8">
        <f>+Données!I192</f>
        <v>570158.6</v>
      </c>
      <c r="G192" s="8">
        <f>+Données!J192</f>
        <v>1086520.6299999999</v>
      </c>
      <c r="H192" s="8">
        <f>Données!U192</f>
        <v>-813563.98</v>
      </c>
      <c r="I192" s="216">
        <f>Données!V192</f>
        <v>0</v>
      </c>
      <c r="J192" s="216">
        <f>Données!W192</f>
        <v>-40976.54</v>
      </c>
      <c r="K192" s="8">
        <f>+Données!Q192</f>
        <v>150029.39000000001</v>
      </c>
      <c r="L192" s="464">
        <f t="shared" si="7"/>
        <v>36146963.186362065</v>
      </c>
      <c r="M192" s="8">
        <f>+Données!F192</f>
        <v>0</v>
      </c>
      <c r="N192" s="8">
        <f>+Données!K192</f>
        <v>512957.5</v>
      </c>
      <c r="O192" s="8">
        <f>(Données!L192/Données!Y192)*1</f>
        <v>2975096.15</v>
      </c>
      <c r="P192" s="464">
        <f t="shared" si="8"/>
        <v>39635016.836362064</v>
      </c>
      <c r="Q192" s="241">
        <f>+Données!X192</f>
        <v>61</v>
      </c>
      <c r="R192" s="464">
        <f t="shared" si="6"/>
        <v>649754.37436659122</v>
      </c>
    </row>
    <row r="193" spans="1:18" x14ac:dyDescent="0.25">
      <c r="A193" s="7">
        <f>Données!A193</f>
        <v>5722</v>
      </c>
      <c r="B193" s="27" t="str">
        <f>Données!B193</f>
        <v>Grens</v>
      </c>
      <c r="C193" s="8">
        <f>Données!C193+Données!D193</f>
        <v>1497883.97</v>
      </c>
      <c r="D193" s="8">
        <f>+Données!G193+Données!H193+Données!S193</f>
        <v>11142.404469040279</v>
      </c>
      <c r="E193" s="8">
        <f>+Données!E193</f>
        <v>0</v>
      </c>
      <c r="F193" s="8">
        <f>+Données!I193</f>
        <v>0</v>
      </c>
      <c r="G193" s="8">
        <f>+Données!J193</f>
        <v>-18719.46</v>
      </c>
      <c r="H193" s="8">
        <f>Données!U193</f>
        <v>-672.99</v>
      </c>
      <c r="I193" s="216">
        <f>Données!V193</f>
        <v>0</v>
      </c>
      <c r="J193" s="216">
        <f>Données!W193</f>
        <v>-1403.84</v>
      </c>
      <c r="K193" s="8">
        <f>+Données!Q193</f>
        <v>0</v>
      </c>
      <c r="L193" s="464">
        <f t="shared" si="7"/>
        <v>1488230.0844690402</v>
      </c>
      <c r="M193" s="8">
        <f>+Données!F193</f>
        <v>0</v>
      </c>
      <c r="N193" s="8">
        <f>+Données!K193</f>
        <v>6180.6</v>
      </c>
      <c r="O193" s="8">
        <f>(Données!L193/Données!Y193)*1</f>
        <v>87955.05</v>
      </c>
      <c r="P193" s="464">
        <f t="shared" si="8"/>
        <v>1582365.7344690403</v>
      </c>
      <c r="Q193" s="241">
        <f>+Données!X193</f>
        <v>62</v>
      </c>
      <c r="R193" s="464">
        <f t="shared" si="6"/>
        <v>25522.027975307101</v>
      </c>
    </row>
    <row r="194" spans="1:18" x14ac:dyDescent="0.25">
      <c r="A194" s="7">
        <f>Données!A194</f>
        <v>5723</v>
      </c>
      <c r="B194" s="27" t="str">
        <f>Données!B194</f>
        <v>Mies</v>
      </c>
      <c r="C194" s="8">
        <f>Données!C194+Données!D194</f>
        <v>8596299.3100000005</v>
      </c>
      <c r="D194" s="8">
        <f>+Données!G194+Données!H194+Données!S194</f>
        <v>350727.63020203746</v>
      </c>
      <c r="E194" s="8">
        <f>+Données!E194</f>
        <v>0</v>
      </c>
      <c r="F194" s="8">
        <f>+Données!I194</f>
        <v>472945.47</v>
      </c>
      <c r="G194" s="8">
        <f>+Données!J194</f>
        <v>121417.13</v>
      </c>
      <c r="H194" s="8">
        <f>Données!U194</f>
        <v>-63187.28</v>
      </c>
      <c r="I194" s="216">
        <f>Données!V194</f>
        <v>0</v>
      </c>
      <c r="J194" s="216">
        <f>Données!W194</f>
        <v>-104426.37</v>
      </c>
      <c r="K194" s="8">
        <f>+Données!Q194</f>
        <v>29262.59</v>
      </c>
      <c r="L194" s="464">
        <f t="shared" si="7"/>
        <v>9403038.4802020416</v>
      </c>
      <c r="M194" s="8">
        <f>+Données!F194</f>
        <v>0</v>
      </c>
      <c r="N194" s="8">
        <f>+Données!K194</f>
        <v>41667.85</v>
      </c>
      <c r="O194" s="8">
        <f>(Données!L194/Données!Y194)*1</f>
        <v>834188</v>
      </c>
      <c r="P194" s="464">
        <f t="shared" si="8"/>
        <v>10278894.330202041</v>
      </c>
      <c r="Q194" s="241">
        <f>+Données!X194</f>
        <v>52</v>
      </c>
      <c r="R194" s="464">
        <f t="shared" si="6"/>
        <v>197671.04481157771</v>
      </c>
    </row>
    <row r="195" spans="1:18" x14ac:dyDescent="0.25">
      <c r="A195" s="7">
        <f>Données!A195</f>
        <v>5724</v>
      </c>
      <c r="B195" s="27" t="str">
        <f>Données!B195</f>
        <v>Nyon</v>
      </c>
      <c r="C195" s="8">
        <f>Données!C195+Données!D195</f>
        <v>66354546.140000001</v>
      </c>
      <c r="D195" s="8">
        <f>+Données!G195+Données!H195+Données!S195</f>
        <v>8794466.4223360829</v>
      </c>
      <c r="E195" s="8">
        <f>+Données!E195</f>
        <v>0</v>
      </c>
      <c r="F195" s="8">
        <f>+Données!I195</f>
        <v>1912327.79</v>
      </c>
      <c r="G195" s="8">
        <f>+Données!J195</f>
        <v>3427119.1</v>
      </c>
      <c r="H195" s="8">
        <f>Données!U195</f>
        <v>-889891.87</v>
      </c>
      <c r="I195" s="216">
        <f>Données!V195</f>
        <v>0</v>
      </c>
      <c r="J195" s="216">
        <f>Données!W195</f>
        <v>-119872.56</v>
      </c>
      <c r="K195" s="8">
        <f>+Données!Q195</f>
        <v>174414.38</v>
      </c>
      <c r="L195" s="464">
        <f t="shared" si="7"/>
        <v>79653109.402336076</v>
      </c>
      <c r="M195" s="8">
        <f>+Données!F195</f>
        <v>0</v>
      </c>
      <c r="N195" s="8">
        <f>+Données!K195</f>
        <v>958188.35</v>
      </c>
      <c r="O195" s="8">
        <f>(Données!L195/Données!Y195)*1</f>
        <v>5573381.4333333336</v>
      </c>
      <c r="P195" s="464">
        <f t="shared" si="8"/>
        <v>86184679.185669407</v>
      </c>
      <c r="Q195" s="241">
        <f>+Données!X195</f>
        <v>61</v>
      </c>
      <c r="R195" s="464">
        <f t="shared" si="6"/>
        <v>1412863.5932076953</v>
      </c>
    </row>
    <row r="196" spans="1:18" x14ac:dyDescent="0.25">
      <c r="A196" s="7">
        <f>Données!A196</f>
        <v>5725</v>
      </c>
      <c r="B196" s="27" t="str">
        <f>Données!B196</f>
        <v>Prangins</v>
      </c>
      <c r="C196" s="8">
        <f>Données!C196+Données!D196</f>
        <v>14780336.039999999</v>
      </c>
      <c r="D196" s="8">
        <f>+Données!G196+Données!H196+Données!S196</f>
        <v>1046868.3164968733</v>
      </c>
      <c r="E196" s="8">
        <f>+Données!E196</f>
        <v>0</v>
      </c>
      <c r="F196" s="8">
        <f>+Données!I196</f>
        <v>182065.3</v>
      </c>
      <c r="G196" s="8">
        <f>+Données!J196</f>
        <v>276974.82</v>
      </c>
      <c r="H196" s="8">
        <f>Données!U196</f>
        <v>-190443.67</v>
      </c>
      <c r="I196" s="216">
        <f>Données!V196</f>
        <v>0</v>
      </c>
      <c r="J196" s="216">
        <f>Données!W196</f>
        <v>-112665.15</v>
      </c>
      <c r="K196" s="8">
        <f>+Données!Q196</f>
        <v>12972.19</v>
      </c>
      <c r="L196" s="464">
        <f t="shared" si="7"/>
        <v>15996107.846496873</v>
      </c>
      <c r="M196" s="8">
        <f>+Données!F196</f>
        <v>0</v>
      </c>
      <c r="N196" s="8">
        <f>+Données!K196</f>
        <v>-14130.45</v>
      </c>
      <c r="O196" s="8">
        <f>(Données!L196/Données!Y196)*1</f>
        <v>1201475.3214285714</v>
      </c>
      <c r="P196" s="464">
        <f t="shared" si="8"/>
        <v>17183452.717925444</v>
      </c>
      <c r="Q196" s="241">
        <f>+Données!X196</f>
        <v>55</v>
      </c>
      <c r="R196" s="464">
        <f t="shared" si="6"/>
        <v>312426.41305318987</v>
      </c>
    </row>
    <row r="197" spans="1:18" x14ac:dyDescent="0.25">
      <c r="A197" s="7">
        <f>Données!A197</f>
        <v>5726</v>
      </c>
      <c r="B197" s="27" t="str">
        <f>Données!B197</f>
        <v>La Rippe</v>
      </c>
      <c r="C197" s="8">
        <f>Données!C197+Données!D197</f>
        <v>3964690.68</v>
      </c>
      <c r="D197" s="8">
        <f>+Données!G197+Données!H197+Données!S197</f>
        <v>32064.350051167206</v>
      </c>
      <c r="E197" s="8">
        <f>+Données!E197</f>
        <v>0</v>
      </c>
      <c r="F197" s="8">
        <f>+Données!I197</f>
        <v>0</v>
      </c>
      <c r="G197" s="8">
        <f>+Données!J197</f>
        <v>123021.68</v>
      </c>
      <c r="H197" s="8">
        <f>Données!U197</f>
        <v>-76675.289999999994</v>
      </c>
      <c r="I197" s="216">
        <f>Données!V197</f>
        <v>0</v>
      </c>
      <c r="J197" s="216">
        <f>Données!W197</f>
        <v>-6701.86</v>
      </c>
      <c r="K197" s="8">
        <f>+Données!Q197</f>
        <v>540.36</v>
      </c>
      <c r="L197" s="464">
        <f t="shared" si="7"/>
        <v>4036939.9200511677</v>
      </c>
      <c r="M197" s="8">
        <f>+Données!F197</f>
        <v>0</v>
      </c>
      <c r="N197" s="8">
        <f>+Données!K197</f>
        <v>6611.15</v>
      </c>
      <c r="O197" s="8">
        <f>(Données!L197/Données!Y197)*1</f>
        <v>266920.95</v>
      </c>
      <c r="P197" s="464">
        <f t="shared" si="8"/>
        <v>4310472.0200511673</v>
      </c>
      <c r="Q197" s="241">
        <f>+Données!X197</f>
        <v>65</v>
      </c>
      <c r="R197" s="464">
        <f t="shared" si="6"/>
        <v>66314.954154633349</v>
      </c>
    </row>
    <row r="198" spans="1:18" x14ac:dyDescent="0.25">
      <c r="A198" s="7">
        <f>Données!A198</f>
        <v>5727</v>
      </c>
      <c r="B198" s="27" t="str">
        <f>Données!B198</f>
        <v>Saint-Cergue</v>
      </c>
      <c r="C198" s="8">
        <f>Données!C198+Données!D198</f>
        <v>6191909.8199999994</v>
      </c>
      <c r="D198" s="8">
        <f>+Données!G198+Données!H198+Données!S198</f>
        <v>53394.078493042252</v>
      </c>
      <c r="E198" s="8">
        <f>+Données!E198</f>
        <v>0</v>
      </c>
      <c r="F198" s="8">
        <f>+Données!I198</f>
        <v>117296</v>
      </c>
      <c r="G198" s="8">
        <f>+Données!J198</f>
        <v>162032.23000000001</v>
      </c>
      <c r="H198" s="8">
        <f>Données!U198</f>
        <v>-139243.04999999999</v>
      </c>
      <c r="I198" s="216">
        <f>Données!V198</f>
        <v>0</v>
      </c>
      <c r="J198" s="216">
        <f>Données!W198</f>
        <v>-1787.6</v>
      </c>
      <c r="K198" s="8">
        <f>+Données!Q198</f>
        <v>15197.2</v>
      </c>
      <c r="L198" s="464">
        <f t="shared" si="7"/>
        <v>6398798.6784930425</v>
      </c>
      <c r="M198" s="8">
        <f>+Données!F198</f>
        <v>0</v>
      </c>
      <c r="N198" s="8">
        <f>+Données!K198</f>
        <v>12987.55</v>
      </c>
      <c r="O198" s="8">
        <f>(Données!L198/Données!Y198)*1</f>
        <v>525405.33333333337</v>
      </c>
      <c r="P198" s="464">
        <f t="shared" si="8"/>
        <v>6937191.5618263753</v>
      </c>
      <c r="Q198" s="241">
        <f>+Données!X198</f>
        <v>66</v>
      </c>
      <c r="R198" s="464">
        <f t="shared" ref="R198:R261" si="9">P198/Q198</f>
        <v>105108.96305797539</v>
      </c>
    </row>
    <row r="199" spans="1:18" x14ac:dyDescent="0.25">
      <c r="A199" s="7">
        <f>Données!A199</f>
        <v>5728</v>
      </c>
      <c r="B199" s="27" t="str">
        <f>Données!B199</f>
        <v>Signy-Avenex</v>
      </c>
      <c r="C199" s="8">
        <f>Données!C199+Données!D199</f>
        <v>1919885.98</v>
      </c>
      <c r="D199" s="8">
        <f>+Données!G199+Données!H199+Données!S199</f>
        <v>750440.81470730237</v>
      </c>
      <c r="E199" s="8">
        <f>+Données!E199</f>
        <v>0</v>
      </c>
      <c r="F199" s="8">
        <f>+Données!I199</f>
        <v>29967.200000000001</v>
      </c>
      <c r="G199" s="8">
        <f>+Données!J199</f>
        <v>-123996.3</v>
      </c>
      <c r="H199" s="8">
        <f>Données!U199</f>
        <v>-5243.87</v>
      </c>
      <c r="I199" s="216">
        <f>Données!V199</f>
        <v>-4197.5</v>
      </c>
      <c r="J199" s="216">
        <f>Données!W199</f>
        <v>-972.86</v>
      </c>
      <c r="K199" s="8">
        <f>+Données!Q199</f>
        <v>84.58</v>
      </c>
      <c r="L199" s="464">
        <f t="shared" ref="L199:L262" si="10">SUM(C199:K199)</f>
        <v>2565968.0447073029</v>
      </c>
      <c r="M199" s="8">
        <f>+Données!F199</f>
        <v>0</v>
      </c>
      <c r="N199" s="8">
        <f>+Données!K199</f>
        <v>51471.45</v>
      </c>
      <c r="O199" s="8">
        <f>(Données!L199/Données!Y199)*1</f>
        <v>226272.4</v>
      </c>
      <c r="P199" s="464">
        <f t="shared" ref="P199:P262" si="11">SUM(L199:O199)</f>
        <v>2843711.894707303</v>
      </c>
      <c r="Q199" s="241">
        <f>+Données!X199</f>
        <v>58</v>
      </c>
      <c r="R199" s="464">
        <f t="shared" si="9"/>
        <v>49029.515425987986</v>
      </c>
    </row>
    <row r="200" spans="1:18" x14ac:dyDescent="0.25">
      <c r="A200" s="7">
        <f>Données!A200</f>
        <v>5729</v>
      </c>
      <c r="B200" s="27" t="str">
        <f>Données!B200</f>
        <v>Tannay</v>
      </c>
      <c r="C200" s="8">
        <f>Données!C200+Données!D200</f>
        <v>6711296.9100000001</v>
      </c>
      <c r="D200" s="8">
        <f>+Données!G200+Données!H200+Données!S200</f>
        <v>367372.05602458498</v>
      </c>
      <c r="E200" s="8">
        <f>+Données!E200</f>
        <v>0</v>
      </c>
      <c r="F200" s="8">
        <f>+Données!I200</f>
        <v>137925.35</v>
      </c>
      <c r="G200" s="8">
        <f>+Données!J200</f>
        <v>129611.93</v>
      </c>
      <c r="H200" s="8">
        <f>Données!U200</f>
        <v>-174957.96</v>
      </c>
      <c r="I200" s="216">
        <f>Données!V200</f>
        <v>0</v>
      </c>
      <c r="J200" s="216">
        <f>Données!W200</f>
        <v>-15827.25</v>
      </c>
      <c r="K200" s="8">
        <f>+Données!Q200</f>
        <v>168519.2</v>
      </c>
      <c r="L200" s="464">
        <f t="shared" si="10"/>
        <v>7323940.2360245846</v>
      </c>
      <c r="M200" s="8">
        <f>+Données!F200</f>
        <v>0</v>
      </c>
      <c r="N200" s="8">
        <f>+Données!K200</f>
        <v>5699.5</v>
      </c>
      <c r="O200" s="8">
        <f>(Données!L200/Données!Y200)*1</f>
        <v>578067.93333333335</v>
      </c>
      <c r="P200" s="464">
        <f t="shared" si="11"/>
        <v>7907707.6693579182</v>
      </c>
      <c r="Q200" s="241">
        <f>+Données!X200</f>
        <v>60.5</v>
      </c>
      <c r="R200" s="464">
        <f t="shared" si="9"/>
        <v>130705.91189021352</v>
      </c>
    </row>
    <row r="201" spans="1:18" x14ac:dyDescent="0.25">
      <c r="A201" s="7">
        <f>Données!A201</f>
        <v>5730</v>
      </c>
      <c r="B201" s="27" t="str">
        <f>Données!B201</f>
        <v>Trélex</v>
      </c>
      <c r="C201" s="8">
        <f>Données!C201+Données!D201</f>
        <v>5822307.0700000003</v>
      </c>
      <c r="D201" s="8">
        <f>+Données!G201+Données!H201+Données!S201</f>
        <v>-4535.7</v>
      </c>
      <c r="E201" s="8">
        <f>+Données!E201</f>
        <v>0</v>
      </c>
      <c r="F201" s="8">
        <f>+Données!I201</f>
        <v>66554.25</v>
      </c>
      <c r="G201" s="8">
        <f>+Données!J201</f>
        <v>-1891.14</v>
      </c>
      <c r="H201" s="8">
        <f>Données!U201</f>
        <v>-55826.86</v>
      </c>
      <c r="I201" s="216">
        <f>Données!V201</f>
        <v>0</v>
      </c>
      <c r="J201" s="216">
        <f>Données!W201</f>
        <v>-73593.2</v>
      </c>
      <c r="K201" s="8">
        <f>+Données!Q201</f>
        <v>1316.23</v>
      </c>
      <c r="L201" s="464">
        <f t="shared" si="10"/>
        <v>5754330.6500000004</v>
      </c>
      <c r="M201" s="8">
        <f>+Données!F201</f>
        <v>0</v>
      </c>
      <c r="N201" s="8">
        <f>+Données!K201</f>
        <v>6900.7</v>
      </c>
      <c r="O201" s="8">
        <f>(Données!L201/Données!Y201)*1</f>
        <v>434555</v>
      </c>
      <c r="P201" s="464">
        <f t="shared" si="11"/>
        <v>6195786.3500000006</v>
      </c>
      <c r="Q201" s="241">
        <f>+Données!X201</f>
        <v>55.5</v>
      </c>
      <c r="R201" s="464">
        <f t="shared" si="9"/>
        <v>111635.7900900901</v>
      </c>
    </row>
    <row r="202" spans="1:18" x14ac:dyDescent="0.25">
      <c r="A202" s="7">
        <f>Données!A202</f>
        <v>5731</v>
      </c>
      <c r="B202" s="27" t="str">
        <f>Données!B202</f>
        <v>Le Vaud</v>
      </c>
      <c r="C202" s="8">
        <f>Données!C202+Données!D202</f>
        <v>4434804.22</v>
      </c>
      <c r="D202" s="8">
        <f>+Données!G202+Données!H202+Données!S202</f>
        <v>10841.742163939882</v>
      </c>
      <c r="E202" s="8">
        <f>+Données!E202</f>
        <v>0</v>
      </c>
      <c r="F202" s="8">
        <f>+Données!I202</f>
        <v>0</v>
      </c>
      <c r="G202" s="8">
        <f>+Données!J202</f>
        <v>18094.62</v>
      </c>
      <c r="H202" s="8">
        <f>Données!U202</f>
        <v>-51330.74</v>
      </c>
      <c r="I202" s="216">
        <f>Données!V202</f>
        <v>0</v>
      </c>
      <c r="J202" s="216">
        <f>Données!W202</f>
        <v>-1476.19</v>
      </c>
      <c r="K202" s="8">
        <f>+Données!Q202</f>
        <v>49018.96</v>
      </c>
      <c r="L202" s="464">
        <f t="shared" si="10"/>
        <v>4459952.6121639395</v>
      </c>
      <c r="M202" s="8">
        <f>+Données!F202</f>
        <v>0</v>
      </c>
      <c r="N202" s="8">
        <f>+Données!K202</f>
        <v>2622.5</v>
      </c>
      <c r="O202" s="8">
        <f>(Données!L202/Données!Y202)*1</f>
        <v>268932.56666666665</v>
      </c>
      <c r="P202" s="464">
        <f t="shared" si="11"/>
        <v>4731507.6788306059</v>
      </c>
      <c r="Q202" s="241">
        <f>+Données!X202</f>
        <v>74</v>
      </c>
      <c r="R202" s="464">
        <f t="shared" si="9"/>
        <v>63939.29295717035</v>
      </c>
    </row>
    <row r="203" spans="1:18" x14ac:dyDescent="0.25">
      <c r="A203" s="7">
        <f>Données!A203</f>
        <v>5732</v>
      </c>
      <c r="B203" s="27" t="str">
        <f>Données!B203</f>
        <v>Vich</v>
      </c>
      <c r="C203" s="8">
        <f>Données!C203+Données!D203</f>
        <v>3808691.95</v>
      </c>
      <c r="D203" s="8">
        <f>+Données!G203+Données!H203+Données!S203</f>
        <v>30393.796491089655</v>
      </c>
      <c r="E203" s="8">
        <f>+Données!E203</f>
        <v>0</v>
      </c>
      <c r="F203" s="8">
        <f>+Données!I203</f>
        <v>257945.60000000001</v>
      </c>
      <c r="G203" s="8">
        <f>+Données!J203</f>
        <v>40696.36</v>
      </c>
      <c r="H203" s="8">
        <f>Données!U203</f>
        <v>-53257.83</v>
      </c>
      <c r="I203" s="216">
        <f>Données!V203</f>
        <v>0</v>
      </c>
      <c r="J203" s="216">
        <f>Données!W203</f>
        <v>-6869.3</v>
      </c>
      <c r="K203" s="8">
        <f>+Données!Q203</f>
        <v>3664.05</v>
      </c>
      <c r="L203" s="464">
        <f t="shared" si="10"/>
        <v>4081264.6264910898</v>
      </c>
      <c r="M203" s="8">
        <f>+Données!F203</f>
        <v>0</v>
      </c>
      <c r="N203" s="8">
        <f>+Données!K203</f>
        <v>23683.599999999999</v>
      </c>
      <c r="O203" s="8">
        <f>(Données!L203/Données!Y203)*1</f>
        <v>367886.6</v>
      </c>
      <c r="P203" s="464">
        <f t="shared" si="11"/>
        <v>4472834.8264910895</v>
      </c>
      <c r="Q203" s="241">
        <f>+Données!X203</f>
        <v>63</v>
      </c>
      <c r="R203" s="464">
        <f t="shared" si="9"/>
        <v>70997.378198271268</v>
      </c>
    </row>
    <row r="204" spans="1:18" x14ac:dyDescent="0.25">
      <c r="A204" s="7">
        <f>Données!A204</f>
        <v>5741</v>
      </c>
      <c r="B204" s="27" t="str">
        <f>Données!B204</f>
        <v>L'Abergement</v>
      </c>
      <c r="C204" s="8">
        <f>Données!C204+Données!D204</f>
        <v>563032.44999999995</v>
      </c>
      <c r="D204" s="8">
        <f>+Données!G204+Données!H204+Données!S204</f>
        <v>5995.511638065771</v>
      </c>
      <c r="E204" s="8">
        <f>+Données!E204</f>
        <v>0</v>
      </c>
      <c r="F204" s="8">
        <f>+Données!I204</f>
        <v>0</v>
      </c>
      <c r="G204" s="8">
        <f>+Données!J204</f>
        <v>1112.07</v>
      </c>
      <c r="H204" s="8">
        <f>Données!U204</f>
        <v>-15207.92</v>
      </c>
      <c r="I204" s="216">
        <f>Données!V204</f>
        <v>0</v>
      </c>
      <c r="J204" s="216">
        <f>Données!W204</f>
        <v>-0.06</v>
      </c>
      <c r="K204" s="8">
        <f>+Données!Q204</f>
        <v>565.82000000000005</v>
      </c>
      <c r="L204" s="464">
        <f t="shared" si="10"/>
        <v>555497.87163806555</v>
      </c>
      <c r="M204" s="8">
        <f>+Données!F204</f>
        <v>1440</v>
      </c>
      <c r="N204" s="8">
        <f>+Données!K204</f>
        <v>0</v>
      </c>
      <c r="O204" s="8">
        <f>(Données!L204/Données!Y204)*1</f>
        <v>39826.208333333336</v>
      </c>
      <c r="P204" s="464">
        <f t="shared" si="11"/>
        <v>596764.07997139893</v>
      </c>
      <c r="Q204" s="241">
        <f>+Données!X204</f>
        <v>81</v>
      </c>
      <c r="R204" s="464">
        <f t="shared" si="9"/>
        <v>7367.4577774246782</v>
      </c>
    </row>
    <row r="205" spans="1:18" x14ac:dyDescent="0.25">
      <c r="A205" s="7">
        <f>Données!A205</f>
        <v>5742</v>
      </c>
      <c r="B205" s="27" t="str">
        <f>Données!B205</f>
        <v>Agiez</v>
      </c>
      <c r="C205" s="8">
        <f>Données!C205+Données!D205</f>
        <v>610453.72</v>
      </c>
      <c r="D205" s="8">
        <f>+Données!G205+Données!H205+Données!S205</f>
        <v>3441.3644921626637</v>
      </c>
      <c r="E205" s="8">
        <f>+Données!E205</f>
        <v>0</v>
      </c>
      <c r="F205" s="8">
        <f>+Données!I205</f>
        <v>0</v>
      </c>
      <c r="G205" s="8">
        <f>+Données!J205</f>
        <v>24170.26</v>
      </c>
      <c r="H205" s="8">
        <f>Données!U205</f>
        <v>-10427.08</v>
      </c>
      <c r="I205" s="216">
        <f>Données!V205</f>
        <v>0</v>
      </c>
      <c r="J205" s="216">
        <f>Données!W205</f>
        <v>-62.6</v>
      </c>
      <c r="K205" s="8">
        <f>+Données!Q205</f>
        <v>5903.49</v>
      </c>
      <c r="L205" s="464">
        <f t="shared" si="10"/>
        <v>633479.15449216275</v>
      </c>
      <c r="M205" s="8">
        <f>+Données!F205</f>
        <v>0</v>
      </c>
      <c r="N205" s="8">
        <f>+Données!K205</f>
        <v>-6690.2</v>
      </c>
      <c r="O205" s="8">
        <f>(Données!L205/Données!Y205)*1</f>
        <v>54113</v>
      </c>
      <c r="P205" s="464">
        <f t="shared" si="11"/>
        <v>680901.9544921628</v>
      </c>
      <c r="Q205" s="241">
        <f>+Données!X205</f>
        <v>76</v>
      </c>
      <c r="R205" s="464">
        <f t="shared" si="9"/>
        <v>8959.2362433179314</v>
      </c>
    </row>
    <row r="206" spans="1:18" x14ac:dyDescent="0.25">
      <c r="A206" s="7">
        <f>Données!A206</f>
        <v>5743</v>
      </c>
      <c r="B206" s="27" t="str">
        <f>Données!B206</f>
        <v>Arnex-sur-Orbe</v>
      </c>
      <c r="C206" s="8">
        <f>Données!C206+Données!D206</f>
        <v>1361087.59</v>
      </c>
      <c r="D206" s="8">
        <f>+Données!G206+Données!H206+Données!S206</f>
        <v>12820.974226441553</v>
      </c>
      <c r="E206" s="8">
        <f>+Données!E206</f>
        <v>0</v>
      </c>
      <c r="F206" s="8">
        <f>+Données!I206</f>
        <v>0</v>
      </c>
      <c r="G206" s="8">
        <f>+Données!J206</f>
        <v>437.06</v>
      </c>
      <c r="H206" s="8">
        <f>Données!U206</f>
        <v>-3376.36</v>
      </c>
      <c r="I206" s="216">
        <f>Données!V206</f>
        <v>0</v>
      </c>
      <c r="J206" s="216">
        <f>Données!W206</f>
        <v>-639.04999999999995</v>
      </c>
      <c r="K206" s="8">
        <f>+Données!Q206</f>
        <v>1628.95</v>
      </c>
      <c r="L206" s="464">
        <f t="shared" si="10"/>
        <v>1371959.1642264414</v>
      </c>
      <c r="M206" s="8">
        <f>+Données!F206</f>
        <v>0</v>
      </c>
      <c r="N206" s="8">
        <f>+Données!K206</f>
        <v>0</v>
      </c>
      <c r="O206" s="8">
        <f>(Données!L206/Données!Y206)*1</f>
        <v>86806.375</v>
      </c>
      <c r="P206" s="464">
        <f t="shared" si="11"/>
        <v>1458765.5392264414</v>
      </c>
      <c r="Q206" s="241">
        <f>+Données!X206</f>
        <v>71</v>
      </c>
      <c r="R206" s="464">
        <f t="shared" si="9"/>
        <v>20545.993510231569</v>
      </c>
    </row>
    <row r="207" spans="1:18" x14ac:dyDescent="0.25">
      <c r="A207" s="7">
        <f>Données!A207</f>
        <v>5744</v>
      </c>
      <c r="B207" s="27" t="str">
        <f>Données!B207</f>
        <v>Ballaigues</v>
      </c>
      <c r="C207" s="8">
        <f>Données!C207+Données!D207</f>
        <v>1514866.86</v>
      </c>
      <c r="D207" s="8">
        <f>+Données!G207+Données!H207+Données!S207</f>
        <v>851874.92055760161</v>
      </c>
      <c r="E207" s="8">
        <f>+Données!E207</f>
        <v>0</v>
      </c>
      <c r="F207" s="8">
        <f>+Données!I207</f>
        <v>0</v>
      </c>
      <c r="G207" s="8">
        <f>+Données!J207</f>
        <v>125282.45</v>
      </c>
      <c r="H207" s="8">
        <f>Données!U207</f>
        <v>-58554.74</v>
      </c>
      <c r="I207" s="216">
        <f>Données!V207</f>
        <v>0</v>
      </c>
      <c r="J207" s="216">
        <f>Données!W207</f>
        <v>-1693.86</v>
      </c>
      <c r="K207" s="8">
        <f>+Données!Q207</f>
        <v>318.24</v>
      </c>
      <c r="L207" s="464">
        <f t="shared" si="10"/>
        <v>2432093.870557602</v>
      </c>
      <c r="M207" s="8">
        <f>+Données!F207</f>
        <v>0</v>
      </c>
      <c r="N207" s="8">
        <f>+Données!K207</f>
        <v>0</v>
      </c>
      <c r="O207" s="8">
        <f>(Données!L207/Données!Y207)*1</f>
        <v>180433.55</v>
      </c>
      <c r="P207" s="464">
        <f t="shared" si="11"/>
        <v>2612527.4205576018</v>
      </c>
      <c r="Q207" s="241">
        <f>+Données!X207</f>
        <v>65</v>
      </c>
      <c r="R207" s="464">
        <f t="shared" si="9"/>
        <v>40192.729547040028</v>
      </c>
    </row>
    <row r="208" spans="1:18" x14ac:dyDescent="0.25">
      <c r="A208" s="7">
        <f>Données!A208</f>
        <v>5745</v>
      </c>
      <c r="B208" s="27" t="str">
        <f>Données!B208</f>
        <v>Baulmes</v>
      </c>
      <c r="C208" s="8">
        <f>Données!C208+Données!D208</f>
        <v>1886265.67</v>
      </c>
      <c r="D208" s="8">
        <f>+Données!G208+Données!H208+Données!S208</f>
        <v>15314.176310499985</v>
      </c>
      <c r="E208" s="8">
        <f>+Données!E208</f>
        <v>0</v>
      </c>
      <c r="F208" s="8">
        <f>+Données!I208</f>
        <v>0</v>
      </c>
      <c r="G208" s="8">
        <f>+Données!J208</f>
        <v>29002.38</v>
      </c>
      <c r="H208" s="8">
        <f>Données!U208</f>
        <v>-29461.5</v>
      </c>
      <c r="I208" s="216">
        <f>Données!V208</f>
        <v>0</v>
      </c>
      <c r="J208" s="216">
        <f>Données!W208</f>
        <v>-64.849999999999994</v>
      </c>
      <c r="K208" s="8">
        <f>+Données!Q208</f>
        <v>14623.15</v>
      </c>
      <c r="L208" s="464">
        <f t="shared" si="10"/>
        <v>1915679.0263104995</v>
      </c>
      <c r="M208" s="8">
        <f>+Données!F208</f>
        <v>0</v>
      </c>
      <c r="N208" s="8">
        <f>+Données!K208</f>
        <v>0</v>
      </c>
      <c r="O208" s="8">
        <f>(Données!L208/Données!Y208)*1</f>
        <v>136327</v>
      </c>
      <c r="P208" s="464">
        <f t="shared" si="11"/>
        <v>2052006.0263104995</v>
      </c>
      <c r="Q208" s="241">
        <f>+Données!X208</f>
        <v>76.5</v>
      </c>
      <c r="R208" s="464">
        <f t="shared" si="9"/>
        <v>26823.608187065354</v>
      </c>
    </row>
    <row r="209" spans="1:18" x14ac:dyDescent="0.25">
      <c r="A209" s="7">
        <f>Données!A209</f>
        <v>5746</v>
      </c>
      <c r="B209" s="27" t="str">
        <f>Données!B209</f>
        <v>Bavois</v>
      </c>
      <c r="C209" s="8">
        <f>Données!C209+Données!D209</f>
        <v>1998174.1099999999</v>
      </c>
      <c r="D209" s="8">
        <f>+Données!G209+Données!H209+Données!S209</f>
        <v>7479.3866303308105</v>
      </c>
      <c r="E209" s="8">
        <f>+Données!E209</f>
        <v>0</v>
      </c>
      <c r="F209" s="8">
        <f>+Données!I209</f>
        <v>0</v>
      </c>
      <c r="G209" s="8">
        <f>+Données!J209</f>
        <v>15801.14</v>
      </c>
      <c r="H209" s="8">
        <f>Données!U209</f>
        <v>-16408.57</v>
      </c>
      <c r="I209" s="216">
        <f>Données!V209</f>
        <v>0</v>
      </c>
      <c r="J209" s="216">
        <f>Données!W209</f>
        <v>-57.41</v>
      </c>
      <c r="K209" s="8">
        <f>+Données!Q209</f>
        <v>21672.13</v>
      </c>
      <c r="L209" s="464">
        <f t="shared" si="10"/>
        <v>2026660.7866303304</v>
      </c>
      <c r="M209" s="8">
        <f>+Données!F209</f>
        <v>0</v>
      </c>
      <c r="N209" s="8">
        <f>+Données!K209</f>
        <v>19580.25</v>
      </c>
      <c r="O209" s="8">
        <f>(Données!L209/Données!Y209)*1</f>
        <v>177672.83333333334</v>
      </c>
      <c r="P209" s="464">
        <f t="shared" si="11"/>
        <v>2223913.8699636636</v>
      </c>
      <c r="Q209" s="241">
        <f>+Données!X209</f>
        <v>73</v>
      </c>
      <c r="R209" s="464">
        <f t="shared" si="9"/>
        <v>30464.573561146077</v>
      </c>
    </row>
    <row r="210" spans="1:18" x14ac:dyDescent="0.25">
      <c r="A210" s="7">
        <f>Données!A210</f>
        <v>5747</v>
      </c>
      <c r="B210" s="27" t="str">
        <f>Données!B210</f>
        <v>Bofflens</v>
      </c>
      <c r="C210" s="8">
        <f>Données!C210+Données!D210</f>
        <v>320146.84999999998</v>
      </c>
      <c r="D210" s="8">
        <f>+Données!G210+Données!H210+Données!S210</f>
        <v>22647.843847014788</v>
      </c>
      <c r="E210" s="8">
        <f>+Données!E210</f>
        <v>0</v>
      </c>
      <c r="F210" s="8">
        <f>+Données!I210</f>
        <v>0</v>
      </c>
      <c r="G210" s="8">
        <f>+Données!J210</f>
        <v>11774.59</v>
      </c>
      <c r="H210" s="8">
        <f>Données!U210</f>
        <v>-88.84</v>
      </c>
      <c r="I210" s="216">
        <f>Données!V210</f>
        <v>0</v>
      </c>
      <c r="J210" s="216">
        <f>Données!W210</f>
        <v>0</v>
      </c>
      <c r="K210" s="8">
        <f>+Données!Q210</f>
        <v>0</v>
      </c>
      <c r="L210" s="464">
        <f t="shared" si="10"/>
        <v>354480.44384701474</v>
      </c>
      <c r="M210" s="8">
        <f>+Données!F210</f>
        <v>0</v>
      </c>
      <c r="N210" s="8">
        <f>+Données!K210</f>
        <v>0</v>
      </c>
      <c r="O210" s="8">
        <f>(Données!L210/Données!Y210)*1</f>
        <v>32074.9</v>
      </c>
      <c r="P210" s="464">
        <f t="shared" si="11"/>
        <v>386555.34384701477</v>
      </c>
      <c r="Q210" s="241">
        <f>+Données!X210</f>
        <v>69</v>
      </c>
      <c r="R210" s="464">
        <f t="shared" si="9"/>
        <v>5602.2513601016635</v>
      </c>
    </row>
    <row r="211" spans="1:18" x14ac:dyDescent="0.25">
      <c r="A211" s="7">
        <f>Données!A211</f>
        <v>5748</v>
      </c>
      <c r="B211" s="27" t="str">
        <f>Données!B211</f>
        <v>Bretonnières</v>
      </c>
      <c r="C211" s="8">
        <f>Données!C211+Données!D211</f>
        <v>363718.05</v>
      </c>
      <c r="D211" s="8">
        <f>+Données!G211+Données!H211+Données!S211</f>
        <v>3916.1320144787965</v>
      </c>
      <c r="E211" s="8">
        <f>+Données!E211</f>
        <v>0</v>
      </c>
      <c r="F211" s="8">
        <f>+Données!I211</f>
        <v>0</v>
      </c>
      <c r="G211" s="8">
        <f>+Données!J211</f>
        <v>193.7</v>
      </c>
      <c r="H211" s="8">
        <f>Données!U211</f>
        <v>-11543.63</v>
      </c>
      <c r="I211" s="216">
        <f>Données!V211</f>
        <v>0</v>
      </c>
      <c r="J211" s="216">
        <f>Données!W211</f>
        <v>0</v>
      </c>
      <c r="K211" s="8">
        <f>+Données!Q211</f>
        <v>12216.72</v>
      </c>
      <c r="L211" s="464">
        <f t="shared" si="10"/>
        <v>368500.97201447876</v>
      </c>
      <c r="M211" s="8">
        <f>+Données!F211</f>
        <v>2130</v>
      </c>
      <c r="N211" s="8">
        <f>+Données!K211</f>
        <v>0</v>
      </c>
      <c r="O211" s="8">
        <f>(Données!L211/Données!Y211)*1</f>
        <v>37485.333333333336</v>
      </c>
      <c r="P211" s="464">
        <f t="shared" si="11"/>
        <v>408116.30534781207</v>
      </c>
      <c r="Q211" s="241">
        <f>+Données!X211</f>
        <v>70.5</v>
      </c>
      <c r="R211" s="464">
        <f t="shared" si="9"/>
        <v>5788.8837637987526</v>
      </c>
    </row>
    <row r="212" spans="1:18" x14ac:dyDescent="0.25">
      <c r="A212" s="7">
        <f>Données!A212</f>
        <v>5749</v>
      </c>
      <c r="B212" s="27" t="str">
        <f>Données!B212</f>
        <v>Chavornay</v>
      </c>
      <c r="C212" s="8">
        <f>Données!C212+Données!D212</f>
        <v>8799982.25</v>
      </c>
      <c r="D212" s="8">
        <f>+Données!G212+Données!H212+Données!S212</f>
        <v>144161.92003314526</v>
      </c>
      <c r="E212" s="8">
        <f>+Données!E212</f>
        <v>0</v>
      </c>
      <c r="F212" s="8">
        <f>+Données!I212</f>
        <v>0</v>
      </c>
      <c r="G212" s="8">
        <f>+Données!J212</f>
        <v>210085.08</v>
      </c>
      <c r="H212" s="8">
        <f>Données!U212</f>
        <v>-272346.67</v>
      </c>
      <c r="I212" s="216">
        <f>Données!V212</f>
        <v>0</v>
      </c>
      <c r="J212" s="216">
        <f>Données!W212</f>
        <v>-3645.56</v>
      </c>
      <c r="K212" s="8">
        <f>+Données!Q212</f>
        <v>153959.79999999999</v>
      </c>
      <c r="L212" s="464">
        <f t="shared" si="10"/>
        <v>9032196.8200331461</v>
      </c>
      <c r="M212" s="8">
        <f>+Données!F212</f>
        <v>0</v>
      </c>
      <c r="N212" s="8">
        <f>+Données!K212</f>
        <v>49595.7</v>
      </c>
      <c r="O212" s="8">
        <f>(Données!L212/Données!Y212)*1</f>
        <v>833055.5</v>
      </c>
      <c r="P212" s="464">
        <f t="shared" si="11"/>
        <v>9914848.0200331453</v>
      </c>
      <c r="Q212" s="241">
        <f>+Données!X212</f>
        <v>70.5</v>
      </c>
      <c r="R212" s="464">
        <f t="shared" si="9"/>
        <v>140636.14212812972</v>
      </c>
    </row>
    <row r="213" spans="1:18" x14ac:dyDescent="0.25">
      <c r="A213" s="7">
        <f>Données!A213</f>
        <v>5750</v>
      </c>
      <c r="B213" s="27" t="str">
        <f>Données!B213</f>
        <v>Les Clées</v>
      </c>
      <c r="C213" s="8">
        <f>Données!C213+Données!D213</f>
        <v>467724.95</v>
      </c>
      <c r="D213" s="8">
        <f>+Données!G213+Données!H213+Données!S213</f>
        <v>-68.8</v>
      </c>
      <c r="E213" s="8">
        <f>+Données!E213</f>
        <v>0</v>
      </c>
      <c r="F213" s="8">
        <f>+Données!I213</f>
        <v>0</v>
      </c>
      <c r="G213" s="8">
        <f>+Données!J213</f>
        <v>-3129.71</v>
      </c>
      <c r="H213" s="8">
        <f>Données!U213</f>
        <v>-7429.7</v>
      </c>
      <c r="I213" s="216">
        <f>Données!V213</f>
        <v>0</v>
      </c>
      <c r="J213" s="216">
        <f>Données!W213</f>
        <v>-1085.29</v>
      </c>
      <c r="K213" s="8">
        <f>+Données!Q213</f>
        <v>3011.5</v>
      </c>
      <c r="L213" s="464">
        <f t="shared" si="10"/>
        <v>459022.95</v>
      </c>
      <c r="M213" s="8">
        <f>+Données!F213</f>
        <v>1130</v>
      </c>
      <c r="N213" s="8">
        <f>+Données!K213</f>
        <v>15.55</v>
      </c>
      <c r="O213" s="8">
        <f>(Données!L213/Données!Y213)*1</f>
        <v>22875.25</v>
      </c>
      <c r="P213" s="464">
        <f t="shared" si="11"/>
        <v>483043.75</v>
      </c>
      <c r="Q213" s="241">
        <f>+Données!X213</f>
        <v>80</v>
      </c>
      <c r="R213" s="464">
        <f t="shared" si="9"/>
        <v>6038.046875</v>
      </c>
    </row>
    <row r="214" spans="1:18" x14ac:dyDescent="0.25">
      <c r="A214" s="7">
        <f>Données!A214</f>
        <v>5752</v>
      </c>
      <c r="B214" s="27" t="str">
        <f>Données!B214</f>
        <v>Croy</v>
      </c>
      <c r="C214" s="8">
        <f>Données!C214+Données!D214</f>
        <v>636258.16999999993</v>
      </c>
      <c r="D214" s="8">
        <f>+Données!G214+Données!H214+Données!S214</f>
        <v>12313.373238374865</v>
      </c>
      <c r="E214" s="8">
        <f>+Données!E214</f>
        <v>0</v>
      </c>
      <c r="F214" s="8">
        <f>+Données!I214</f>
        <v>0</v>
      </c>
      <c r="G214" s="8">
        <f>+Données!J214</f>
        <v>10649.79</v>
      </c>
      <c r="H214" s="8">
        <f>Données!U214</f>
        <v>-23961.74</v>
      </c>
      <c r="I214" s="216">
        <f>Données!V214</f>
        <v>0</v>
      </c>
      <c r="J214" s="216">
        <f>Données!W214</f>
        <v>-67.73</v>
      </c>
      <c r="K214" s="8">
        <f>+Données!Q214</f>
        <v>0</v>
      </c>
      <c r="L214" s="464">
        <f t="shared" si="10"/>
        <v>635191.86323837482</v>
      </c>
      <c r="M214" s="8">
        <f>+Données!F214</f>
        <v>0</v>
      </c>
      <c r="N214" s="8">
        <f>+Données!K214</f>
        <v>833.4</v>
      </c>
      <c r="O214" s="8">
        <f>(Données!L214/Données!Y214)*1</f>
        <v>60572.857142857145</v>
      </c>
      <c r="P214" s="464">
        <f t="shared" si="11"/>
        <v>696598.120381232</v>
      </c>
      <c r="Q214" s="241">
        <f>+Données!X214</f>
        <v>74</v>
      </c>
      <c r="R214" s="464">
        <f t="shared" si="9"/>
        <v>9413.4881132598912</v>
      </c>
    </row>
    <row r="215" spans="1:18" x14ac:dyDescent="0.25">
      <c r="A215" s="7">
        <f>Données!A215</f>
        <v>5754</v>
      </c>
      <c r="B215" s="27" t="str">
        <f>Données!B215</f>
        <v>Juriens</v>
      </c>
      <c r="C215" s="8">
        <f>Données!C215+Données!D215</f>
        <v>587230.06000000006</v>
      </c>
      <c r="D215" s="8">
        <f>+Données!G215+Données!H215+Données!S215</f>
        <v>2100.4084151964439</v>
      </c>
      <c r="E215" s="8">
        <f>+Données!E215</f>
        <v>0</v>
      </c>
      <c r="F215" s="8">
        <f>+Données!I215</f>
        <v>0</v>
      </c>
      <c r="G215" s="8">
        <f>+Données!J215</f>
        <v>2830.32</v>
      </c>
      <c r="H215" s="8">
        <f>Données!U215</f>
        <v>705.93</v>
      </c>
      <c r="I215" s="216">
        <f>Données!V215</f>
        <v>0</v>
      </c>
      <c r="J215" s="216">
        <f>Données!W215</f>
        <v>-85.63</v>
      </c>
      <c r="K215" s="8">
        <f>+Données!Q215</f>
        <v>-837.37</v>
      </c>
      <c r="L215" s="464">
        <f t="shared" si="10"/>
        <v>591943.71841519652</v>
      </c>
      <c r="M215" s="8">
        <f>+Données!F215</f>
        <v>0</v>
      </c>
      <c r="N215" s="8">
        <f>+Données!K215</f>
        <v>1588.5</v>
      </c>
      <c r="O215" s="8">
        <f>(Données!L215/Données!Y215)*1</f>
        <v>41885.1</v>
      </c>
      <c r="P215" s="464">
        <f t="shared" si="11"/>
        <v>635417.3184151965</v>
      </c>
      <c r="Q215" s="241">
        <f>+Données!X215</f>
        <v>79</v>
      </c>
      <c r="R215" s="464">
        <f t="shared" si="9"/>
        <v>8043.2571951290693</v>
      </c>
    </row>
    <row r="216" spans="1:18" x14ac:dyDescent="0.25">
      <c r="A216" s="7">
        <f>Données!A216</f>
        <v>5755</v>
      </c>
      <c r="B216" s="27" t="str">
        <f>Données!B216</f>
        <v>Lignerolle</v>
      </c>
      <c r="C216" s="8">
        <f>Données!C216+Données!D216</f>
        <v>637041.67999999993</v>
      </c>
      <c r="D216" s="8">
        <f>+Données!G216+Données!H216+Données!S216</f>
        <v>8322.8992295377884</v>
      </c>
      <c r="E216" s="8">
        <f>+Données!E216</f>
        <v>0</v>
      </c>
      <c r="F216" s="8">
        <f>+Données!I216</f>
        <v>0</v>
      </c>
      <c r="G216" s="8">
        <f>+Données!J216</f>
        <v>2001.7</v>
      </c>
      <c r="H216" s="8">
        <f>Données!U216</f>
        <v>-2212.75</v>
      </c>
      <c r="I216" s="216">
        <f>Données!V216</f>
        <v>0</v>
      </c>
      <c r="J216" s="216">
        <f>Données!W216</f>
        <v>0</v>
      </c>
      <c r="K216" s="8">
        <f>+Données!Q216</f>
        <v>355.56</v>
      </c>
      <c r="L216" s="464">
        <f t="shared" si="10"/>
        <v>645509.08922953776</v>
      </c>
      <c r="M216" s="8">
        <f>+Données!F216</f>
        <v>0</v>
      </c>
      <c r="N216" s="8">
        <f>+Données!K216</f>
        <v>2533.1</v>
      </c>
      <c r="O216" s="8">
        <f>(Données!L216/Données!Y216)*1</f>
        <v>62631.285714285717</v>
      </c>
      <c r="P216" s="464">
        <f t="shared" si="11"/>
        <v>710673.47494382341</v>
      </c>
      <c r="Q216" s="241">
        <f>+Données!X216</f>
        <v>78.5</v>
      </c>
      <c r="R216" s="464">
        <f t="shared" si="9"/>
        <v>9053.1652859085789</v>
      </c>
    </row>
    <row r="217" spans="1:18" x14ac:dyDescent="0.25">
      <c r="A217" s="7">
        <f>Données!A217</f>
        <v>5756</v>
      </c>
      <c r="B217" s="27" t="str">
        <f>Données!B217</f>
        <v>Montcherand</v>
      </c>
      <c r="C217" s="8">
        <f>Données!C217+Données!D217</f>
        <v>1029609.37</v>
      </c>
      <c r="D217" s="8">
        <f>+Données!G217+Données!H217+Données!S217</f>
        <v>19063.34081770882</v>
      </c>
      <c r="E217" s="8">
        <f>+Données!E217</f>
        <v>0</v>
      </c>
      <c r="F217" s="8">
        <f>+Données!I217</f>
        <v>0</v>
      </c>
      <c r="G217" s="8">
        <f>+Données!J217</f>
        <v>7518.7</v>
      </c>
      <c r="H217" s="8">
        <f>Données!U217</f>
        <v>-9371.33</v>
      </c>
      <c r="I217" s="216">
        <f>Données!V217</f>
        <v>0</v>
      </c>
      <c r="J217" s="216">
        <f>Données!W217</f>
        <v>-1791.32</v>
      </c>
      <c r="K217" s="8">
        <f>+Données!Q217</f>
        <v>2224.9499999999998</v>
      </c>
      <c r="L217" s="464">
        <f t="shared" si="10"/>
        <v>1047253.7108177089</v>
      </c>
      <c r="M217" s="8">
        <f>+Données!F217</f>
        <v>0</v>
      </c>
      <c r="N217" s="8">
        <f>+Données!K217</f>
        <v>-349.6</v>
      </c>
      <c r="O217" s="8">
        <f>(Données!L217/Données!Y217)*1</f>
        <v>87315</v>
      </c>
      <c r="P217" s="464">
        <f t="shared" si="11"/>
        <v>1134219.110817709</v>
      </c>
      <c r="Q217" s="241">
        <f>+Données!X217</f>
        <v>72</v>
      </c>
      <c r="R217" s="464">
        <f t="shared" si="9"/>
        <v>15753.043205801514</v>
      </c>
    </row>
    <row r="218" spans="1:18" x14ac:dyDescent="0.25">
      <c r="A218" s="7">
        <f>Données!A218</f>
        <v>5757</v>
      </c>
      <c r="B218" s="27" t="str">
        <f>Données!B218</f>
        <v>Orbe</v>
      </c>
      <c r="C218" s="8">
        <f>Données!C218+Données!D218</f>
        <v>12293958.949999999</v>
      </c>
      <c r="D218" s="8">
        <f>+Données!G218+Données!H218+Données!S218</f>
        <v>1162577.0735622623</v>
      </c>
      <c r="E218" s="8">
        <f>+Données!E218</f>
        <v>0</v>
      </c>
      <c r="F218" s="8">
        <f>+Données!I218</f>
        <v>0</v>
      </c>
      <c r="G218" s="8">
        <f>+Données!J218</f>
        <v>437458.61</v>
      </c>
      <c r="H218" s="8">
        <f>Données!U218</f>
        <v>-281564.02</v>
      </c>
      <c r="I218" s="216">
        <f>Données!V218</f>
        <v>0</v>
      </c>
      <c r="J218" s="216">
        <f>Données!W218</f>
        <v>-2912.13</v>
      </c>
      <c r="K218" s="8">
        <f>+Données!Q218</f>
        <v>22444.84</v>
      </c>
      <c r="L218" s="464">
        <f t="shared" si="10"/>
        <v>13631963.323562261</v>
      </c>
      <c r="M218" s="8">
        <f>+Données!F218</f>
        <v>0</v>
      </c>
      <c r="N218" s="8">
        <f>+Données!K218</f>
        <v>171329.3</v>
      </c>
      <c r="O218" s="8">
        <f>(Données!L218/Données!Y218)*1</f>
        <v>1559237</v>
      </c>
      <c r="P218" s="464">
        <f t="shared" si="11"/>
        <v>15362529.623562261</v>
      </c>
      <c r="Q218" s="241">
        <f>+Données!X218</f>
        <v>75.5</v>
      </c>
      <c r="R218" s="464">
        <f t="shared" si="9"/>
        <v>203477.21355711605</v>
      </c>
    </row>
    <row r="219" spans="1:18" x14ac:dyDescent="0.25">
      <c r="A219" s="7">
        <f>Données!A219</f>
        <v>5758</v>
      </c>
      <c r="B219" s="27" t="str">
        <f>Données!B219</f>
        <v>La Praz</v>
      </c>
      <c r="C219" s="8">
        <f>Données!C219+Données!D219</f>
        <v>319010.27999999997</v>
      </c>
      <c r="D219" s="8">
        <f>+Données!G219+Données!H219+Données!S219</f>
        <v>6890.5255598045569</v>
      </c>
      <c r="E219" s="8">
        <f>+Données!E219</f>
        <v>0</v>
      </c>
      <c r="F219" s="8">
        <f>+Données!I219</f>
        <v>0</v>
      </c>
      <c r="G219" s="8">
        <f>+Données!J219</f>
        <v>3129.12</v>
      </c>
      <c r="H219" s="8">
        <f>Données!U219</f>
        <v>-249.75</v>
      </c>
      <c r="I219" s="216">
        <f>Données!V219</f>
        <v>0</v>
      </c>
      <c r="J219" s="216">
        <f>Données!W219</f>
        <v>0</v>
      </c>
      <c r="K219" s="8">
        <f>+Données!Q219</f>
        <v>0</v>
      </c>
      <c r="L219" s="464">
        <f t="shared" si="10"/>
        <v>328780.17555980454</v>
      </c>
      <c r="M219" s="8">
        <f>+Données!F219</f>
        <v>920</v>
      </c>
      <c r="N219" s="8">
        <f>+Données!K219</f>
        <v>0</v>
      </c>
      <c r="O219" s="8">
        <f>(Données!L219/Données!Y219)*1</f>
        <v>28174.5</v>
      </c>
      <c r="P219" s="464">
        <f t="shared" si="11"/>
        <v>357874.67555980454</v>
      </c>
      <c r="Q219" s="241">
        <f>+Données!X219</f>
        <v>83</v>
      </c>
      <c r="R219" s="464">
        <f t="shared" si="9"/>
        <v>4311.7430790337894</v>
      </c>
    </row>
    <row r="220" spans="1:18" x14ac:dyDescent="0.25">
      <c r="A220" s="7">
        <f>Données!A220</f>
        <v>5759</v>
      </c>
      <c r="B220" s="27" t="str">
        <f>Données!B220</f>
        <v>Premier</v>
      </c>
      <c r="C220" s="8">
        <f>Données!C220+Données!D220</f>
        <v>383041.89</v>
      </c>
      <c r="D220" s="8">
        <f>+Données!G220+Données!H220+Données!S220</f>
        <v>961.17500238998673</v>
      </c>
      <c r="E220" s="8">
        <f>+Données!E220</f>
        <v>0</v>
      </c>
      <c r="F220" s="8">
        <f>+Données!I220</f>
        <v>0</v>
      </c>
      <c r="G220" s="8">
        <f>+Données!J220</f>
        <v>2926.91</v>
      </c>
      <c r="H220" s="8">
        <f>Données!U220</f>
        <v>-8201.16</v>
      </c>
      <c r="I220" s="216">
        <f>Données!V220</f>
        <v>0</v>
      </c>
      <c r="J220" s="216">
        <f>Données!W220</f>
        <v>-543.04</v>
      </c>
      <c r="K220" s="8">
        <f>+Données!Q220</f>
        <v>12976.44</v>
      </c>
      <c r="L220" s="464">
        <f t="shared" si="10"/>
        <v>391162.21500239003</v>
      </c>
      <c r="M220" s="8">
        <f>+Données!F220</f>
        <v>0</v>
      </c>
      <c r="N220" s="8">
        <f>+Données!K220</f>
        <v>242.95</v>
      </c>
      <c r="O220" s="8">
        <f>(Données!L220/Données!Y220)*1</f>
        <v>30520.7</v>
      </c>
      <c r="P220" s="464">
        <f t="shared" si="11"/>
        <v>421925.86500239006</v>
      </c>
      <c r="Q220" s="241">
        <f>+Données!X220</f>
        <v>79.5</v>
      </c>
      <c r="R220" s="464">
        <f t="shared" si="9"/>
        <v>5307.2435849357244</v>
      </c>
    </row>
    <row r="221" spans="1:18" x14ac:dyDescent="0.25">
      <c r="A221" s="7">
        <f>Données!A221</f>
        <v>5760</v>
      </c>
      <c r="B221" s="27" t="str">
        <f>Données!B221</f>
        <v>Rances</v>
      </c>
      <c r="C221" s="8">
        <f>Données!C221+Données!D221</f>
        <v>918442.07</v>
      </c>
      <c r="D221" s="8">
        <f>+Données!G221+Données!H221+Données!S221</f>
        <v>3126.4267671707203</v>
      </c>
      <c r="E221" s="8">
        <f>+Données!E221</f>
        <v>0</v>
      </c>
      <c r="F221" s="8">
        <f>+Données!I221</f>
        <v>0</v>
      </c>
      <c r="G221" s="8">
        <f>+Données!J221</f>
        <v>832.32</v>
      </c>
      <c r="H221" s="8">
        <f>Données!U221</f>
        <v>-25144.9</v>
      </c>
      <c r="I221" s="216">
        <f>Données!V221</f>
        <v>0</v>
      </c>
      <c r="J221" s="216">
        <f>Données!W221</f>
        <v>-1893.53</v>
      </c>
      <c r="K221" s="8">
        <f>+Données!Q221</f>
        <v>10272.66</v>
      </c>
      <c r="L221" s="464">
        <f t="shared" si="10"/>
        <v>905635.04676717066</v>
      </c>
      <c r="M221" s="8">
        <f>+Données!F221</f>
        <v>0</v>
      </c>
      <c r="N221" s="8">
        <f>+Données!K221</f>
        <v>0</v>
      </c>
      <c r="O221" s="8">
        <f>(Données!L221/Données!Y221)*1</f>
        <v>75493.233333333337</v>
      </c>
      <c r="P221" s="464">
        <f t="shared" si="11"/>
        <v>981128.28010050394</v>
      </c>
      <c r="Q221" s="241">
        <f>+Données!X221</f>
        <v>76.5</v>
      </c>
      <c r="R221" s="464">
        <f t="shared" si="9"/>
        <v>12825.206275823581</v>
      </c>
    </row>
    <row r="222" spans="1:18" x14ac:dyDescent="0.25">
      <c r="A222" s="7">
        <f>Données!A222</f>
        <v>5761</v>
      </c>
      <c r="B222" s="27" t="str">
        <f>Données!B222</f>
        <v>Romainmôtier-Envy</v>
      </c>
      <c r="C222" s="8">
        <f>Données!C222+Données!D222</f>
        <v>903066.24</v>
      </c>
      <c r="D222" s="8">
        <f>+Données!G222+Données!H222+Données!S222</f>
        <v>5024.1791253683386</v>
      </c>
      <c r="E222" s="8">
        <f>+Données!E222</f>
        <v>0</v>
      </c>
      <c r="F222" s="8">
        <f>+Données!I222</f>
        <v>0</v>
      </c>
      <c r="G222" s="8">
        <f>+Données!J222</f>
        <v>11547.56</v>
      </c>
      <c r="H222" s="8">
        <f>Données!U222</f>
        <v>-23743.54</v>
      </c>
      <c r="I222" s="216">
        <f>Données!V222</f>
        <v>0</v>
      </c>
      <c r="J222" s="216">
        <f>Données!W222</f>
        <v>0</v>
      </c>
      <c r="K222" s="8">
        <f>+Données!Q222</f>
        <v>0</v>
      </c>
      <c r="L222" s="464">
        <f t="shared" si="10"/>
        <v>895894.43912536837</v>
      </c>
      <c r="M222" s="8">
        <f>+Données!F222</f>
        <v>0</v>
      </c>
      <c r="N222" s="8">
        <f>+Données!K222</f>
        <v>3997.55</v>
      </c>
      <c r="O222" s="8">
        <f>(Données!L222/Données!Y222)*1</f>
        <v>82943.454545454544</v>
      </c>
      <c r="P222" s="464">
        <f t="shared" si="11"/>
        <v>982835.44367082301</v>
      </c>
      <c r="Q222" s="241">
        <f>+Données!X222</f>
        <v>81</v>
      </c>
      <c r="R222" s="464">
        <f t="shared" si="9"/>
        <v>12133.770909516334</v>
      </c>
    </row>
    <row r="223" spans="1:18" x14ac:dyDescent="0.25">
      <c r="A223" s="7">
        <f>Données!A223</f>
        <v>5762</v>
      </c>
      <c r="B223" s="27" t="str">
        <f>Données!B223</f>
        <v>Sergey</v>
      </c>
      <c r="C223" s="8">
        <f>Données!C223+Données!D223</f>
        <v>270626.64</v>
      </c>
      <c r="D223" s="8">
        <f>+Données!G223+Données!H223+Données!S223</f>
        <v>4136.2480081142048</v>
      </c>
      <c r="E223" s="8">
        <f>+Données!E223</f>
        <v>0</v>
      </c>
      <c r="F223" s="8">
        <f>+Données!I223</f>
        <v>0</v>
      </c>
      <c r="G223" s="8">
        <f>+Données!J223</f>
        <v>-1087.5</v>
      </c>
      <c r="H223" s="8">
        <f>Données!U223</f>
        <v>-62.44</v>
      </c>
      <c r="I223" s="216">
        <f>Données!V223</f>
        <v>0</v>
      </c>
      <c r="J223" s="216">
        <f>Données!W223</f>
        <v>0</v>
      </c>
      <c r="K223" s="8">
        <f>+Données!Q223</f>
        <v>9.4</v>
      </c>
      <c r="L223" s="464">
        <f t="shared" si="10"/>
        <v>273622.34800811426</v>
      </c>
      <c r="M223" s="8">
        <f>+Données!F223</f>
        <v>0</v>
      </c>
      <c r="N223" s="8">
        <f>+Données!K223</f>
        <v>75</v>
      </c>
      <c r="O223" s="8">
        <f>(Données!L223/Données!Y223)*1</f>
        <v>20516.599999999999</v>
      </c>
      <c r="P223" s="464">
        <f t="shared" si="11"/>
        <v>294213.94800811424</v>
      </c>
      <c r="Q223" s="241">
        <f>+Données!X223</f>
        <v>78</v>
      </c>
      <c r="R223" s="464">
        <f t="shared" si="9"/>
        <v>3771.973692411721</v>
      </c>
    </row>
    <row r="224" spans="1:18" x14ac:dyDescent="0.25">
      <c r="A224" s="7">
        <f>Données!A224</f>
        <v>5763</v>
      </c>
      <c r="B224" s="27" t="str">
        <f>Données!B224</f>
        <v>Valeyres-sous-Rances</v>
      </c>
      <c r="C224" s="8">
        <f>Données!C224+Données!D224</f>
        <v>1258816.48</v>
      </c>
      <c r="D224" s="8">
        <f>+Données!G224+Données!H224+Données!S224</f>
        <v>18828.510160492893</v>
      </c>
      <c r="E224" s="8">
        <f>+Données!E224</f>
        <v>0</v>
      </c>
      <c r="F224" s="8">
        <f>+Données!I224</f>
        <v>0</v>
      </c>
      <c r="G224" s="8">
        <f>+Données!J224</f>
        <v>27278.89</v>
      </c>
      <c r="H224" s="8">
        <f>Données!U224</f>
        <v>-6373.31</v>
      </c>
      <c r="I224" s="216">
        <f>Données!V224</f>
        <v>0</v>
      </c>
      <c r="J224" s="216">
        <f>Données!W224</f>
        <v>-752.01</v>
      </c>
      <c r="K224" s="8">
        <f>+Données!Q224</f>
        <v>0</v>
      </c>
      <c r="L224" s="464">
        <f t="shared" si="10"/>
        <v>1297798.5601604928</v>
      </c>
      <c r="M224" s="8">
        <f>+Données!F224</f>
        <v>0</v>
      </c>
      <c r="N224" s="8">
        <f>+Données!K224</f>
        <v>3988.7</v>
      </c>
      <c r="O224" s="8">
        <f>(Données!L224/Données!Y224)*1</f>
        <v>88872.5</v>
      </c>
      <c r="P224" s="464">
        <f t="shared" si="11"/>
        <v>1390659.7601604927</v>
      </c>
      <c r="Q224" s="241">
        <f>+Données!X224</f>
        <v>68</v>
      </c>
      <c r="R224" s="464">
        <f t="shared" si="9"/>
        <v>20450.878825889598</v>
      </c>
    </row>
    <row r="225" spans="1:18" x14ac:dyDescent="0.25">
      <c r="A225" s="7">
        <f>Données!A225</f>
        <v>5764</v>
      </c>
      <c r="B225" s="27" t="str">
        <f>Données!B225</f>
        <v>Vallorbe</v>
      </c>
      <c r="C225" s="8">
        <f>Données!C225+Données!D225</f>
        <v>5100310.6900000004</v>
      </c>
      <c r="D225" s="8">
        <f>+Données!G225+Données!H225+Données!S225</f>
        <v>366538.81074660766</v>
      </c>
      <c r="E225" s="8">
        <f>+Données!E225</f>
        <v>0</v>
      </c>
      <c r="F225" s="8">
        <f>+Données!I225</f>
        <v>0</v>
      </c>
      <c r="G225" s="8">
        <f>+Données!J225</f>
        <v>215461.1</v>
      </c>
      <c r="H225" s="8">
        <f>Données!U225</f>
        <v>-191456.46</v>
      </c>
      <c r="I225" s="216">
        <f>Données!V225</f>
        <v>0</v>
      </c>
      <c r="J225" s="216">
        <f>Données!W225</f>
        <v>-3532.07</v>
      </c>
      <c r="K225" s="8">
        <f>+Données!Q225</f>
        <v>29176.75</v>
      </c>
      <c r="L225" s="464">
        <f t="shared" si="10"/>
        <v>5516498.8207466071</v>
      </c>
      <c r="M225" s="8">
        <f>+Données!F225</f>
        <v>0</v>
      </c>
      <c r="N225" s="8">
        <f>+Données!K225</f>
        <v>40595.599999999999</v>
      </c>
      <c r="O225" s="8">
        <f>(Données!L225/Données!Y225)*1</f>
        <v>463831.75</v>
      </c>
      <c r="P225" s="464">
        <f t="shared" si="11"/>
        <v>6020926.1707466068</v>
      </c>
      <c r="Q225" s="241">
        <f>+Données!X225</f>
        <v>71.5</v>
      </c>
      <c r="R225" s="464">
        <f t="shared" si="9"/>
        <v>84208.757632819674</v>
      </c>
    </row>
    <row r="226" spans="1:18" x14ac:dyDescent="0.25">
      <c r="A226" s="7">
        <f>Données!A226</f>
        <v>5765</v>
      </c>
      <c r="B226" s="27" t="str">
        <f>Données!B226</f>
        <v>Vaulion</v>
      </c>
      <c r="C226" s="8">
        <f>Données!C226+Données!D226</f>
        <v>845069.1</v>
      </c>
      <c r="D226" s="8">
        <f>+Données!G226+Données!H226+Données!S226</f>
        <v>2051.1582165706118</v>
      </c>
      <c r="E226" s="8">
        <f>+Données!E226</f>
        <v>0</v>
      </c>
      <c r="F226" s="8">
        <f>+Données!I226</f>
        <v>0</v>
      </c>
      <c r="G226" s="8">
        <f>+Données!J226</f>
        <v>12677.3</v>
      </c>
      <c r="H226" s="8">
        <f>Données!U226</f>
        <v>-38231.56</v>
      </c>
      <c r="I226" s="216">
        <f>Données!V226</f>
        <v>0</v>
      </c>
      <c r="J226" s="216">
        <f>Données!W226</f>
        <v>-18.149999999999999</v>
      </c>
      <c r="K226" s="8">
        <f>+Données!Q226</f>
        <v>29995.119999999999</v>
      </c>
      <c r="L226" s="464">
        <f t="shared" si="10"/>
        <v>851542.96821657056</v>
      </c>
      <c r="M226" s="8">
        <f>+Données!F226</f>
        <v>0</v>
      </c>
      <c r="N226" s="8">
        <f>+Données!K226</f>
        <v>0</v>
      </c>
      <c r="O226" s="8">
        <f>(Données!L226/Données!Y226)*1</f>
        <v>64898.6</v>
      </c>
      <c r="P226" s="464">
        <f t="shared" si="11"/>
        <v>916441.56821657054</v>
      </c>
      <c r="Q226" s="241">
        <f>+Données!X226</f>
        <v>81</v>
      </c>
      <c r="R226" s="464">
        <f t="shared" si="9"/>
        <v>11314.093434772476</v>
      </c>
    </row>
    <row r="227" spans="1:18" x14ac:dyDescent="0.25">
      <c r="A227" s="7">
        <f>Données!A227</f>
        <v>5766</v>
      </c>
      <c r="B227" s="27" t="str">
        <f>Données!B227</f>
        <v>Vuiteboeuf</v>
      </c>
      <c r="C227" s="8">
        <f>Données!C227+Données!D227</f>
        <v>1120771.1399999999</v>
      </c>
      <c r="D227" s="8">
        <f>+Données!G227+Données!H227+Données!S227</f>
        <v>12194.612725969431</v>
      </c>
      <c r="E227" s="8">
        <f>+Données!E227</f>
        <v>0</v>
      </c>
      <c r="F227" s="8">
        <f>+Données!I227</f>
        <v>0</v>
      </c>
      <c r="G227" s="8">
        <f>+Données!J227</f>
        <v>30624.49</v>
      </c>
      <c r="H227" s="8">
        <f>Données!U227</f>
        <v>-16611.82</v>
      </c>
      <c r="I227" s="216">
        <f>Données!V227</f>
        <v>0</v>
      </c>
      <c r="J227" s="216">
        <f>Données!W227</f>
        <v>-86.19</v>
      </c>
      <c r="K227" s="8">
        <f>+Données!Q227</f>
        <v>5493.2</v>
      </c>
      <c r="L227" s="464">
        <f t="shared" si="10"/>
        <v>1152385.4327259692</v>
      </c>
      <c r="M227" s="8">
        <f>+Données!F227</f>
        <v>0</v>
      </c>
      <c r="N227" s="8">
        <f>+Données!K227</f>
        <v>-5391.85</v>
      </c>
      <c r="O227" s="8">
        <f>(Données!L227/Données!Y227)*1</f>
        <v>84268</v>
      </c>
      <c r="P227" s="464">
        <f t="shared" si="11"/>
        <v>1231261.5827259691</v>
      </c>
      <c r="Q227" s="241">
        <f>+Données!X227</f>
        <v>77</v>
      </c>
      <c r="R227" s="464">
        <f t="shared" si="9"/>
        <v>15990.410165272326</v>
      </c>
    </row>
    <row r="228" spans="1:18" x14ac:dyDescent="0.25">
      <c r="A228" s="7">
        <f>Données!A228</f>
        <v>5785</v>
      </c>
      <c r="B228" s="27" t="str">
        <f>Données!B228</f>
        <v>Corcelles-le-Jorat</v>
      </c>
      <c r="C228" s="8">
        <f>Données!C228+Données!D228</f>
        <v>1262204.23</v>
      </c>
      <c r="D228" s="8">
        <f>+Données!G228+Données!H228+Données!S228</f>
        <v>2628.1048020335379</v>
      </c>
      <c r="E228" s="8">
        <f>+Données!E228</f>
        <v>0</v>
      </c>
      <c r="F228" s="8">
        <f>+Données!I228</f>
        <v>0</v>
      </c>
      <c r="G228" s="8">
        <f>+Données!J228</f>
        <v>19643.89</v>
      </c>
      <c r="H228" s="8">
        <f>Données!U228</f>
        <v>-10648.48</v>
      </c>
      <c r="I228" s="216">
        <f>Données!V228</f>
        <v>0</v>
      </c>
      <c r="J228" s="216">
        <f>Données!W228</f>
        <v>-1741.16</v>
      </c>
      <c r="K228" s="8">
        <f>+Données!Q228</f>
        <v>399.81</v>
      </c>
      <c r="L228" s="464">
        <f t="shared" si="10"/>
        <v>1272486.3948020337</v>
      </c>
      <c r="M228" s="8">
        <f>+Données!F228</f>
        <v>0</v>
      </c>
      <c r="N228" s="8">
        <f>+Données!K228</f>
        <v>1202.5999999999999</v>
      </c>
      <c r="O228" s="8">
        <f>(Données!L228/Données!Y228)*1</f>
        <v>74271.75</v>
      </c>
      <c r="P228" s="464">
        <f t="shared" si="11"/>
        <v>1347960.7448020338</v>
      </c>
      <c r="Q228" s="241">
        <f>+Données!X228</f>
        <v>77</v>
      </c>
      <c r="R228" s="464">
        <f t="shared" si="9"/>
        <v>17505.983698727712</v>
      </c>
    </row>
    <row r="229" spans="1:18" x14ac:dyDescent="0.25">
      <c r="A229" s="7">
        <f>Données!A229</f>
        <v>5790</v>
      </c>
      <c r="B229" s="27" t="str">
        <f>Données!B229</f>
        <v>Maracon</v>
      </c>
      <c r="C229" s="8">
        <f>Données!C229+Données!D229</f>
        <v>872304.70000000007</v>
      </c>
      <c r="D229" s="8">
        <f>+Données!G229+Données!H229+Données!S229</f>
        <v>8863.3336833550311</v>
      </c>
      <c r="E229" s="8">
        <f>+Données!E229</f>
        <v>0</v>
      </c>
      <c r="F229" s="8">
        <f>+Données!I229</f>
        <v>0</v>
      </c>
      <c r="G229" s="8">
        <f>+Données!J229</f>
        <v>23539.63</v>
      </c>
      <c r="H229" s="8">
        <f>Données!U229</f>
        <v>-91.98</v>
      </c>
      <c r="I229" s="216">
        <f>Données!V229</f>
        <v>0</v>
      </c>
      <c r="J229" s="216">
        <f>Données!W229</f>
        <v>-394.87</v>
      </c>
      <c r="K229" s="8">
        <f>+Données!Q229</f>
        <v>0</v>
      </c>
      <c r="L229" s="464">
        <f t="shared" si="10"/>
        <v>904220.81368335511</v>
      </c>
      <c r="M229" s="8">
        <f>+Données!F229</f>
        <v>0</v>
      </c>
      <c r="N229" s="8">
        <f>+Données!K229</f>
        <v>2948</v>
      </c>
      <c r="O229" s="8">
        <f>(Données!L229/Données!Y229)*1</f>
        <v>90812.25</v>
      </c>
      <c r="P229" s="464">
        <f t="shared" si="11"/>
        <v>997981.06368335511</v>
      </c>
      <c r="Q229" s="241">
        <f>+Données!X229</f>
        <v>74.5</v>
      </c>
      <c r="R229" s="464">
        <f t="shared" si="9"/>
        <v>13395.718975615504</v>
      </c>
    </row>
    <row r="230" spans="1:18" x14ac:dyDescent="0.25">
      <c r="A230" s="7">
        <f>Données!A230</f>
        <v>5792</v>
      </c>
      <c r="B230" s="27" t="str">
        <f>Données!B230</f>
        <v>Montpreveyres</v>
      </c>
      <c r="C230" s="8">
        <f>Données!C230+Données!D230</f>
        <v>1192107.6499999999</v>
      </c>
      <c r="D230" s="8">
        <f>+Données!G230+Données!H230+Données!S230</f>
        <v>3259.407794006579</v>
      </c>
      <c r="E230" s="8">
        <f>+Données!E230</f>
        <v>0</v>
      </c>
      <c r="F230" s="8">
        <f>+Données!I230</f>
        <v>0</v>
      </c>
      <c r="G230" s="8">
        <f>+Données!J230</f>
        <v>18841.11</v>
      </c>
      <c r="H230" s="8">
        <f>Données!U230</f>
        <v>-11325.64</v>
      </c>
      <c r="I230" s="216">
        <f>Données!V230</f>
        <v>0</v>
      </c>
      <c r="J230" s="216">
        <f>Données!W230</f>
        <v>-4.33</v>
      </c>
      <c r="K230" s="8">
        <f>+Données!Q230</f>
        <v>1084.8900000000001</v>
      </c>
      <c r="L230" s="464">
        <f t="shared" si="10"/>
        <v>1203963.0877940066</v>
      </c>
      <c r="M230" s="8">
        <f>+Données!F230</f>
        <v>0</v>
      </c>
      <c r="N230" s="8">
        <f>+Données!K230</f>
        <v>-1992</v>
      </c>
      <c r="O230" s="8">
        <f>(Données!L230/Données!Y230)*1</f>
        <v>118656.4</v>
      </c>
      <c r="P230" s="464">
        <f t="shared" si="11"/>
        <v>1320627.4877940065</v>
      </c>
      <c r="Q230" s="241">
        <f>+Données!X230</f>
        <v>75</v>
      </c>
      <c r="R230" s="464">
        <f t="shared" si="9"/>
        <v>17608.366503920086</v>
      </c>
    </row>
    <row r="231" spans="1:18" x14ac:dyDescent="0.25">
      <c r="A231" s="7">
        <f>Données!A231</f>
        <v>5798</v>
      </c>
      <c r="B231" s="27" t="str">
        <f>Données!B231</f>
        <v>Ropraz</v>
      </c>
      <c r="C231" s="8">
        <f>Données!C231+Données!D231</f>
        <v>1114539.72</v>
      </c>
      <c r="D231" s="8">
        <f>+Données!G231+Données!H231+Données!S231</f>
        <v>12116.811687560508</v>
      </c>
      <c r="E231" s="8">
        <f>+Données!E231</f>
        <v>0</v>
      </c>
      <c r="F231" s="8">
        <f>+Données!I231</f>
        <v>0</v>
      </c>
      <c r="G231" s="8">
        <f>+Données!J231</f>
        <v>21076.43</v>
      </c>
      <c r="H231" s="8">
        <f>Données!U231</f>
        <v>-14050.28</v>
      </c>
      <c r="I231" s="216">
        <f>Données!V231</f>
        <v>0</v>
      </c>
      <c r="J231" s="216">
        <f>Données!W231</f>
        <v>-77.489999999999995</v>
      </c>
      <c r="K231" s="8">
        <f>+Données!Q231</f>
        <v>791.08</v>
      </c>
      <c r="L231" s="464">
        <f t="shared" si="10"/>
        <v>1134396.2716875605</v>
      </c>
      <c r="M231" s="8">
        <f>+Données!F231</f>
        <v>0</v>
      </c>
      <c r="N231" s="8">
        <f>+Données!K231</f>
        <v>6288.25</v>
      </c>
      <c r="O231" s="8">
        <f>(Données!L231/Données!Y231)*1</f>
        <v>80487.3</v>
      </c>
      <c r="P231" s="464">
        <f t="shared" si="11"/>
        <v>1221171.8216875605</v>
      </c>
      <c r="Q231" s="241">
        <f>+Données!X231</f>
        <v>77.5</v>
      </c>
      <c r="R231" s="464">
        <f t="shared" si="9"/>
        <v>15757.055763710458</v>
      </c>
    </row>
    <row r="232" spans="1:18" x14ac:dyDescent="0.25">
      <c r="A232" s="7">
        <f>Données!A232</f>
        <v>5799</v>
      </c>
      <c r="B232" s="27" t="str">
        <f>Données!B232</f>
        <v>Servion</v>
      </c>
      <c r="C232" s="8">
        <f>Données!C232+Données!D232</f>
        <v>4308535.33</v>
      </c>
      <c r="D232" s="8">
        <f>+Données!G232+Données!H232+Données!S232</f>
        <v>28169.850788370219</v>
      </c>
      <c r="E232" s="8">
        <f>+Données!E232</f>
        <v>0</v>
      </c>
      <c r="F232" s="8">
        <f>+Données!I232</f>
        <v>0</v>
      </c>
      <c r="G232" s="8">
        <f>+Données!J232</f>
        <v>61021.97</v>
      </c>
      <c r="H232" s="8">
        <f>Données!U232</f>
        <v>-37689.599999999999</v>
      </c>
      <c r="I232" s="216">
        <f>Données!V232</f>
        <v>0</v>
      </c>
      <c r="J232" s="216">
        <f>Données!W232</f>
        <v>-571.88</v>
      </c>
      <c r="K232" s="8">
        <f>+Données!Q232</f>
        <v>11812.31</v>
      </c>
      <c r="L232" s="464">
        <f t="shared" si="10"/>
        <v>4371277.9807883697</v>
      </c>
      <c r="M232" s="8">
        <f>+Données!F232</f>
        <v>0</v>
      </c>
      <c r="N232" s="8">
        <f>+Données!K232</f>
        <v>20849.349999999999</v>
      </c>
      <c r="O232" s="8">
        <f>(Données!L232/Données!Y232)*1</f>
        <v>395030.85</v>
      </c>
      <c r="P232" s="464">
        <f t="shared" si="11"/>
        <v>4787158.1807883689</v>
      </c>
      <c r="Q232" s="241">
        <f>+Données!X232</f>
        <v>69</v>
      </c>
      <c r="R232" s="464">
        <f t="shared" si="9"/>
        <v>69379.10406939665</v>
      </c>
    </row>
    <row r="233" spans="1:18" x14ac:dyDescent="0.25">
      <c r="A233" s="7">
        <f>Données!A233</f>
        <v>5803</v>
      </c>
      <c r="B233" s="27" t="str">
        <f>Données!B233</f>
        <v>Vulliens</v>
      </c>
      <c r="C233" s="8">
        <f>Données!C233+Données!D233</f>
        <v>1341055.44</v>
      </c>
      <c r="D233" s="8">
        <f>+Données!G233+Données!H233+Données!S233</f>
        <v>-1487.7</v>
      </c>
      <c r="E233" s="8">
        <f>+Données!E233</f>
        <v>0</v>
      </c>
      <c r="F233" s="8">
        <f>+Données!I233</f>
        <v>0</v>
      </c>
      <c r="G233" s="8">
        <f>+Données!J233</f>
        <v>26442.34</v>
      </c>
      <c r="H233" s="8">
        <f>Données!U233</f>
        <v>-39936.660000000003</v>
      </c>
      <c r="I233" s="216">
        <f>Données!V233</f>
        <v>0</v>
      </c>
      <c r="J233" s="216">
        <f>Données!W233</f>
        <v>-335.67</v>
      </c>
      <c r="K233" s="8">
        <f>+Données!Q233</f>
        <v>3726.78</v>
      </c>
      <c r="L233" s="464">
        <f t="shared" si="10"/>
        <v>1329464.5300000003</v>
      </c>
      <c r="M233" s="8">
        <f>+Données!F233</f>
        <v>0</v>
      </c>
      <c r="N233" s="8">
        <f>+Données!K233</f>
        <v>0</v>
      </c>
      <c r="O233" s="8">
        <f>(Données!L233/Données!Y233)*1</f>
        <v>105284.85</v>
      </c>
      <c r="P233" s="464">
        <f t="shared" si="11"/>
        <v>1434749.3800000004</v>
      </c>
      <c r="Q233" s="241">
        <f>+Données!X233</f>
        <v>76</v>
      </c>
      <c r="R233" s="464">
        <f t="shared" si="9"/>
        <v>18878.281315789478</v>
      </c>
    </row>
    <row r="234" spans="1:18" x14ac:dyDescent="0.25">
      <c r="A234" s="7">
        <f>Données!A234</f>
        <v>5804</v>
      </c>
      <c r="B234" s="27" t="str">
        <f>Données!B234</f>
        <v>Jorat-Menthue</v>
      </c>
      <c r="C234" s="8">
        <f>Données!C234+Données!D234</f>
        <v>3008889.64</v>
      </c>
      <c r="D234" s="8">
        <f>+Données!G234+Données!H234+Données!S234</f>
        <v>61765.020001061202</v>
      </c>
      <c r="E234" s="8">
        <f>+Données!E234</f>
        <v>0</v>
      </c>
      <c r="F234" s="8">
        <f>+Données!I234</f>
        <v>0</v>
      </c>
      <c r="G234" s="8">
        <f>+Données!J234</f>
        <v>17046.580000000002</v>
      </c>
      <c r="H234" s="8">
        <f>Données!U234</f>
        <v>-71782.210000000006</v>
      </c>
      <c r="I234" s="216">
        <f>Données!V234</f>
        <v>0</v>
      </c>
      <c r="J234" s="216">
        <f>Données!W234</f>
        <v>-60.84</v>
      </c>
      <c r="K234" s="8">
        <f>+Données!Q234</f>
        <v>603.1</v>
      </c>
      <c r="L234" s="464">
        <f t="shared" si="10"/>
        <v>3016461.2900010617</v>
      </c>
      <c r="M234" s="8">
        <f>+Données!F234</f>
        <v>0</v>
      </c>
      <c r="N234" s="8">
        <f>+Données!K234</f>
        <v>3532.6</v>
      </c>
      <c r="O234" s="8">
        <f>(Données!L234/Données!Y234)*1</f>
        <v>270624.8</v>
      </c>
      <c r="P234" s="464">
        <f t="shared" si="11"/>
        <v>3290618.6900010617</v>
      </c>
      <c r="Q234" s="241">
        <f>+Données!X234</f>
        <v>70.5</v>
      </c>
      <c r="R234" s="464">
        <f t="shared" si="9"/>
        <v>46675.442411362579</v>
      </c>
    </row>
    <row r="235" spans="1:18" x14ac:dyDescent="0.25">
      <c r="A235" s="7">
        <f>Données!A235</f>
        <v>5805</v>
      </c>
      <c r="B235" s="27" t="str">
        <f>Données!B235</f>
        <v>Oron</v>
      </c>
      <c r="C235" s="8">
        <f>Données!C235+Données!D235</f>
        <v>10116103.169999998</v>
      </c>
      <c r="D235" s="8">
        <f>+Données!G235+Données!H235+Données!S235</f>
        <v>674000.49834134884</v>
      </c>
      <c r="E235" s="8">
        <f>+Données!E235</f>
        <v>0</v>
      </c>
      <c r="F235" s="8">
        <f>+Données!I235</f>
        <v>0</v>
      </c>
      <c r="G235" s="8">
        <f>+Données!J235</f>
        <v>194454.97</v>
      </c>
      <c r="H235" s="8">
        <f>Données!U235</f>
        <v>-228471.39</v>
      </c>
      <c r="I235" s="216">
        <f>Données!V235</f>
        <v>0</v>
      </c>
      <c r="J235" s="216">
        <f>Données!W235</f>
        <v>-10762.72</v>
      </c>
      <c r="K235" s="8">
        <f>+Données!Q235</f>
        <v>61779.53</v>
      </c>
      <c r="L235" s="464">
        <f t="shared" si="10"/>
        <v>10807104.058341345</v>
      </c>
      <c r="M235" s="8">
        <f>+Données!F235</f>
        <v>0</v>
      </c>
      <c r="N235" s="8">
        <f>+Données!K235</f>
        <v>6071.05</v>
      </c>
      <c r="O235" s="8">
        <f>(Données!L235/Données!Y235)*1</f>
        <v>1121078.5999999999</v>
      </c>
      <c r="P235" s="464">
        <f t="shared" si="11"/>
        <v>11934253.708341345</v>
      </c>
      <c r="Q235" s="241">
        <f>+Données!X235</f>
        <v>69.239999999999995</v>
      </c>
      <c r="R235" s="464">
        <f t="shared" si="9"/>
        <v>172360.6832516081</v>
      </c>
    </row>
    <row r="236" spans="1:18" x14ac:dyDescent="0.25">
      <c r="A236" s="7">
        <f>Données!A236</f>
        <v>5806</v>
      </c>
      <c r="B236" s="27" t="str">
        <f>Données!B236</f>
        <v>Jorat-Mézières</v>
      </c>
      <c r="C236" s="8">
        <f>Données!C236+Données!D236</f>
        <v>5888127.1400000006</v>
      </c>
      <c r="D236" s="8">
        <f>+Données!G236+Données!H236+Données!S236</f>
        <v>109850.78360743224</v>
      </c>
      <c r="E236" s="8">
        <f>+Données!E236</f>
        <v>0</v>
      </c>
      <c r="F236" s="8">
        <f>+Données!I236</f>
        <v>53124.25</v>
      </c>
      <c r="G236" s="8">
        <f>+Données!J236</f>
        <v>61110.42</v>
      </c>
      <c r="H236" s="8">
        <f>Données!U236</f>
        <v>-28820.5</v>
      </c>
      <c r="I236" s="216">
        <f>Données!V236</f>
        <v>0</v>
      </c>
      <c r="J236" s="216">
        <f>Données!W236</f>
        <v>-2223.91</v>
      </c>
      <c r="K236" s="8">
        <f>+Données!Q236</f>
        <v>26120.86</v>
      </c>
      <c r="L236" s="464">
        <f t="shared" si="10"/>
        <v>6107289.0436074333</v>
      </c>
      <c r="M236" s="8">
        <f>+Données!F236</f>
        <v>0</v>
      </c>
      <c r="N236" s="8">
        <f>+Données!K236</f>
        <v>16744.75</v>
      </c>
      <c r="O236" s="8">
        <f>(Données!L236/Données!Y236)*1</f>
        <v>521911.25</v>
      </c>
      <c r="P236" s="464">
        <f t="shared" si="11"/>
        <v>6645945.0436074333</v>
      </c>
      <c r="Q236" s="241">
        <f>+Données!X236</f>
        <v>73</v>
      </c>
      <c r="R236" s="464">
        <f t="shared" si="9"/>
        <v>91040.343063115521</v>
      </c>
    </row>
    <row r="237" spans="1:18" x14ac:dyDescent="0.25">
      <c r="A237" s="7">
        <f>Données!A237</f>
        <v>5812</v>
      </c>
      <c r="B237" s="27" t="str">
        <f>Données!B237</f>
        <v>Champtauroz</v>
      </c>
      <c r="C237" s="8">
        <f>Données!C237+Données!D237</f>
        <v>181882.5</v>
      </c>
      <c r="D237" s="8">
        <f>+Données!G237+Données!H237+Données!S237</f>
        <v>-3835.75</v>
      </c>
      <c r="E237" s="8">
        <f>+Données!E237</f>
        <v>0</v>
      </c>
      <c r="F237" s="8">
        <f>+Données!I237</f>
        <v>0</v>
      </c>
      <c r="G237" s="8">
        <f>+Données!J237</f>
        <v>0</v>
      </c>
      <c r="H237" s="8">
        <f>Données!U237</f>
        <v>-5185.42</v>
      </c>
      <c r="I237" s="216">
        <f>Données!V237</f>
        <v>0</v>
      </c>
      <c r="J237" s="216">
        <f>Données!W237</f>
        <v>-82.27</v>
      </c>
      <c r="K237" s="8">
        <f>+Données!Q237</f>
        <v>0</v>
      </c>
      <c r="L237" s="464">
        <f t="shared" si="10"/>
        <v>172779.06</v>
      </c>
      <c r="M237" s="8">
        <f>+Données!F237</f>
        <v>0</v>
      </c>
      <c r="N237" s="8">
        <f>+Données!K237</f>
        <v>637.5</v>
      </c>
      <c r="O237" s="8">
        <f>(Données!L237/Données!Y237)*1</f>
        <v>19784.749999999996</v>
      </c>
      <c r="P237" s="464">
        <f t="shared" si="11"/>
        <v>193201.31</v>
      </c>
      <c r="Q237" s="241">
        <f>+Données!X237</f>
        <v>77</v>
      </c>
      <c r="R237" s="464">
        <f t="shared" si="9"/>
        <v>2509.107922077922</v>
      </c>
    </row>
    <row r="238" spans="1:18" x14ac:dyDescent="0.25">
      <c r="A238" s="7">
        <f>Données!A238</f>
        <v>5813</v>
      </c>
      <c r="B238" s="27" t="str">
        <f>Données!B238</f>
        <v>Chevroux</v>
      </c>
      <c r="C238" s="8">
        <f>Données!C238+Données!D238</f>
        <v>918632.11</v>
      </c>
      <c r="D238" s="8">
        <f>+Données!G238+Données!H238+Données!S238</f>
        <v>22696.764612873889</v>
      </c>
      <c r="E238" s="8">
        <f>+Données!E238</f>
        <v>0</v>
      </c>
      <c r="F238" s="8">
        <f>+Données!I238</f>
        <v>0</v>
      </c>
      <c r="G238" s="8">
        <f>+Données!J238</f>
        <v>19887.509999999998</v>
      </c>
      <c r="H238" s="8">
        <f>Données!U238</f>
        <v>-18087.39</v>
      </c>
      <c r="I238" s="216">
        <f>Données!V238</f>
        <v>0</v>
      </c>
      <c r="J238" s="216">
        <f>Données!W238</f>
        <v>-32.130000000000003</v>
      </c>
      <c r="K238" s="8">
        <f>+Données!Q238</f>
        <v>0</v>
      </c>
      <c r="L238" s="464">
        <f t="shared" si="10"/>
        <v>943096.86461287388</v>
      </c>
      <c r="M238" s="8">
        <f>+Données!F238</f>
        <v>3140</v>
      </c>
      <c r="N238" s="8">
        <f>+Données!K238</f>
        <v>0</v>
      </c>
      <c r="O238" s="8">
        <f>(Données!L238/Données!Y238)*1</f>
        <v>93126.5</v>
      </c>
      <c r="P238" s="464">
        <f t="shared" si="11"/>
        <v>1039363.3646128739</v>
      </c>
      <c r="Q238" s="241">
        <f>+Données!X238</f>
        <v>68.5</v>
      </c>
      <c r="R238" s="464">
        <f t="shared" si="9"/>
        <v>15173.187804567502</v>
      </c>
    </row>
    <row r="239" spans="1:18" x14ac:dyDescent="0.25">
      <c r="A239" s="7">
        <f>Données!A239</f>
        <v>5816</v>
      </c>
      <c r="B239" s="27" t="str">
        <f>Données!B239</f>
        <v>Corcelles-près-Payerne</v>
      </c>
      <c r="C239" s="8">
        <f>Données!C239+Données!D239</f>
        <v>3510187.8000000003</v>
      </c>
      <c r="D239" s="8">
        <f>+Données!G239+Données!H239+Données!S239</f>
        <v>119509.6425169742</v>
      </c>
      <c r="E239" s="8">
        <f>+Données!E239</f>
        <v>0</v>
      </c>
      <c r="F239" s="8">
        <f>+Données!I239</f>
        <v>0</v>
      </c>
      <c r="G239" s="8">
        <f>+Données!J239</f>
        <v>141840.5</v>
      </c>
      <c r="H239" s="8">
        <f>Données!U239</f>
        <v>-103745.94</v>
      </c>
      <c r="I239" s="216">
        <f>Données!V239</f>
        <v>0</v>
      </c>
      <c r="J239" s="216">
        <f>Données!W239</f>
        <v>-109.39</v>
      </c>
      <c r="K239" s="8">
        <f>+Données!Q239</f>
        <v>60788.11</v>
      </c>
      <c r="L239" s="464">
        <f t="shared" si="10"/>
        <v>3728470.7225169744</v>
      </c>
      <c r="M239" s="8">
        <f>+Données!F239</f>
        <v>0</v>
      </c>
      <c r="N239" s="8">
        <f>+Données!K239</f>
        <v>35251</v>
      </c>
      <c r="O239" s="8">
        <f>(Données!L239/Données!Y239)*1</f>
        <v>380137.92857142858</v>
      </c>
      <c r="P239" s="464">
        <f t="shared" si="11"/>
        <v>4143859.6510884031</v>
      </c>
      <c r="Q239" s="241">
        <f>+Données!X239</f>
        <v>68.5</v>
      </c>
      <c r="R239" s="464">
        <f t="shared" si="9"/>
        <v>60494.301475743108</v>
      </c>
    </row>
    <row r="240" spans="1:18" x14ac:dyDescent="0.25">
      <c r="A240" s="7">
        <f>Données!A240</f>
        <v>5817</v>
      </c>
      <c r="B240" s="27" t="str">
        <f>Données!B240</f>
        <v>Grandcour</v>
      </c>
      <c r="C240" s="8">
        <f>Données!C240+Données!D240</f>
        <v>1458255.9600000002</v>
      </c>
      <c r="D240" s="8">
        <f>+Données!G240+Données!H240+Données!S240</f>
        <v>9299.337950119505</v>
      </c>
      <c r="E240" s="8">
        <f>+Données!E240</f>
        <v>0</v>
      </c>
      <c r="F240" s="8">
        <f>+Données!I240</f>
        <v>0</v>
      </c>
      <c r="G240" s="8">
        <f>+Données!J240</f>
        <v>28493.41</v>
      </c>
      <c r="H240" s="8">
        <f>Données!U240</f>
        <v>-30557.05</v>
      </c>
      <c r="I240" s="216">
        <f>Données!V240</f>
        <v>0</v>
      </c>
      <c r="J240" s="216">
        <f>Données!W240</f>
        <v>-58.94</v>
      </c>
      <c r="K240" s="8">
        <f>+Données!Q240</f>
        <v>0</v>
      </c>
      <c r="L240" s="464">
        <f t="shared" si="10"/>
        <v>1465432.7179501196</v>
      </c>
      <c r="M240" s="8">
        <f>+Données!F240</f>
        <v>5550</v>
      </c>
      <c r="N240" s="8">
        <f>+Données!K240</f>
        <v>4565.45</v>
      </c>
      <c r="O240" s="8">
        <f>(Données!L240/Données!Y240)*1</f>
        <v>130590.9</v>
      </c>
      <c r="P240" s="464">
        <f t="shared" si="11"/>
        <v>1606139.0679501195</v>
      </c>
      <c r="Q240" s="241">
        <f>+Données!X240</f>
        <v>73.5</v>
      </c>
      <c r="R240" s="464">
        <f t="shared" si="9"/>
        <v>21852.23221700843</v>
      </c>
    </row>
    <row r="241" spans="1:18" x14ac:dyDescent="0.25">
      <c r="A241" s="7">
        <f>Données!A241</f>
        <v>5819</v>
      </c>
      <c r="B241" s="27" t="str">
        <f>Données!B241</f>
        <v>Henniez</v>
      </c>
      <c r="C241" s="8">
        <f>Données!C241+Données!D241</f>
        <v>705607.12</v>
      </c>
      <c r="D241" s="8">
        <f>+Données!G241+Données!H241+Données!S241</f>
        <v>89206.00079304578</v>
      </c>
      <c r="E241" s="8">
        <f>+Données!E241</f>
        <v>0</v>
      </c>
      <c r="F241" s="8">
        <f>+Données!I241</f>
        <v>0</v>
      </c>
      <c r="G241" s="8">
        <f>+Données!J241</f>
        <v>11764.43</v>
      </c>
      <c r="H241" s="8">
        <f>Données!U241</f>
        <v>-110582.45</v>
      </c>
      <c r="I241" s="216">
        <f>Données!V241</f>
        <v>0</v>
      </c>
      <c r="J241" s="216">
        <f>Données!W241</f>
        <v>-141.16999999999999</v>
      </c>
      <c r="K241" s="8">
        <f>+Données!Q241</f>
        <v>7342.54</v>
      </c>
      <c r="L241" s="464">
        <f t="shared" si="10"/>
        <v>703196.47079304582</v>
      </c>
      <c r="M241" s="8">
        <f>+Données!F241</f>
        <v>0</v>
      </c>
      <c r="N241" s="8">
        <f>+Données!K241</f>
        <v>2047.3</v>
      </c>
      <c r="O241" s="8">
        <f>(Données!L241/Données!Y241)*1</f>
        <v>84289.25</v>
      </c>
      <c r="P241" s="464">
        <f t="shared" si="11"/>
        <v>789533.02079304587</v>
      </c>
      <c r="Q241" s="241">
        <f>+Données!X241</f>
        <v>69</v>
      </c>
      <c r="R241" s="464">
        <f t="shared" si="9"/>
        <v>11442.507547725303</v>
      </c>
    </row>
    <row r="242" spans="1:18" x14ac:dyDescent="0.25">
      <c r="A242" s="7">
        <f>Données!A242</f>
        <v>5821</v>
      </c>
      <c r="B242" s="27" t="str">
        <f>Données!B242</f>
        <v>Missy</v>
      </c>
      <c r="C242" s="8">
        <f>Données!C242+Données!D242</f>
        <v>548107.04</v>
      </c>
      <c r="D242" s="8">
        <f>+Données!G242+Données!H242+Données!S242</f>
        <v>4285.0418077530067</v>
      </c>
      <c r="E242" s="8">
        <f>+Données!E242</f>
        <v>0</v>
      </c>
      <c r="F242" s="8">
        <f>+Données!I242</f>
        <v>0</v>
      </c>
      <c r="G242" s="8">
        <f>+Données!J242</f>
        <v>14087.59</v>
      </c>
      <c r="H242" s="8">
        <f>Données!U242</f>
        <v>-53017.08</v>
      </c>
      <c r="I242" s="216">
        <f>Données!V242</f>
        <v>0</v>
      </c>
      <c r="J242" s="216">
        <f>Données!W242</f>
        <v>-15.82</v>
      </c>
      <c r="K242" s="8">
        <f>+Données!Q242</f>
        <v>290.04000000000002</v>
      </c>
      <c r="L242" s="464">
        <f t="shared" si="10"/>
        <v>513736.81180775299</v>
      </c>
      <c r="M242" s="8">
        <f>+Données!F242</f>
        <v>0</v>
      </c>
      <c r="N242" s="8">
        <f>+Données!K242</f>
        <v>1305</v>
      </c>
      <c r="O242" s="8">
        <f>(Données!L242/Données!Y242)*1</f>
        <v>51709.8</v>
      </c>
      <c r="P242" s="464">
        <f t="shared" si="11"/>
        <v>566751.61180775298</v>
      </c>
      <c r="Q242" s="241">
        <f>+Données!X242</f>
        <v>72</v>
      </c>
      <c r="R242" s="464">
        <f t="shared" si="9"/>
        <v>7871.5501639965696</v>
      </c>
    </row>
    <row r="243" spans="1:18" x14ac:dyDescent="0.25">
      <c r="A243" s="7">
        <f>Données!A243</f>
        <v>5822</v>
      </c>
      <c r="B243" s="27" t="str">
        <f>Données!B243</f>
        <v>Payerne</v>
      </c>
      <c r="C243" s="8">
        <f>Données!C243+Données!D243</f>
        <v>14408845.66</v>
      </c>
      <c r="D243" s="8">
        <f>+Données!G243+Données!H243+Données!S243</f>
        <v>1180822.6524420301</v>
      </c>
      <c r="E243" s="8">
        <f>+Données!E243</f>
        <v>0</v>
      </c>
      <c r="F243" s="8">
        <f>+Données!I243</f>
        <v>0</v>
      </c>
      <c r="G243" s="8">
        <f>+Données!J243</f>
        <v>604941.57999999996</v>
      </c>
      <c r="H243" s="8">
        <f>Données!U243</f>
        <v>-554597.1</v>
      </c>
      <c r="I243" s="216">
        <f>Données!V243</f>
        <v>0</v>
      </c>
      <c r="J243" s="216">
        <f>Données!W243</f>
        <v>-3101.92</v>
      </c>
      <c r="K243" s="8">
        <f>+Données!Q243</f>
        <v>71942.77</v>
      </c>
      <c r="L243" s="464">
        <f t="shared" si="10"/>
        <v>15708853.642442031</v>
      </c>
      <c r="M243" s="8">
        <f>+Données!F243</f>
        <v>0</v>
      </c>
      <c r="N243" s="8">
        <f>+Données!K243</f>
        <v>190380.7</v>
      </c>
      <c r="O243" s="8">
        <f>(Données!L243/Données!Y243)*1</f>
        <v>1440447.85</v>
      </c>
      <c r="P243" s="464">
        <f t="shared" si="11"/>
        <v>17339682.19244203</v>
      </c>
      <c r="Q243" s="241">
        <f>+Données!X243</f>
        <v>73</v>
      </c>
      <c r="R243" s="464">
        <f t="shared" si="9"/>
        <v>237529.8930471511</v>
      </c>
    </row>
    <row r="244" spans="1:18" x14ac:dyDescent="0.25">
      <c r="A244" s="7">
        <f>Données!A244</f>
        <v>5827</v>
      </c>
      <c r="B244" s="27" t="str">
        <f>Données!B244</f>
        <v>Trey</v>
      </c>
      <c r="C244" s="8">
        <f>Données!C244+Données!D244</f>
        <v>417578.97</v>
      </c>
      <c r="D244" s="8">
        <f>+Données!G244+Données!H244+Données!S244</f>
        <v>20885.982505092459</v>
      </c>
      <c r="E244" s="8">
        <f>+Données!E244</f>
        <v>0</v>
      </c>
      <c r="F244" s="8">
        <f>+Données!I244</f>
        <v>0</v>
      </c>
      <c r="G244" s="8">
        <f>+Données!J244</f>
        <v>6017.26</v>
      </c>
      <c r="H244" s="8">
        <f>Données!U244</f>
        <v>-3618.99</v>
      </c>
      <c r="I244" s="216">
        <f>Données!V244</f>
        <v>0</v>
      </c>
      <c r="J244" s="216">
        <f>Données!W244</f>
        <v>0</v>
      </c>
      <c r="K244" s="8">
        <f>+Données!Q244</f>
        <v>0</v>
      </c>
      <c r="L244" s="464">
        <f t="shared" si="10"/>
        <v>440863.22250509245</v>
      </c>
      <c r="M244" s="8">
        <f>+Données!F244</f>
        <v>1610</v>
      </c>
      <c r="N244" s="8">
        <f>+Données!K244</f>
        <v>-155.65</v>
      </c>
      <c r="O244" s="8">
        <f>(Données!L244/Données!Y244)*1</f>
        <v>38030.15</v>
      </c>
      <c r="P244" s="464">
        <f t="shared" si="11"/>
        <v>480347.72250509245</v>
      </c>
      <c r="Q244" s="241">
        <f>+Données!X244</f>
        <v>78</v>
      </c>
      <c r="R244" s="464">
        <f t="shared" si="9"/>
        <v>6158.3041346806722</v>
      </c>
    </row>
    <row r="245" spans="1:18" x14ac:dyDescent="0.25">
      <c r="A245" s="7">
        <f>Données!A245</f>
        <v>5828</v>
      </c>
      <c r="B245" s="27" t="str">
        <f>Données!B245</f>
        <v>Treytorrens (Payerne)</v>
      </c>
      <c r="C245" s="8">
        <f>Données!C245+Données!D245</f>
        <v>177332.65</v>
      </c>
      <c r="D245" s="8">
        <f>+Données!G245+Données!H245+Données!S245</f>
        <v>-61.9</v>
      </c>
      <c r="E245" s="8">
        <f>+Données!E245</f>
        <v>0</v>
      </c>
      <c r="F245" s="8">
        <f>+Données!I245</f>
        <v>0</v>
      </c>
      <c r="G245" s="8">
        <f>+Données!J245</f>
        <v>275.24</v>
      </c>
      <c r="H245" s="8">
        <f>Données!U245</f>
        <v>-1731.49</v>
      </c>
      <c r="I245" s="216">
        <f>Données!V245</f>
        <v>0</v>
      </c>
      <c r="J245" s="216">
        <f>Données!W245</f>
        <v>0</v>
      </c>
      <c r="K245" s="8">
        <f>+Données!Q245</f>
        <v>0</v>
      </c>
      <c r="L245" s="464">
        <f t="shared" si="10"/>
        <v>175814.5</v>
      </c>
      <c r="M245" s="8">
        <f>+Données!F245</f>
        <v>0</v>
      </c>
      <c r="N245" s="8">
        <f>+Données!K245</f>
        <v>0</v>
      </c>
      <c r="O245" s="8">
        <f>(Données!L245/Données!Y245)*1</f>
        <v>16419.866666666665</v>
      </c>
      <c r="P245" s="464">
        <f t="shared" si="11"/>
        <v>192234.36666666667</v>
      </c>
      <c r="Q245" s="241">
        <f>+Données!X245</f>
        <v>84</v>
      </c>
      <c r="R245" s="464">
        <f t="shared" si="9"/>
        <v>2288.504365079365</v>
      </c>
    </row>
    <row r="246" spans="1:18" x14ac:dyDescent="0.25">
      <c r="A246" s="7">
        <f>Données!A246</f>
        <v>5830</v>
      </c>
      <c r="B246" s="27" t="str">
        <f>Données!B246</f>
        <v>Villarzel</v>
      </c>
      <c r="C246" s="8">
        <f>Données!C246+Données!D246</f>
        <v>893401</v>
      </c>
      <c r="D246" s="8">
        <f>+Données!G246+Données!H246+Données!S246</f>
        <v>5973.9337918450892</v>
      </c>
      <c r="E246" s="8">
        <f>+Données!E246</f>
        <v>0</v>
      </c>
      <c r="F246" s="8">
        <f>+Données!I246</f>
        <v>0</v>
      </c>
      <c r="G246" s="8">
        <f>+Données!J246</f>
        <v>10849.04</v>
      </c>
      <c r="H246" s="8">
        <f>Données!U246</f>
        <v>-18510.71</v>
      </c>
      <c r="I246" s="216">
        <f>Données!V246</f>
        <v>0</v>
      </c>
      <c r="J246" s="216">
        <f>Données!W246</f>
        <v>-182.73</v>
      </c>
      <c r="K246" s="8">
        <f>+Données!Q246</f>
        <v>9106.51</v>
      </c>
      <c r="L246" s="464">
        <f t="shared" si="10"/>
        <v>900637.04379184521</v>
      </c>
      <c r="M246" s="8">
        <f>+Données!F246</f>
        <v>0</v>
      </c>
      <c r="N246" s="8">
        <f>+Données!K246</f>
        <v>2089.6999999999998</v>
      </c>
      <c r="O246" s="8">
        <f>(Données!L246/Données!Y246)*1</f>
        <v>57415</v>
      </c>
      <c r="P246" s="464">
        <f t="shared" si="11"/>
        <v>960141.74379184516</v>
      </c>
      <c r="Q246" s="241">
        <f>+Données!X246</f>
        <v>77</v>
      </c>
      <c r="R246" s="464">
        <f t="shared" si="9"/>
        <v>12469.37329599799</v>
      </c>
    </row>
    <row r="247" spans="1:18" x14ac:dyDescent="0.25">
      <c r="A247" s="7">
        <f>Données!A247</f>
        <v>5831</v>
      </c>
      <c r="B247" s="27" t="str">
        <f>Données!B247</f>
        <v>Valbroye</v>
      </c>
      <c r="C247" s="8">
        <f>Données!C247+Données!D247</f>
        <v>5215829.9000000004</v>
      </c>
      <c r="D247" s="8">
        <f>+Données!G247+Données!H247+Données!S247</f>
        <v>69023.357244917541</v>
      </c>
      <c r="E247" s="8">
        <f>+Données!E247</f>
        <v>0</v>
      </c>
      <c r="F247" s="8">
        <f>+Données!I247</f>
        <v>0</v>
      </c>
      <c r="G247" s="8">
        <f>+Données!J247</f>
        <v>170860.28</v>
      </c>
      <c r="H247" s="8">
        <f>Données!U247</f>
        <v>-139996.24</v>
      </c>
      <c r="I247" s="216">
        <f>Données!V247</f>
        <v>0</v>
      </c>
      <c r="J247" s="216">
        <f>Données!W247</f>
        <v>-1227.58</v>
      </c>
      <c r="K247" s="8">
        <f>+Données!Q247</f>
        <v>71958.5</v>
      </c>
      <c r="L247" s="464">
        <f t="shared" si="10"/>
        <v>5386448.2172449175</v>
      </c>
      <c r="M247" s="8">
        <f>+Données!F247</f>
        <v>0</v>
      </c>
      <c r="N247" s="8">
        <f>+Données!K247</f>
        <v>24914.05</v>
      </c>
      <c r="O247" s="8">
        <f>(Données!L247/Données!Y247)*1</f>
        <v>492114.75</v>
      </c>
      <c r="P247" s="464">
        <f t="shared" si="11"/>
        <v>5903477.0172449173</v>
      </c>
      <c r="Q247" s="241">
        <f>+Données!X247</f>
        <v>70.5</v>
      </c>
      <c r="R247" s="464">
        <f t="shared" si="9"/>
        <v>83737.262655956278</v>
      </c>
    </row>
    <row r="248" spans="1:18" x14ac:dyDescent="0.25">
      <c r="A248" s="7">
        <f>Données!A248</f>
        <v>5841</v>
      </c>
      <c r="B248" s="27" t="str">
        <f>Données!B248</f>
        <v>Château-d'Oex</v>
      </c>
      <c r="C248" s="8">
        <f>Données!C248+Données!D248</f>
        <v>6996927.5999999996</v>
      </c>
      <c r="D248" s="8">
        <f>+Données!G248+Données!H248+Données!S248</f>
        <v>126229.08265992469</v>
      </c>
      <c r="E248" s="8">
        <f>+Données!E248</f>
        <v>0</v>
      </c>
      <c r="F248" s="8">
        <f>+Données!I248</f>
        <v>531790.05000000005</v>
      </c>
      <c r="G248" s="8">
        <f>+Données!J248</f>
        <v>282488.05</v>
      </c>
      <c r="H248" s="8">
        <f>Données!U248</f>
        <v>-109064.02</v>
      </c>
      <c r="I248" s="216">
        <f>Données!V248</f>
        <v>0</v>
      </c>
      <c r="J248" s="216">
        <f>Données!W248</f>
        <v>-14091.22</v>
      </c>
      <c r="K248" s="8">
        <f>+Données!Q248</f>
        <v>15481.08</v>
      </c>
      <c r="L248" s="464">
        <f t="shared" si="10"/>
        <v>7829760.6226599244</v>
      </c>
      <c r="M248" s="8">
        <f>+Données!F248</f>
        <v>0</v>
      </c>
      <c r="N248" s="8">
        <f>+Données!K248</f>
        <v>23768.85</v>
      </c>
      <c r="O248" s="8">
        <f>(Données!L248/Données!Y248)*1</f>
        <v>999619.1</v>
      </c>
      <c r="P248" s="464">
        <f t="shared" si="11"/>
        <v>8853148.5726599246</v>
      </c>
      <c r="Q248" s="241">
        <f>+Données!X248</f>
        <v>81.5</v>
      </c>
      <c r="R248" s="464">
        <f t="shared" si="9"/>
        <v>108627.58984858803</v>
      </c>
    </row>
    <row r="249" spans="1:18" x14ac:dyDescent="0.25">
      <c r="A249" s="7">
        <f>Données!A249</f>
        <v>5842</v>
      </c>
      <c r="B249" s="27" t="str">
        <f>Données!B249</f>
        <v>Rossinière</v>
      </c>
      <c r="C249" s="8">
        <f>Données!C249+Données!D249</f>
        <v>1035255.21</v>
      </c>
      <c r="D249" s="8">
        <f>+Données!G249+Données!H249+Données!S249</f>
        <v>21028.846514930156</v>
      </c>
      <c r="E249" s="8">
        <f>+Données!E249</f>
        <v>0</v>
      </c>
      <c r="F249" s="8">
        <f>+Données!I249</f>
        <v>0</v>
      </c>
      <c r="G249" s="8">
        <f>+Données!J249</f>
        <v>22435.73</v>
      </c>
      <c r="H249" s="8">
        <f>Données!U249</f>
        <v>-216.64</v>
      </c>
      <c r="I249" s="216">
        <f>Données!V249</f>
        <v>0</v>
      </c>
      <c r="J249" s="216">
        <f>Données!W249</f>
        <v>-1530.31</v>
      </c>
      <c r="K249" s="8">
        <f>+Données!Q249</f>
        <v>143.91999999999999</v>
      </c>
      <c r="L249" s="464">
        <f t="shared" si="10"/>
        <v>1077116.7565149302</v>
      </c>
      <c r="M249" s="8">
        <f>+Données!F249</f>
        <v>0</v>
      </c>
      <c r="N249" s="8">
        <f>+Données!K249</f>
        <v>916.35</v>
      </c>
      <c r="O249" s="8">
        <f>(Données!L249/Données!Y249)*1</f>
        <v>96854.733333333337</v>
      </c>
      <c r="P249" s="464">
        <f t="shared" si="11"/>
        <v>1174887.8398482637</v>
      </c>
      <c r="Q249" s="241">
        <f>+Données!X249</f>
        <v>81</v>
      </c>
      <c r="R249" s="464">
        <f t="shared" si="9"/>
        <v>14504.788146274859</v>
      </c>
    </row>
    <row r="250" spans="1:18" x14ac:dyDescent="0.25">
      <c r="A250" s="7">
        <f>Données!A250</f>
        <v>5843</v>
      </c>
      <c r="B250" s="27" t="str">
        <f>Données!B250</f>
        <v>Rougemont</v>
      </c>
      <c r="C250" s="8">
        <f>Données!C250+Données!D250</f>
        <v>5217404.0299999993</v>
      </c>
      <c r="D250" s="8">
        <f>+Données!G250+Données!H250+Données!S250</f>
        <v>59338.418241342937</v>
      </c>
      <c r="E250" s="8">
        <f>+Données!E250</f>
        <v>0</v>
      </c>
      <c r="F250" s="8">
        <f>+Données!I250</f>
        <v>1271760.1000000001</v>
      </c>
      <c r="G250" s="8">
        <f>+Données!J250</f>
        <v>95400.23</v>
      </c>
      <c r="H250" s="8">
        <f>Données!U250</f>
        <v>-8788.98</v>
      </c>
      <c r="I250" s="216">
        <f>Données!V250</f>
        <v>0</v>
      </c>
      <c r="J250" s="216">
        <f>Données!W250</f>
        <v>-29770.84</v>
      </c>
      <c r="K250" s="8">
        <f>+Données!Q250</f>
        <v>0</v>
      </c>
      <c r="L250" s="464">
        <f t="shared" si="10"/>
        <v>6605342.9582413416</v>
      </c>
      <c r="M250" s="8">
        <f>+Données!F250</f>
        <v>0</v>
      </c>
      <c r="N250" s="8">
        <f>+Données!K250</f>
        <v>33861.050000000003</v>
      </c>
      <c r="O250" s="8">
        <f>(Données!L250/Données!Y250)*1</f>
        <v>794321.79999999993</v>
      </c>
      <c r="P250" s="464">
        <f t="shared" si="11"/>
        <v>7433525.8082413413</v>
      </c>
      <c r="Q250" s="241">
        <f>+Données!X250</f>
        <v>74</v>
      </c>
      <c r="R250" s="464">
        <f t="shared" si="9"/>
        <v>100453.05146272083</v>
      </c>
    </row>
    <row r="251" spans="1:18" x14ac:dyDescent="0.25">
      <c r="A251" s="7">
        <f>Données!A251</f>
        <v>5851</v>
      </c>
      <c r="B251" s="27" t="str">
        <f>Données!B251</f>
        <v>Allaman</v>
      </c>
      <c r="C251" s="8">
        <f>Données!C251+Données!D251</f>
        <v>967797.86</v>
      </c>
      <c r="D251" s="8">
        <f>+Données!G251+Données!H251+Données!S251</f>
        <v>103785.26750643678</v>
      </c>
      <c r="E251" s="8">
        <f>+Données!E251</f>
        <v>0</v>
      </c>
      <c r="F251" s="8">
        <f>+Données!I251</f>
        <v>137387.79999999999</v>
      </c>
      <c r="G251" s="8">
        <f>+Données!J251</f>
        <v>29560.63</v>
      </c>
      <c r="H251" s="8">
        <f>Données!U251</f>
        <v>-32697.91</v>
      </c>
      <c r="I251" s="216">
        <f>Données!V251</f>
        <v>0</v>
      </c>
      <c r="J251" s="216">
        <f>Données!W251</f>
        <v>-498.12</v>
      </c>
      <c r="K251" s="8">
        <f>+Données!Q251</f>
        <v>0</v>
      </c>
      <c r="L251" s="464">
        <f t="shared" si="10"/>
        <v>1205335.5275064367</v>
      </c>
      <c r="M251" s="8">
        <f>+Données!F251</f>
        <v>0</v>
      </c>
      <c r="N251" s="8">
        <f>+Données!K251</f>
        <v>29978.65</v>
      </c>
      <c r="O251" s="8">
        <f>(Données!L251/Données!Y251)*1</f>
        <v>221474.72727272726</v>
      </c>
      <c r="P251" s="464">
        <f t="shared" si="11"/>
        <v>1456788.9047791639</v>
      </c>
      <c r="Q251" s="241">
        <f>+Données!X251</f>
        <v>60</v>
      </c>
      <c r="R251" s="464">
        <f t="shared" si="9"/>
        <v>24279.81507965273</v>
      </c>
    </row>
    <row r="252" spans="1:18" x14ac:dyDescent="0.25">
      <c r="A252" s="7">
        <f>Données!A252</f>
        <v>5852</v>
      </c>
      <c r="B252" s="27" t="str">
        <f>Données!B252</f>
        <v>Bursinel</v>
      </c>
      <c r="C252" s="8">
        <f>Données!C252+Données!D252</f>
        <v>2336894.7999999998</v>
      </c>
      <c r="D252" s="8">
        <f>+Données!G252+Données!H252+Données!S252</f>
        <v>14903.318744929078</v>
      </c>
      <c r="E252" s="8">
        <f>+Données!E252</f>
        <v>0</v>
      </c>
      <c r="F252" s="8">
        <f>+Données!I252</f>
        <v>207092.4</v>
      </c>
      <c r="G252" s="8">
        <f>+Données!J252</f>
        <v>-64794.71</v>
      </c>
      <c r="H252" s="8">
        <f>Données!U252</f>
        <v>-19184.080000000002</v>
      </c>
      <c r="I252" s="216">
        <f>Données!V252</f>
        <v>0</v>
      </c>
      <c r="J252" s="216">
        <f>Données!W252</f>
        <v>-2256.67</v>
      </c>
      <c r="K252" s="8">
        <f>+Données!Q252</f>
        <v>0</v>
      </c>
      <c r="L252" s="464">
        <f t="shared" si="10"/>
        <v>2472655.0587449288</v>
      </c>
      <c r="M252" s="8">
        <f>+Données!F252</f>
        <v>0</v>
      </c>
      <c r="N252" s="8">
        <f>+Données!K252</f>
        <v>7344.35</v>
      </c>
      <c r="O252" s="8">
        <f>(Données!L252/Données!Y252)*1</f>
        <v>185961.33333333334</v>
      </c>
      <c r="P252" s="464">
        <f t="shared" si="11"/>
        <v>2665960.7420782624</v>
      </c>
      <c r="Q252" s="241">
        <f>+Données!X252</f>
        <v>65.5</v>
      </c>
      <c r="R252" s="464">
        <f t="shared" si="9"/>
        <v>40701.690718752099</v>
      </c>
    </row>
    <row r="253" spans="1:18" x14ac:dyDescent="0.25">
      <c r="A253" s="7">
        <f>Données!A253</f>
        <v>5853</v>
      </c>
      <c r="B253" s="27" t="str">
        <f>Données!B253</f>
        <v>Bursins</v>
      </c>
      <c r="C253" s="8">
        <f>Données!C253+Données!D253</f>
        <v>2527880.35</v>
      </c>
      <c r="D253" s="8">
        <f>+Données!G253+Données!H253+Données!S253</f>
        <v>66664.563729684131</v>
      </c>
      <c r="E253" s="8">
        <f>+Données!E253</f>
        <v>0</v>
      </c>
      <c r="F253" s="8">
        <f>+Données!I253</f>
        <v>192967.04000000001</v>
      </c>
      <c r="G253" s="8">
        <f>+Données!J253</f>
        <v>84796</v>
      </c>
      <c r="H253" s="8">
        <f>Données!U253</f>
        <v>-116166.46</v>
      </c>
      <c r="I253" s="216">
        <f>Données!V253</f>
        <v>0</v>
      </c>
      <c r="J253" s="216">
        <f>Données!W253</f>
        <v>-1408.33</v>
      </c>
      <c r="K253" s="8">
        <f>+Données!Q253</f>
        <v>684.76</v>
      </c>
      <c r="L253" s="464">
        <f t="shared" si="10"/>
        <v>2755417.9237296842</v>
      </c>
      <c r="M253" s="8">
        <f>+Données!F253</f>
        <v>0</v>
      </c>
      <c r="N253" s="8">
        <f>+Données!K253</f>
        <v>15561.65</v>
      </c>
      <c r="O253" s="8">
        <f>(Données!L253/Données!Y253)*1</f>
        <v>210822.3</v>
      </c>
      <c r="P253" s="464">
        <f t="shared" si="11"/>
        <v>2981801.8737296839</v>
      </c>
      <c r="Q253" s="241">
        <f>+Données!X253</f>
        <v>71</v>
      </c>
      <c r="R253" s="464">
        <f t="shared" si="9"/>
        <v>41997.209489150475</v>
      </c>
    </row>
    <row r="254" spans="1:18" x14ac:dyDescent="0.25">
      <c r="A254" s="7">
        <f>Données!A254</f>
        <v>5854</v>
      </c>
      <c r="B254" s="27" t="str">
        <f>Données!B254</f>
        <v>Burtigny</v>
      </c>
      <c r="C254" s="8">
        <f>Données!C254+Données!D254</f>
        <v>787618.16</v>
      </c>
      <c r="D254" s="8">
        <f>+Données!G254+Données!H254+Données!S254</f>
        <v>7.3573317902571009</v>
      </c>
      <c r="E254" s="8">
        <f>+Données!E254</f>
        <v>0</v>
      </c>
      <c r="F254" s="8">
        <f>+Données!I254</f>
        <v>0</v>
      </c>
      <c r="G254" s="8">
        <f>+Données!J254</f>
        <v>4608.1000000000004</v>
      </c>
      <c r="H254" s="8">
        <f>Données!U254</f>
        <v>-6688.48</v>
      </c>
      <c r="I254" s="216">
        <f>Données!V254</f>
        <v>0</v>
      </c>
      <c r="J254" s="216">
        <f>Données!W254</f>
        <v>-393.73</v>
      </c>
      <c r="K254" s="8">
        <f>+Données!Q254</f>
        <v>745.3</v>
      </c>
      <c r="L254" s="464">
        <f t="shared" si="10"/>
        <v>785896.70733179036</v>
      </c>
      <c r="M254" s="8">
        <f>+Données!F254</f>
        <v>0</v>
      </c>
      <c r="N254" s="8">
        <f>+Données!K254</f>
        <v>2031.9</v>
      </c>
      <c r="O254" s="8">
        <f>(Données!L254/Données!Y254)*1</f>
        <v>74702.766666666663</v>
      </c>
      <c r="P254" s="464">
        <f t="shared" si="11"/>
        <v>862631.3739984571</v>
      </c>
      <c r="Q254" s="241">
        <f>+Données!X254</f>
        <v>80</v>
      </c>
      <c r="R254" s="464">
        <f t="shared" si="9"/>
        <v>10782.892174980714</v>
      </c>
    </row>
    <row r="255" spans="1:18" x14ac:dyDescent="0.25">
      <c r="A255" s="7">
        <f>Données!A255</f>
        <v>5855</v>
      </c>
      <c r="B255" s="27" t="str">
        <f>Données!B255</f>
        <v>Dully</v>
      </c>
      <c r="C255" s="8">
        <f>Données!C255+Données!D255</f>
        <v>3394557.16</v>
      </c>
      <c r="D255" s="8">
        <f>+Données!G255+Données!H255+Données!S255</f>
        <v>68328.638445349367</v>
      </c>
      <c r="E255" s="8">
        <f>+Données!E255</f>
        <v>0</v>
      </c>
      <c r="F255" s="8">
        <f>+Données!I255</f>
        <v>624296.19999999995</v>
      </c>
      <c r="G255" s="8">
        <f>+Données!J255</f>
        <v>20299.87</v>
      </c>
      <c r="H255" s="8">
        <f>Données!U255</f>
        <v>-16694.16</v>
      </c>
      <c r="I255" s="216">
        <f>Données!V255</f>
        <v>0</v>
      </c>
      <c r="J255" s="216">
        <f>Données!W255</f>
        <v>-19267.39</v>
      </c>
      <c r="K255" s="8">
        <f>+Données!Q255</f>
        <v>13553.69</v>
      </c>
      <c r="L255" s="464">
        <f t="shared" si="10"/>
        <v>4085074.0084453495</v>
      </c>
      <c r="M255" s="8">
        <f>+Données!F255</f>
        <v>0</v>
      </c>
      <c r="N255" s="8">
        <f>+Données!K255</f>
        <v>12031</v>
      </c>
      <c r="O255" s="8">
        <f>(Données!L255/Données!Y255)*1</f>
        <v>711303.4</v>
      </c>
      <c r="P255" s="464">
        <f t="shared" si="11"/>
        <v>4808408.4084453499</v>
      </c>
      <c r="Q255" s="241">
        <f>+Données!X255</f>
        <v>49</v>
      </c>
      <c r="R255" s="464">
        <f t="shared" si="9"/>
        <v>98130.783845823462</v>
      </c>
    </row>
    <row r="256" spans="1:18" x14ac:dyDescent="0.25">
      <c r="A256" s="7">
        <f>Données!A256</f>
        <v>5856</v>
      </c>
      <c r="B256" s="27" t="str">
        <f>Données!B256</f>
        <v>Essertines-sur-Rolle</v>
      </c>
      <c r="C256" s="8">
        <f>Données!C256+Données!D256</f>
        <v>1935598.13</v>
      </c>
      <c r="D256" s="8">
        <f>+Données!G256+Données!H256+Données!S256</f>
        <v>1571.5590136758019</v>
      </c>
      <c r="E256" s="8">
        <f>+Données!E256</f>
        <v>0</v>
      </c>
      <c r="F256" s="8">
        <f>+Données!I256</f>
        <v>246810.25</v>
      </c>
      <c r="G256" s="8">
        <f>+Données!J256</f>
        <v>19297.080000000002</v>
      </c>
      <c r="H256" s="8">
        <f>Données!U256</f>
        <v>-16746.740000000002</v>
      </c>
      <c r="I256" s="216">
        <f>Données!V256</f>
        <v>0</v>
      </c>
      <c r="J256" s="216">
        <f>Données!W256</f>
        <v>-1487.96</v>
      </c>
      <c r="K256" s="8">
        <f>+Données!Q256</f>
        <v>0</v>
      </c>
      <c r="L256" s="464">
        <f t="shared" si="10"/>
        <v>2185042.3190136757</v>
      </c>
      <c r="M256" s="8">
        <f>+Données!F256</f>
        <v>0</v>
      </c>
      <c r="N256" s="8">
        <f>+Données!K256</f>
        <v>974.25</v>
      </c>
      <c r="O256" s="8">
        <f>(Données!L256/Données!Y256)*1</f>
        <v>188776.80769230769</v>
      </c>
      <c r="P256" s="464">
        <f t="shared" si="11"/>
        <v>2374793.3767059832</v>
      </c>
      <c r="Q256" s="241">
        <f>+Données!X256</f>
        <v>66.5</v>
      </c>
      <c r="R256" s="464">
        <f t="shared" si="9"/>
        <v>35711.178597082457</v>
      </c>
    </row>
    <row r="257" spans="1:18" x14ac:dyDescent="0.25">
      <c r="A257" s="7">
        <f>Données!A257</f>
        <v>5857</v>
      </c>
      <c r="B257" s="27" t="str">
        <f>Données!B257</f>
        <v>Gilly</v>
      </c>
      <c r="C257" s="8">
        <f>Données!C257+Données!D257</f>
        <v>4851683.63</v>
      </c>
      <c r="D257" s="8">
        <f>+Données!G257+Données!H257+Données!S257</f>
        <v>-5455.4999999999991</v>
      </c>
      <c r="E257" s="8">
        <f>+Données!E257</f>
        <v>0</v>
      </c>
      <c r="F257" s="8">
        <f>+Données!I257</f>
        <v>0</v>
      </c>
      <c r="G257" s="8">
        <f>+Données!J257</f>
        <v>44842.03</v>
      </c>
      <c r="H257" s="8">
        <f>Données!U257</f>
        <v>-20777.62</v>
      </c>
      <c r="I257" s="216">
        <f>Données!V257</f>
        <v>0</v>
      </c>
      <c r="J257" s="216">
        <f>Données!W257</f>
        <v>-1154.3499999999999</v>
      </c>
      <c r="K257" s="8">
        <f>+Données!Q257</f>
        <v>1.81</v>
      </c>
      <c r="L257" s="464">
        <f t="shared" si="10"/>
        <v>4869140</v>
      </c>
      <c r="M257" s="8">
        <f>+Données!F257</f>
        <v>0</v>
      </c>
      <c r="N257" s="8">
        <f>+Données!K257</f>
        <v>12376.1</v>
      </c>
      <c r="O257" s="8">
        <f>(Données!L257/Données!Y257)*1</f>
        <v>416421.6</v>
      </c>
      <c r="P257" s="464">
        <f t="shared" si="11"/>
        <v>5297937.6999999993</v>
      </c>
      <c r="Q257" s="241">
        <f>+Données!X257</f>
        <v>64.5</v>
      </c>
      <c r="R257" s="464">
        <f t="shared" si="9"/>
        <v>82138.568992248052</v>
      </c>
    </row>
    <row r="258" spans="1:18" x14ac:dyDescent="0.25">
      <c r="A258" s="7">
        <f>Données!A258</f>
        <v>5858</v>
      </c>
      <c r="B258" s="27" t="str">
        <f>Données!B258</f>
        <v>Luins</v>
      </c>
      <c r="C258" s="8">
        <f>Données!C258+Données!D258</f>
        <v>1993778.2799999998</v>
      </c>
      <c r="D258" s="8">
        <f>+Données!G258+Données!H258+Données!S258</f>
        <v>38939.611892780034</v>
      </c>
      <c r="E258" s="8">
        <f>+Données!E258</f>
        <v>0</v>
      </c>
      <c r="F258" s="8">
        <f>+Données!I258</f>
        <v>176046.84</v>
      </c>
      <c r="G258" s="8">
        <f>+Données!J258</f>
        <v>34452.339999999997</v>
      </c>
      <c r="H258" s="8">
        <f>Données!U258</f>
        <v>-41048.5</v>
      </c>
      <c r="I258" s="216">
        <f>Données!V258</f>
        <v>0</v>
      </c>
      <c r="J258" s="216">
        <f>Données!W258</f>
        <v>-4349.6899999999996</v>
      </c>
      <c r="K258" s="8">
        <f>+Données!Q258</f>
        <v>1660.35</v>
      </c>
      <c r="L258" s="464">
        <f t="shared" si="10"/>
        <v>2199479.2318927799</v>
      </c>
      <c r="M258" s="8">
        <f>+Données!F258</f>
        <v>0</v>
      </c>
      <c r="N258" s="8">
        <f>+Données!K258</f>
        <v>1071.1500000000001</v>
      </c>
      <c r="O258" s="8">
        <f>(Données!L258/Données!Y258)*1</f>
        <v>155679.86666666667</v>
      </c>
      <c r="P258" s="464">
        <f t="shared" si="11"/>
        <v>2356230.2485594465</v>
      </c>
      <c r="Q258" s="241">
        <f>+Données!X258</f>
        <v>58.5</v>
      </c>
      <c r="R258" s="464">
        <f t="shared" si="9"/>
        <v>40277.440146315326</v>
      </c>
    </row>
    <row r="259" spans="1:18" x14ac:dyDescent="0.25">
      <c r="A259" s="7">
        <f>Données!A259</f>
        <v>5859</v>
      </c>
      <c r="B259" s="27" t="str">
        <f>Données!B259</f>
        <v>Mont-sur-Rolle</v>
      </c>
      <c r="C259" s="8">
        <f>Données!C259+Données!D259</f>
        <v>8159276.6799999997</v>
      </c>
      <c r="D259" s="8">
        <f>+Données!G259+Données!H259+Données!S259</f>
        <v>80213.694181516737</v>
      </c>
      <c r="E259" s="8">
        <f>+Données!E259</f>
        <v>0</v>
      </c>
      <c r="F259" s="8">
        <f>+Données!I259</f>
        <v>325204.3</v>
      </c>
      <c r="G259" s="8">
        <f>+Données!J259</f>
        <v>116484.27</v>
      </c>
      <c r="H259" s="8">
        <f>Données!U259</f>
        <v>-59061.15</v>
      </c>
      <c r="I259" s="216">
        <f>Données!V259</f>
        <v>0</v>
      </c>
      <c r="J259" s="216">
        <f>Données!W259</f>
        <v>-20714.57</v>
      </c>
      <c r="K259" s="8">
        <f>+Données!Q259</f>
        <v>9685.19</v>
      </c>
      <c r="L259" s="464">
        <f t="shared" si="10"/>
        <v>8611088.4141815156</v>
      </c>
      <c r="M259" s="8">
        <f>+Données!F259</f>
        <v>0</v>
      </c>
      <c r="N259" s="8">
        <f>+Données!K259</f>
        <v>23121.5</v>
      </c>
      <c r="O259" s="8">
        <f>(Données!L259/Données!Y259)*1</f>
        <v>664772.1</v>
      </c>
      <c r="P259" s="464">
        <f t="shared" si="11"/>
        <v>9298982.0141815152</v>
      </c>
      <c r="Q259" s="241">
        <f>+Données!X259</f>
        <v>63.5</v>
      </c>
      <c r="R259" s="464">
        <f t="shared" si="9"/>
        <v>146440.66164065379</v>
      </c>
    </row>
    <row r="260" spans="1:18" x14ac:dyDescent="0.25">
      <c r="A260" s="7">
        <f>Données!A260</f>
        <v>5860</v>
      </c>
      <c r="B260" s="27" t="str">
        <f>Données!B260</f>
        <v>Perroy</v>
      </c>
      <c r="C260" s="8">
        <f>Données!C260+Données!D260</f>
        <v>5278211.3600000003</v>
      </c>
      <c r="D260" s="8">
        <f>+Données!G260+Données!H260+Données!S260</f>
        <v>171151.46812379034</v>
      </c>
      <c r="E260" s="8">
        <f>+Données!E260</f>
        <v>0</v>
      </c>
      <c r="F260" s="8">
        <f>+Données!I260</f>
        <v>494034.2</v>
      </c>
      <c r="G260" s="8">
        <f>+Données!J260</f>
        <v>66967.210000000006</v>
      </c>
      <c r="H260" s="8">
        <f>Données!U260</f>
        <v>-96821.82</v>
      </c>
      <c r="I260" s="216">
        <f>Données!V260</f>
        <v>0</v>
      </c>
      <c r="J260" s="216">
        <f>Données!W260</f>
        <v>-17501.400000000001</v>
      </c>
      <c r="K260" s="8">
        <f>+Données!Q260</f>
        <v>3443.13</v>
      </c>
      <c r="L260" s="464">
        <f t="shared" si="10"/>
        <v>5899484.1481237905</v>
      </c>
      <c r="M260" s="8">
        <f>+Données!F260</f>
        <v>0</v>
      </c>
      <c r="N260" s="8">
        <f>+Données!K260</f>
        <v>28394.799999999999</v>
      </c>
      <c r="O260" s="8">
        <f>(Données!L260/Données!Y260)*1</f>
        <v>518486.76923076925</v>
      </c>
      <c r="P260" s="464">
        <f t="shared" si="11"/>
        <v>6446365.7173545593</v>
      </c>
      <c r="Q260" s="241">
        <f>+Données!X260</f>
        <v>58.5</v>
      </c>
      <c r="R260" s="464">
        <f t="shared" si="9"/>
        <v>110194.28576674461</v>
      </c>
    </row>
    <row r="261" spans="1:18" x14ac:dyDescent="0.25">
      <c r="A261" s="7">
        <f>Données!A261</f>
        <v>5861</v>
      </c>
      <c r="B261" s="27" t="str">
        <f>Données!B261</f>
        <v>Rolle</v>
      </c>
      <c r="C261" s="8">
        <f>Données!C261+Données!D261</f>
        <v>17270682.050000001</v>
      </c>
      <c r="D261" s="8">
        <f>+Données!G261+Données!H261+Données!S261</f>
        <v>18191854.206216782</v>
      </c>
      <c r="E261" s="8">
        <f>+Données!E261</f>
        <v>0</v>
      </c>
      <c r="F261" s="8">
        <f>+Données!I261</f>
        <v>278867.45</v>
      </c>
      <c r="G261" s="8">
        <f>+Données!J261</f>
        <v>2067650.94</v>
      </c>
      <c r="H261" s="8">
        <f>Données!U261</f>
        <v>-203108.18</v>
      </c>
      <c r="I261" s="216">
        <f>Données!V261</f>
        <v>0</v>
      </c>
      <c r="J261" s="216">
        <f>Données!W261</f>
        <v>-134280.85</v>
      </c>
      <c r="K261" s="8">
        <f>+Données!Q261</f>
        <v>33825.89</v>
      </c>
      <c r="L261" s="464">
        <f t="shared" si="10"/>
        <v>37505491.506216779</v>
      </c>
      <c r="M261" s="8">
        <f>+Données!F261</f>
        <v>0</v>
      </c>
      <c r="N261" s="8">
        <f>+Données!K261</f>
        <v>146593.04999999999</v>
      </c>
      <c r="O261" s="8">
        <f>(Données!L261/Données!Y261)*1</f>
        <v>1845516.8</v>
      </c>
      <c r="P261" s="464">
        <f t="shared" si="11"/>
        <v>39497601.356216773</v>
      </c>
      <c r="Q261" s="241">
        <f>+Données!X261</f>
        <v>59.5</v>
      </c>
      <c r="R261" s="464">
        <f t="shared" si="9"/>
        <v>663825.23287759279</v>
      </c>
    </row>
    <row r="262" spans="1:18" x14ac:dyDescent="0.25">
      <c r="A262" s="7">
        <f>Données!A262</f>
        <v>5862</v>
      </c>
      <c r="B262" s="27" t="str">
        <f>Données!B262</f>
        <v>Tartegnin</v>
      </c>
      <c r="C262" s="8">
        <f>Données!C262+Données!D262</f>
        <v>592947.36</v>
      </c>
      <c r="D262" s="8">
        <f>+Données!G262+Données!H262+Données!S262</f>
        <v>9801.0640538462121</v>
      </c>
      <c r="E262" s="8">
        <f>+Données!E262</f>
        <v>0</v>
      </c>
      <c r="F262" s="8">
        <f>+Données!I262</f>
        <v>0</v>
      </c>
      <c r="G262" s="8">
        <f>+Données!J262</f>
        <v>-535.36</v>
      </c>
      <c r="H262" s="8">
        <f>Données!U262</f>
        <v>-12404.54</v>
      </c>
      <c r="I262" s="216">
        <f>Données!V262</f>
        <v>0</v>
      </c>
      <c r="J262" s="216">
        <f>Données!W262</f>
        <v>-43.81</v>
      </c>
      <c r="K262" s="8">
        <f>+Données!Q262</f>
        <v>0.49</v>
      </c>
      <c r="L262" s="464">
        <f t="shared" si="10"/>
        <v>589765.20405384607</v>
      </c>
      <c r="M262" s="8">
        <f>+Données!F262</f>
        <v>0</v>
      </c>
      <c r="N262" s="8">
        <f>+Données!K262</f>
        <v>0</v>
      </c>
      <c r="O262" s="8">
        <f>(Données!L262/Données!Y262)*1</f>
        <v>49658.5</v>
      </c>
      <c r="P262" s="464">
        <f t="shared" si="11"/>
        <v>639423.70405384607</v>
      </c>
      <c r="Q262" s="241">
        <f>+Données!X262</f>
        <v>79</v>
      </c>
      <c r="R262" s="464">
        <f t="shared" ref="R262:R305" si="12">P262/Q262</f>
        <v>8093.970937390457</v>
      </c>
    </row>
    <row r="263" spans="1:18" x14ac:dyDescent="0.25">
      <c r="A263" s="7">
        <f>Données!A263</f>
        <v>5863</v>
      </c>
      <c r="B263" s="27" t="str">
        <f>Données!B263</f>
        <v>Vinzel</v>
      </c>
      <c r="C263" s="8">
        <f>Données!C263+Données!D263</f>
        <v>1248388.8900000001</v>
      </c>
      <c r="D263" s="8">
        <f>+Données!G263+Données!H263+Données!S263</f>
        <v>38654.213305871373</v>
      </c>
      <c r="E263" s="8">
        <f>+Données!E263</f>
        <v>0</v>
      </c>
      <c r="F263" s="8">
        <f>+Données!I263</f>
        <v>42786.85</v>
      </c>
      <c r="G263" s="8">
        <f>+Données!J263</f>
        <v>55477.87</v>
      </c>
      <c r="H263" s="8">
        <f>Données!U263</f>
        <v>-1184.92</v>
      </c>
      <c r="I263" s="216">
        <f>Données!V263</f>
        <v>0</v>
      </c>
      <c r="J263" s="216">
        <f>Données!W263</f>
        <v>-2163.7399999999998</v>
      </c>
      <c r="K263" s="8">
        <f>+Données!Q263</f>
        <v>0</v>
      </c>
      <c r="L263" s="464">
        <f t="shared" ref="L263:L305" si="13">SUM(C263:K263)</f>
        <v>1381959.1633058719</v>
      </c>
      <c r="M263" s="8">
        <f>+Données!F263</f>
        <v>0</v>
      </c>
      <c r="N263" s="8">
        <f>+Données!K263</f>
        <v>2606.4</v>
      </c>
      <c r="O263" s="8">
        <f>(Données!L263/Données!Y263)*1</f>
        <v>84223.3</v>
      </c>
      <c r="P263" s="464">
        <f t="shared" ref="P263:P305" si="14">SUM(L263:O263)</f>
        <v>1468788.8633058718</v>
      </c>
      <c r="Q263" s="241">
        <f>+Données!X263</f>
        <v>67</v>
      </c>
      <c r="R263" s="464">
        <f t="shared" si="12"/>
        <v>21922.221840386148</v>
      </c>
    </row>
    <row r="264" spans="1:18" x14ac:dyDescent="0.25">
      <c r="A264" s="7">
        <f>Données!A264</f>
        <v>5871</v>
      </c>
      <c r="B264" s="27" t="str">
        <f>Données!B264</f>
        <v>L'Abbaye</v>
      </c>
      <c r="C264" s="8">
        <f>Données!C264+Données!D264</f>
        <v>3410023.33</v>
      </c>
      <c r="D264" s="8">
        <f>+Données!G264+Données!H264+Données!S264</f>
        <v>114025.84977655922</v>
      </c>
      <c r="E264" s="8">
        <f>+Données!E264</f>
        <v>0</v>
      </c>
      <c r="F264" s="8">
        <f>+Données!I264</f>
        <v>0</v>
      </c>
      <c r="G264" s="8">
        <f>+Données!J264</f>
        <v>80648.320000000007</v>
      </c>
      <c r="H264" s="8">
        <f>Données!U264</f>
        <v>-42701.279999999999</v>
      </c>
      <c r="I264" s="216">
        <f>Données!V264</f>
        <v>0</v>
      </c>
      <c r="J264" s="216">
        <f>Données!W264</f>
        <v>-437.59</v>
      </c>
      <c r="K264" s="8">
        <f>+Données!Q264</f>
        <v>28.04</v>
      </c>
      <c r="L264" s="464">
        <f t="shared" si="13"/>
        <v>3561586.6697765593</v>
      </c>
      <c r="M264" s="8">
        <f>+Données!F264</f>
        <v>0</v>
      </c>
      <c r="N264" s="8">
        <f>+Données!K264</f>
        <v>4789.3500000000004</v>
      </c>
      <c r="O264" s="8">
        <f>(Données!L264/Données!Y264)*1</f>
        <v>271625.09999999998</v>
      </c>
      <c r="P264" s="464">
        <f t="shared" si="14"/>
        <v>3838001.1197765595</v>
      </c>
      <c r="Q264" s="241">
        <f>+Données!X264</f>
        <v>77.56</v>
      </c>
      <c r="R264" s="464">
        <f t="shared" si="12"/>
        <v>49484.284679945325</v>
      </c>
    </row>
    <row r="265" spans="1:18" x14ac:dyDescent="0.25">
      <c r="A265" s="7">
        <f>Données!A265</f>
        <v>5872</v>
      </c>
      <c r="B265" s="27" t="str">
        <f>Données!B265</f>
        <v>Le Chenit</v>
      </c>
      <c r="C265" s="8">
        <f>Données!C265+Données!D265</f>
        <v>8076139.1099999994</v>
      </c>
      <c r="D265" s="8">
        <f>+Données!G265+Données!H265+Données!S265</f>
        <v>6544502.3393223174</v>
      </c>
      <c r="E265" s="8">
        <f>+Données!E265</f>
        <v>0</v>
      </c>
      <c r="F265" s="8">
        <f>+Données!I265</f>
        <v>0</v>
      </c>
      <c r="G265" s="8">
        <f>+Données!J265</f>
        <v>373594.06</v>
      </c>
      <c r="H265" s="8">
        <f>Données!U265</f>
        <v>-119434.9</v>
      </c>
      <c r="I265" s="216">
        <f>Données!V265</f>
        <v>0</v>
      </c>
      <c r="J265" s="216">
        <f>Données!W265</f>
        <v>-22558.400000000001</v>
      </c>
      <c r="K265" s="8">
        <f>+Données!Q265</f>
        <v>6153.84</v>
      </c>
      <c r="L265" s="464">
        <f t="shared" si="13"/>
        <v>14858396.049322316</v>
      </c>
      <c r="M265" s="8">
        <f>+Données!F265</f>
        <v>0</v>
      </c>
      <c r="N265" s="8">
        <f>+Données!K265</f>
        <v>67449.3</v>
      </c>
      <c r="O265" s="8">
        <f>(Données!L265/Données!Y265)*1</f>
        <v>747071</v>
      </c>
      <c r="P265" s="464">
        <f t="shared" si="14"/>
        <v>15672916.349322317</v>
      </c>
      <c r="Q265" s="241">
        <f>+Données!X265</f>
        <v>66.95</v>
      </c>
      <c r="R265" s="464">
        <f t="shared" si="12"/>
        <v>234098.82523259622</v>
      </c>
    </row>
    <row r="266" spans="1:18" x14ac:dyDescent="0.25">
      <c r="A266" s="7">
        <f>Données!A266</f>
        <v>5873</v>
      </c>
      <c r="B266" s="27" t="str">
        <f>Données!B266</f>
        <v>Le Lieu</v>
      </c>
      <c r="C266" s="8">
        <f>Données!C266+Données!D266</f>
        <v>1874994.23</v>
      </c>
      <c r="D266" s="8">
        <f>+Données!G266+Données!H266+Données!S266</f>
        <v>97744.788295712642</v>
      </c>
      <c r="E266" s="8">
        <f>+Données!E266</f>
        <v>0</v>
      </c>
      <c r="F266" s="8">
        <f>+Données!I266</f>
        <v>0</v>
      </c>
      <c r="G266" s="8">
        <f>+Données!J266</f>
        <v>26413.360000000001</v>
      </c>
      <c r="H266" s="8">
        <f>Données!U266</f>
        <v>-17239.73</v>
      </c>
      <c r="I266" s="216">
        <f>Données!V266</f>
        <v>0</v>
      </c>
      <c r="J266" s="216">
        <f>Données!W266</f>
        <v>-662.44</v>
      </c>
      <c r="K266" s="8">
        <f>+Données!Q266</f>
        <v>3491.13</v>
      </c>
      <c r="L266" s="464">
        <f t="shared" si="13"/>
        <v>1984741.3382957126</v>
      </c>
      <c r="M266" s="8">
        <f>+Données!F266</f>
        <v>0</v>
      </c>
      <c r="N266" s="8">
        <f>+Données!K266</f>
        <v>0</v>
      </c>
      <c r="O266" s="8">
        <f>(Données!L266/Données!Y266)*1</f>
        <v>144143.4375</v>
      </c>
      <c r="P266" s="464">
        <f t="shared" si="14"/>
        <v>2128884.7757957126</v>
      </c>
      <c r="Q266" s="241">
        <f>+Données!X266</f>
        <v>70</v>
      </c>
      <c r="R266" s="464">
        <f t="shared" si="12"/>
        <v>30412.639654224466</v>
      </c>
    </row>
    <row r="267" spans="1:18" x14ac:dyDescent="0.25">
      <c r="A267" s="7">
        <f>Données!A267</f>
        <v>5882</v>
      </c>
      <c r="B267" s="27" t="str">
        <f>Données!B267</f>
        <v>Chardonne</v>
      </c>
      <c r="C267" s="8">
        <f>Données!C267+Données!D267</f>
        <v>10553558.65</v>
      </c>
      <c r="D267" s="8">
        <f>+Données!G267+Données!H267+Données!S267</f>
        <v>144021.03261990802</v>
      </c>
      <c r="E267" s="8">
        <f>+Données!E267</f>
        <v>0</v>
      </c>
      <c r="F267" s="8">
        <f>+Données!I267</f>
        <v>212678.05</v>
      </c>
      <c r="G267" s="8">
        <f>+Données!J267</f>
        <v>239252.6</v>
      </c>
      <c r="H267" s="8">
        <f>Données!U267</f>
        <v>-128511.67</v>
      </c>
      <c r="I267" s="216">
        <f>Données!V267</f>
        <v>0</v>
      </c>
      <c r="J267" s="216">
        <f>Données!W267</f>
        <v>-12147.19</v>
      </c>
      <c r="K267" s="8">
        <f>+Données!Q267</f>
        <v>107884.07</v>
      </c>
      <c r="L267" s="464">
        <f t="shared" si="13"/>
        <v>11116735.54261991</v>
      </c>
      <c r="M267" s="8">
        <f>+Données!F267</f>
        <v>0</v>
      </c>
      <c r="N267" s="8">
        <f>+Données!K267</f>
        <v>66179.25</v>
      </c>
      <c r="O267" s="8">
        <f>(Données!L267/Données!Y267)*1</f>
        <v>988422.55</v>
      </c>
      <c r="P267" s="464">
        <f t="shared" si="14"/>
        <v>12171337.342619911</v>
      </c>
      <c r="Q267" s="241">
        <f>+Données!X267</f>
        <v>68</v>
      </c>
      <c r="R267" s="464">
        <f t="shared" si="12"/>
        <v>178990.25503852809</v>
      </c>
    </row>
    <row r="268" spans="1:18" x14ac:dyDescent="0.25">
      <c r="A268" s="7">
        <f>Données!A268</f>
        <v>5883</v>
      </c>
      <c r="B268" s="27" t="str">
        <f>Données!B268</f>
        <v>Corseaux</v>
      </c>
      <c r="C268" s="8">
        <f>Données!C268+Données!D268</f>
        <v>9806699.5300000012</v>
      </c>
      <c r="D268" s="8">
        <f>+Données!G268+Données!H268+Données!S268</f>
        <v>198396.7109468774</v>
      </c>
      <c r="E268" s="8">
        <f>+Données!E268</f>
        <v>0</v>
      </c>
      <c r="F268" s="8">
        <f>+Données!I268</f>
        <v>517436.72</v>
      </c>
      <c r="G268" s="8">
        <f>+Données!J268</f>
        <v>203423.91</v>
      </c>
      <c r="H268" s="8">
        <f>Données!U268</f>
        <v>-94134.23</v>
      </c>
      <c r="I268" s="216">
        <f>Données!V268</f>
        <v>0</v>
      </c>
      <c r="J268" s="216">
        <f>Données!W268</f>
        <v>-13760.55</v>
      </c>
      <c r="K268" s="8">
        <f>+Données!Q268</f>
        <v>32383.77</v>
      </c>
      <c r="L268" s="464">
        <f t="shared" si="13"/>
        <v>10650445.860946877</v>
      </c>
      <c r="M268" s="8">
        <f>+Données!F268</f>
        <v>0</v>
      </c>
      <c r="N268" s="8">
        <f>+Données!K268</f>
        <v>12409.9</v>
      </c>
      <c r="O268" s="8">
        <f>(Données!L268/Données!Y268)*1</f>
        <v>666003.35</v>
      </c>
      <c r="P268" s="464">
        <f t="shared" si="14"/>
        <v>11328859.110946877</v>
      </c>
      <c r="Q268" s="241">
        <f>+Données!X268</f>
        <v>67.5</v>
      </c>
      <c r="R268" s="464">
        <f t="shared" si="12"/>
        <v>167834.94979180559</v>
      </c>
    </row>
    <row r="269" spans="1:18" x14ac:dyDescent="0.25">
      <c r="A269" s="7">
        <f>Données!A269</f>
        <v>5884</v>
      </c>
      <c r="B269" s="27" t="str">
        <f>Données!B269</f>
        <v>Corsier-sur-Vevey</v>
      </c>
      <c r="C269" s="8">
        <f>Données!C269+Données!D269</f>
        <v>6610023.1699999999</v>
      </c>
      <c r="D269" s="8">
        <f>+Données!G269+Données!H269+Données!S269</f>
        <v>364942.70899181062</v>
      </c>
      <c r="E269" s="8">
        <f>+Données!E269</f>
        <v>0</v>
      </c>
      <c r="F269" s="8">
        <f>+Données!I269</f>
        <v>26243.7</v>
      </c>
      <c r="G269" s="8">
        <f>+Données!J269</f>
        <v>129192.63</v>
      </c>
      <c r="H269" s="8">
        <f>Données!U269</f>
        <v>-68462.78</v>
      </c>
      <c r="I269" s="216">
        <f>Données!V269</f>
        <v>0</v>
      </c>
      <c r="J269" s="216">
        <f>Données!W269</f>
        <v>-4466.72</v>
      </c>
      <c r="K269" s="8">
        <f>+Données!Q269</f>
        <v>6608.53</v>
      </c>
      <c r="L269" s="464">
        <f t="shared" si="13"/>
        <v>7064081.2389918109</v>
      </c>
      <c r="M269" s="8">
        <f>+Données!F269</f>
        <v>0</v>
      </c>
      <c r="N269" s="8">
        <f>+Données!K269</f>
        <v>184918.95</v>
      </c>
      <c r="O269" s="8">
        <f>(Données!L269/Données!Y269)*1</f>
        <v>807011.29166666674</v>
      </c>
      <c r="P269" s="464">
        <f t="shared" si="14"/>
        <v>8056011.4806584781</v>
      </c>
      <c r="Q269" s="241">
        <f>+Données!X269</f>
        <v>66</v>
      </c>
      <c r="R269" s="464">
        <f t="shared" si="12"/>
        <v>122060.78000997694</v>
      </c>
    </row>
    <row r="270" spans="1:18" x14ac:dyDescent="0.25">
      <c r="A270" s="7">
        <f>Données!A270</f>
        <v>5885</v>
      </c>
      <c r="B270" s="27" t="str">
        <f>Données!B270</f>
        <v>Jongny</v>
      </c>
      <c r="C270" s="8">
        <f>Données!C270+Données!D270</f>
        <v>5341174.93</v>
      </c>
      <c r="D270" s="8">
        <f>+Données!G270+Données!H270+Données!S270</f>
        <v>230.71274763182504</v>
      </c>
      <c r="E270" s="8">
        <f>+Données!E270</f>
        <v>0</v>
      </c>
      <c r="F270" s="8">
        <f>+Données!I270</f>
        <v>65358.400000000001</v>
      </c>
      <c r="G270" s="8">
        <f>+Données!J270</f>
        <v>105212.06</v>
      </c>
      <c r="H270" s="8">
        <f>Données!U270</f>
        <v>-5103.87</v>
      </c>
      <c r="I270" s="216">
        <f>Données!V270</f>
        <v>0</v>
      </c>
      <c r="J270" s="216">
        <f>Données!W270</f>
        <v>-3916.17</v>
      </c>
      <c r="K270" s="8">
        <f>+Données!Q270</f>
        <v>0</v>
      </c>
      <c r="L270" s="464">
        <f t="shared" si="13"/>
        <v>5502956.0627476312</v>
      </c>
      <c r="M270" s="8">
        <f>+Données!F270</f>
        <v>0</v>
      </c>
      <c r="N270" s="8">
        <f>+Données!K270</f>
        <v>-4704.55</v>
      </c>
      <c r="O270" s="8">
        <f>(Données!L270/Données!Y270)*1</f>
        <v>416278.20833333331</v>
      </c>
      <c r="P270" s="464">
        <f t="shared" si="14"/>
        <v>5914529.7210809644</v>
      </c>
      <c r="Q270" s="241">
        <f>+Données!X270</f>
        <v>69.5</v>
      </c>
      <c r="R270" s="464">
        <f t="shared" si="12"/>
        <v>85101.147065913159</v>
      </c>
    </row>
    <row r="271" spans="1:18" x14ac:dyDescent="0.25">
      <c r="A271" s="7">
        <f>Données!A271</f>
        <v>5886</v>
      </c>
      <c r="B271" s="27" t="str">
        <f>Données!B271</f>
        <v>Montreux</v>
      </c>
      <c r="C271" s="8">
        <f>Données!C271+Données!D271</f>
        <v>54787035.019999996</v>
      </c>
      <c r="D271" s="8">
        <f>+Données!G271+Données!H271+Données!S271</f>
        <v>3352699.8043108135</v>
      </c>
      <c r="E271" s="8">
        <f>+Données!E271</f>
        <v>0</v>
      </c>
      <c r="F271" s="8">
        <f>+Données!I271</f>
        <v>3440972.13</v>
      </c>
      <c r="G271" s="8">
        <f>+Données!J271</f>
        <v>2273892.98</v>
      </c>
      <c r="H271" s="8">
        <f>Données!U271</f>
        <v>-979478.85</v>
      </c>
      <c r="I271" s="216">
        <f>Données!V271</f>
        <v>0</v>
      </c>
      <c r="J271" s="216">
        <f>Données!W271</f>
        <v>-118292.14</v>
      </c>
      <c r="K271" s="8">
        <f>+Données!Q271</f>
        <v>233403.51</v>
      </c>
      <c r="L271" s="464">
        <f t="shared" si="13"/>
        <v>62990232.454310805</v>
      </c>
      <c r="M271" s="8">
        <f>+Données!F271</f>
        <v>0</v>
      </c>
      <c r="N271" s="8">
        <f>+Données!K271</f>
        <v>713553.05</v>
      </c>
      <c r="O271" s="8">
        <f>(Données!L271/Données!Y271)*1</f>
        <v>7539441.333333333</v>
      </c>
      <c r="P271" s="464">
        <f t="shared" si="14"/>
        <v>71243226.83764413</v>
      </c>
      <c r="Q271" s="241">
        <f>+Données!X271</f>
        <v>65</v>
      </c>
      <c r="R271" s="464">
        <f t="shared" si="12"/>
        <v>1096049.6436560636</v>
      </c>
    </row>
    <row r="272" spans="1:18" x14ac:dyDescent="0.25">
      <c r="A272" s="7">
        <f>Données!A272</f>
        <v>5889</v>
      </c>
      <c r="B272" s="27" t="str">
        <f>Données!B272</f>
        <v>La Tour-de-Peilz</v>
      </c>
      <c r="C272" s="8">
        <f>Données!C272+Données!D272</f>
        <v>34809064.780000001</v>
      </c>
      <c r="D272" s="8">
        <f>+Données!G272+Données!H272+Données!S272</f>
        <v>4823166.8280645637</v>
      </c>
      <c r="E272" s="8">
        <f>+Données!E272</f>
        <v>0</v>
      </c>
      <c r="F272" s="8">
        <f>+Données!I272</f>
        <v>496028.45</v>
      </c>
      <c r="G272" s="8">
        <f>+Données!J272</f>
        <v>567329.85</v>
      </c>
      <c r="H272" s="8">
        <f>Données!U272</f>
        <v>-279655.38</v>
      </c>
      <c r="I272" s="216">
        <f>Données!V272</f>
        <v>0</v>
      </c>
      <c r="J272" s="216">
        <f>Données!W272</f>
        <v>-87734.82</v>
      </c>
      <c r="K272" s="8">
        <f>+Données!Q272</f>
        <v>136325.79999999999</v>
      </c>
      <c r="L272" s="464">
        <f t="shared" si="13"/>
        <v>40464525.508064561</v>
      </c>
      <c r="M272" s="8">
        <f>+Données!F272</f>
        <v>0</v>
      </c>
      <c r="N272" s="8">
        <f>+Données!K272</f>
        <v>211743.9</v>
      </c>
      <c r="O272" s="8">
        <f>(Données!L272/Données!Y272)*1</f>
        <v>2489427</v>
      </c>
      <c r="P272" s="464">
        <f t="shared" si="14"/>
        <v>43165696.408064559</v>
      </c>
      <c r="Q272" s="241">
        <f>+Données!X272</f>
        <v>64</v>
      </c>
      <c r="R272" s="464">
        <f t="shared" si="12"/>
        <v>674464.00637600874</v>
      </c>
    </row>
    <row r="273" spans="1:18" x14ac:dyDescent="0.25">
      <c r="A273" s="7">
        <f>Données!A273</f>
        <v>5890</v>
      </c>
      <c r="B273" s="27" t="str">
        <f>Données!B273</f>
        <v>Vevey</v>
      </c>
      <c r="C273" s="8">
        <f>Données!C273+Données!D273</f>
        <v>41487619.850000001</v>
      </c>
      <c r="D273" s="8">
        <f>+Données!G273+Données!H273+Données!S273</f>
        <v>14053683.967185227</v>
      </c>
      <c r="E273" s="8">
        <f>+Données!E273</f>
        <v>0</v>
      </c>
      <c r="F273" s="8">
        <f>+Données!I273</f>
        <v>301640.81</v>
      </c>
      <c r="G273" s="8">
        <f>+Données!J273</f>
        <v>3962548.39</v>
      </c>
      <c r="H273" s="8">
        <f>Données!U273</f>
        <v>-463900.91</v>
      </c>
      <c r="I273" s="216">
        <f>Données!V273</f>
        <v>0</v>
      </c>
      <c r="J273" s="216">
        <f>Données!W273</f>
        <v>-34364.050000000003</v>
      </c>
      <c r="K273" s="8">
        <f>+Données!Q273</f>
        <v>146582.91</v>
      </c>
      <c r="L273" s="464">
        <f t="shared" si="13"/>
        <v>59453810.967185237</v>
      </c>
      <c r="M273" s="8">
        <f>+Données!F273</f>
        <v>0</v>
      </c>
      <c r="N273" s="8">
        <f>+Données!K273</f>
        <v>749667.7</v>
      </c>
      <c r="O273" s="8">
        <f>(Données!L273/Données!Y273)*1</f>
        <v>3782667.8933333331</v>
      </c>
      <c r="P273" s="464">
        <f t="shared" si="14"/>
        <v>63986146.56051857</v>
      </c>
      <c r="Q273" s="241">
        <f>+Données!X273</f>
        <v>74.5</v>
      </c>
      <c r="R273" s="464">
        <f t="shared" si="12"/>
        <v>858874.45047675935</v>
      </c>
    </row>
    <row r="274" spans="1:18" x14ac:dyDescent="0.25">
      <c r="A274" s="7">
        <f>Données!A274</f>
        <v>5891</v>
      </c>
      <c r="B274" s="27" t="str">
        <f>Données!B274</f>
        <v>Veytaux</v>
      </c>
      <c r="C274" s="8">
        <f>Données!C274+Données!D274</f>
        <v>2704909.75</v>
      </c>
      <c r="D274" s="8">
        <f>+Données!G274+Données!H274+Données!S274</f>
        <v>34835.867917649659</v>
      </c>
      <c r="E274" s="8">
        <f>+Données!E274</f>
        <v>0</v>
      </c>
      <c r="F274" s="8">
        <f>+Données!I274</f>
        <v>33065.75</v>
      </c>
      <c r="G274" s="8">
        <f>+Données!J274</f>
        <v>60261.36</v>
      </c>
      <c r="H274" s="8">
        <f>Données!U274</f>
        <v>-113319.94</v>
      </c>
      <c r="I274" s="216">
        <f>Données!V274</f>
        <v>0</v>
      </c>
      <c r="J274" s="216">
        <f>Données!W274</f>
        <v>-3587.09</v>
      </c>
      <c r="K274" s="8">
        <f>+Données!Q274</f>
        <v>25585.96</v>
      </c>
      <c r="L274" s="464">
        <f t="shared" si="13"/>
        <v>2741751.6579176495</v>
      </c>
      <c r="M274" s="8">
        <f>+Données!F274</f>
        <v>0</v>
      </c>
      <c r="N274" s="8">
        <f>+Données!K274</f>
        <v>13791.35</v>
      </c>
      <c r="O274" s="8">
        <f>(Données!L274/Données!Y274)*1</f>
        <v>298316.03333333333</v>
      </c>
      <c r="P274" s="464">
        <f t="shared" si="14"/>
        <v>3053859.0412509828</v>
      </c>
      <c r="Q274" s="241">
        <f>+Données!X274</f>
        <v>69.5</v>
      </c>
      <c r="R274" s="464">
        <f t="shared" si="12"/>
        <v>43940.417859726374</v>
      </c>
    </row>
    <row r="275" spans="1:18" x14ac:dyDescent="0.25">
      <c r="A275" s="7">
        <f>Données!A275</f>
        <v>5892</v>
      </c>
      <c r="B275" s="27" t="str">
        <f>Données!B275</f>
        <v>Blonay-Saint-Légier</v>
      </c>
      <c r="C275" s="8">
        <f>Données!C275+Données!D275</f>
        <v>41676040.079999998</v>
      </c>
      <c r="D275" s="8">
        <f>+Données!G275+Données!H275+Données!S275</f>
        <v>581800.66746974038</v>
      </c>
      <c r="E275" s="8">
        <f>+Données!E275</f>
        <v>0</v>
      </c>
      <c r="F275" s="8">
        <f>+Données!I275</f>
        <v>1071038.42</v>
      </c>
      <c r="G275" s="8">
        <f>+Données!J275</f>
        <v>670355.16999999993</v>
      </c>
      <c r="H275" s="8">
        <f>Données!U275</f>
        <v>-148071.67999999999</v>
      </c>
      <c r="I275" s="216">
        <f>Données!V275</f>
        <v>0</v>
      </c>
      <c r="J275" s="216">
        <f>Données!W275</f>
        <v>-87718.68</v>
      </c>
      <c r="K275" s="8">
        <f>+Données!Q275</f>
        <v>25559.26</v>
      </c>
      <c r="L275" s="464">
        <f t="shared" si="13"/>
        <v>43789003.23746974</v>
      </c>
      <c r="M275" s="8">
        <f>+Données!F275</f>
        <v>0</v>
      </c>
      <c r="N275" s="8">
        <f>+Données!K275</f>
        <v>148213.54999999999</v>
      </c>
      <c r="O275" s="8">
        <f>(Données!L275/Données!Y275)*1</f>
        <v>3545350.9</v>
      </c>
      <c r="P275" s="464">
        <f t="shared" si="14"/>
        <v>47482567.687469736</v>
      </c>
      <c r="Q275" s="241">
        <f>+Données!X275</f>
        <v>68.5</v>
      </c>
      <c r="R275" s="464">
        <f t="shared" si="12"/>
        <v>693176.17061999615</v>
      </c>
    </row>
    <row r="276" spans="1:18" x14ac:dyDescent="0.25">
      <c r="A276" s="7">
        <f>Données!A276</f>
        <v>5902</v>
      </c>
      <c r="B276" s="27" t="str">
        <f>Données!B276</f>
        <v>Belmont-sur-Yverdon</v>
      </c>
      <c r="C276" s="8">
        <f>Données!C276+Données!D276</f>
        <v>756304.6100000001</v>
      </c>
      <c r="D276" s="8">
        <f>+Données!G276+Données!H276+Données!S276</f>
        <v>4547.2947475000719</v>
      </c>
      <c r="E276" s="8">
        <f>+Données!E276</f>
        <v>0</v>
      </c>
      <c r="F276" s="8">
        <f>+Données!I276</f>
        <v>0</v>
      </c>
      <c r="G276" s="8">
        <f>+Données!J276</f>
        <v>2866.92</v>
      </c>
      <c r="H276" s="8">
        <f>Données!U276</f>
        <v>-9.7200000000000006</v>
      </c>
      <c r="I276" s="216">
        <f>Données!V276</f>
        <v>0</v>
      </c>
      <c r="J276" s="216">
        <f>Données!W276</f>
        <v>0</v>
      </c>
      <c r="K276" s="8">
        <f>+Données!Q276</f>
        <v>0</v>
      </c>
      <c r="L276" s="464">
        <f t="shared" si="13"/>
        <v>763709.10474750027</v>
      </c>
      <c r="M276" s="8">
        <f>+Données!F276</f>
        <v>0</v>
      </c>
      <c r="N276" s="8">
        <f>+Données!K276</f>
        <v>0</v>
      </c>
      <c r="O276" s="8">
        <f>(Données!L276/Données!Y276)*1</f>
        <v>56555.93</v>
      </c>
      <c r="P276" s="464">
        <f t="shared" si="14"/>
        <v>820265.03474750032</v>
      </c>
      <c r="Q276" s="241">
        <f>+Données!X276</f>
        <v>70</v>
      </c>
      <c r="R276" s="464">
        <f t="shared" si="12"/>
        <v>11718.07192496429</v>
      </c>
    </row>
    <row r="277" spans="1:18" x14ac:dyDescent="0.25">
      <c r="A277" s="7">
        <f>Données!A277</f>
        <v>5903</v>
      </c>
      <c r="B277" s="27" t="str">
        <f>Données!B277</f>
        <v>Bioley-Magnoux</v>
      </c>
      <c r="C277" s="8">
        <f>Données!C277+Données!D277</f>
        <v>326080.83999999997</v>
      </c>
      <c r="D277" s="8">
        <f>+Données!G277+Données!H277+Données!S277</f>
        <v>-3944.4</v>
      </c>
      <c r="E277" s="8">
        <f>+Données!E277</f>
        <v>0</v>
      </c>
      <c r="F277" s="8">
        <f>+Données!I277</f>
        <v>0</v>
      </c>
      <c r="G277" s="8">
        <f>+Données!J277</f>
        <v>4873.83</v>
      </c>
      <c r="H277" s="8">
        <f>Données!U277</f>
        <v>-1937.45</v>
      </c>
      <c r="I277" s="216">
        <f>Données!V277</f>
        <v>0</v>
      </c>
      <c r="J277" s="216">
        <f>Données!W277</f>
        <v>-4.63</v>
      </c>
      <c r="K277" s="8">
        <f>+Données!Q277</f>
        <v>0</v>
      </c>
      <c r="L277" s="464">
        <f t="shared" si="13"/>
        <v>325068.18999999994</v>
      </c>
      <c r="M277" s="8">
        <f>+Données!F277</f>
        <v>0</v>
      </c>
      <c r="N277" s="8">
        <f>+Données!K277</f>
        <v>0</v>
      </c>
      <c r="O277" s="8">
        <f>(Données!L277/Données!Y277)*1</f>
        <v>36644.285714285717</v>
      </c>
      <c r="P277" s="464">
        <f t="shared" si="14"/>
        <v>361712.47571428568</v>
      </c>
      <c r="Q277" s="241">
        <f>+Données!X277</f>
        <v>72</v>
      </c>
      <c r="R277" s="464">
        <f t="shared" si="12"/>
        <v>5023.7843849206347</v>
      </c>
    </row>
    <row r="278" spans="1:18" x14ac:dyDescent="0.25">
      <c r="A278" s="7">
        <f>Données!A278</f>
        <v>5904</v>
      </c>
      <c r="B278" s="27" t="str">
        <f>Données!B278</f>
        <v>Chamblon</v>
      </c>
      <c r="C278" s="8">
        <f>Données!C278+Données!D278</f>
        <v>1321199.67</v>
      </c>
      <c r="D278" s="8">
        <f>+Données!G278+Données!H278+Données!S278</f>
        <v>3853.6495997227244</v>
      </c>
      <c r="E278" s="8">
        <f>+Données!E278</f>
        <v>0</v>
      </c>
      <c r="F278" s="8">
        <f>+Données!I278</f>
        <v>0</v>
      </c>
      <c r="G278" s="8">
        <f>+Données!J278</f>
        <v>17456.939999999999</v>
      </c>
      <c r="H278" s="8">
        <f>Données!U278</f>
        <v>-10795.87</v>
      </c>
      <c r="I278" s="216">
        <f>Données!V278</f>
        <v>0</v>
      </c>
      <c r="J278" s="216">
        <f>Données!W278</f>
        <v>-253.12</v>
      </c>
      <c r="K278" s="8">
        <f>+Données!Q278</f>
        <v>441.06</v>
      </c>
      <c r="L278" s="464">
        <f t="shared" si="13"/>
        <v>1331902.3295997225</v>
      </c>
      <c r="M278" s="8">
        <f>+Données!F278</f>
        <v>0</v>
      </c>
      <c r="N278" s="8">
        <f>+Données!K278</f>
        <v>3864.65</v>
      </c>
      <c r="O278" s="8">
        <f>(Données!L278/Données!Y278)*1</f>
        <v>95964.1</v>
      </c>
      <c r="P278" s="464">
        <f t="shared" si="14"/>
        <v>1431731.0795997225</v>
      </c>
      <c r="Q278" s="241">
        <f>+Données!X278</f>
        <v>66</v>
      </c>
      <c r="R278" s="464">
        <f t="shared" si="12"/>
        <v>21692.89514545034</v>
      </c>
    </row>
    <row r="279" spans="1:18" x14ac:dyDescent="0.25">
      <c r="A279" s="7">
        <f>Données!A279</f>
        <v>5905</v>
      </c>
      <c r="B279" s="27" t="str">
        <f>Données!B279</f>
        <v>Champvent</v>
      </c>
      <c r="C279" s="8">
        <f>Données!C279+Données!D279</f>
        <v>1268273.74</v>
      </c>
      <c r="D279" s="8">
        <f>+Données!G279+Données!H279+Données!S279</f>
        <v>141400.9989206593</v>
      </c>
      <c r="E279" s="8">
        <f>+Données!E279</f>
        <v>0</v>
      </c>
      <c r="F279" s="8">
        <f>+Données!I279</f>
        <v>0</v>
      </c>
      <c r="G279" s="8">
        <f>+Données!J279</f>
        <v>31182.99</v>
      </c>
      <c r="H279" s="8">
        <f>Données!U279</f>
        <v>-4598.74</v>
      </c>
      <c r="I279" s="216">
        <f>Données!V279</f>
        <v>0</v>
      </c>
      <c r="J279" s="216">
        <f>Données!W279</f>
        <v>-24.88</v>
      </c>
      <c r="K279" s="8">
        <f>+Données!Q279</f>
        <v>-665.43</v>
      </c>
      <c r="L279" s="464">
        <f t="shared" si="13"/>
        <v>1435568.6789206595</v>
      </c>
      <c r="M279" s="8">
        <f>+Données!F279</f>
        <v>0</v>
      </c>
      <c r="N279" s="8">
        <f>+Données!K279</f>
        <v>-3012.45</v>
      </c>
      <c r="O279" s="8">
        <f>(Données!L279/Données!Y279)*1</f>
        <v>103440.55</v>
      </c>
      <c r="P279" s="464">
        <f t="shared" si="14"/>
        <v>1535996.7789206596</v>
      </c>
      <c r="Q279" s="241">
        <f>+Données!X279</f>
        <v>71</v>
      </c>
      <c r="R279" s="464">
        <f t="shared" si="12"/>
        <v>21633.757449586756</v>
      </c>
    </row>
    <row r="280" spans="1:18" x14ac:dyDescent="0.25">
      <c r="A280" s="7">
        <f>Données!A280</f>
        <v>5907</v>
      </c>
      <c r="B280" s="27" t="str">
        <f>Données!B280</f>
        <v>Chavannes-le-Chêne</v>
      </c>
      <c r="C280" s="8">
        <f>Données!C280+Données!D280</f>
        <v>702931.73</v>
      </c>
      <c r="D280" s="8">
        <f>+Données!G280+Données!H280+Données!S280</f>
        <v>587.2139066926145</v>
      </c>
      <c r="E280" s="8">
        <f>+Données!E280</f>
        <v>0</v>
      </c>
      <c r="F280" s="8">
        <f>+Données!I280</f>
        <v>0</v>
      </c>
      <c r="G280" s="8">
        <f>+Données!J280</f>
        <v>-1250.77</v>
      </c>
      <c r="H280" s="8">
        <f>Données!U280</f>
        <v>-10393.469999999999</v>
      </c>
      <c r="I280" s="216">
        <f>Données!V280</f>
        <v>0</v>
      </c>
      <c r="J280" s="216">
        <f>Données!W280</f>
        <v>-13.33</v>
      </c>
      <c r="K280" s="8">
        <f>+Données!Q280</f>
        <v>2826.42</v>
      </c>
      <c r="L280" s="464">
        <f t="shared" si="13"/>
        <v>694687.79390669265</v>
      </c>
      <c r="M280" s="8">
        <f>+Données!F280</f>
        <v>1950</v>
      </c>
      <c r="N280" s="8">
        <f>+Données!K280</f>
        <v>520.70000000000005</v>
      </c>
      <c r="O280" s="8">
        <f>(Données!L280/Données!Y280)*1</f>
        <v>44658.25</v>
      </c>
      <c r="P280" s="464">
        <f t="shared" si="14"/>
        <v>741816.7439066926</v>
      </c>
      <c r="Q280" s="241">
        <f>+Données!X280</f>
        <v>75</v>
      </c>
      <c r="R280" s="464">
        <f t="shared" si="12"/>
        <v>9890.8899187559018</v>
      </c>
    </row>
    <row r="281" spans="1:18" x14ac:dyDescent="0.25">
      <c r="A281" s="7">
        <f>Données!A281</f>
        <v>5908</v>
      </c>
      <c r="B281" s="27" t="str">
        <f>Données!B281</f>
        <v>Chêne-Pâquier</v>
      </c>
      <c r="C281" s="8">
        <f>Données!C281+Données!D281</f>
        <v>479916.92000000004</v>
      </c>
      <c r="D281" s="8">
        <f>+Données!G281+Données!H281+Données!S281</f>
        <v>556.96099761476216</v>
      </c>
      <c r="E281" s="8">
        <f>+Données!E281</f>
        <v>0</v>
      </c>
      <c r="F281" s="8">
        <f>+Données!I281</f>
        <v>0</v>
      </c>
      <c r="G281" s="8">
        <f>+Données!J281</f>
        <v>12982.5</v>
      </c>
      <c r="H281" s="8">
        <f>Données!U281</f>
        <v>-1088.49</v>
      </c>
      <c r="I281" s="216">
        <f>Données!V281</f>
        <v>0</v>
      </c>
      <c r="J281" s="216">
        <f>Données!W281</f>
        <v>-103.75</v>
      </c>
      <c r="K281" s="8">
        <f>+Données!Q281</f>
        <v>0</v>
      </c>
      <c r="L281" s="464">
        <f t="shared" si="13"/>
        <v>492264.14099761483</v>
      </c>
      <c r="M281" s="8">
        <f>+Données!F281</f>
        <v>0</v>
      </c>
      <c r="N281" s="8">
        <f>+Données!K281</f>
        <v>92.95</v>
      </c>
      <c r="O281" s="8">
        <f>(Données!L281/Données!Y281)*1</f>
        <v>21328.25</v>
      </c>
      <c r="P281" s="464">
        <f t="shared" si="14"/>
        <v>513685.34099761484</v>
      </c>
      <c r="Q281" s="241">
        <f>+Données!X281</f>
        <v>79</v>
      </c>
      <c r="R281" s="464">
        <f t="shared" si="12"/>
        <v>6502.346088577403</v>
      </c>
    </row>
    <row r="282" spans="1:18" x14ac:dyDescent="0.25">
      <c r="A282" s="7">
        <f>Données!A282</f>
        <v>5909</v>
      </c>
      <c r="B282" s="27" t="str">
        <f>Données!B282</f>
        <v>Cheseaux-Noréaz</v>
      </c>
      <c r="C282" s="8">
        <f>Données!C282+Données!D282</f>
        <v>2424606.91</v>
      </c>
      <c r="D282" s="8">
        <f>+Données!G282+Données!H282+Données!S282</f>
        <v>21135.308204044413</v>
      </c>
      <c r="E282" s="8">
        <f>+Données!E282</f>
        <v>0</v>
      </c>
      <c r="F282" s="8">
        <f>+Données!I282</f>
        <v>0</v>
      </c>
      <c r="G282" s="8">
        <f>+Données!J282</f>
        <v>25616.45</v>
      </c>
      <c r="H282" s="8">
        <f>Données!U282</f>
        <v>-2037.97</v>
      </c>
      <c r="I282" s="216">
        <f>Données!V282</f>
        <v>0</v>
      </c>
      <c r="J282" s="216">
        <f>Données!W282</f>
        <v>-606.21</v>
      </c>
      <c r="K282" s="8">
        <f>+Données!Q282</f>
        <v>724.05</v>
      </c>
      <c r="L282" s="464">
        <f t="shared" si="13"/>
        <v>2469438.5382040446</v>
      </c>
      <c r="M282" s="8">
        <f>+Données!F282</f>
        <v>0</v>
      </c>
      <c r="N282" s="8">
        <f>+Données!K282</f>
        <v>-2571.0500000000002</v>
      </c>
      <c r="O282" s="8">
        <f>(Données!L282/Données!Y282)*1</f>
        <v>163073</v>
      </c>
      <c r="P282" s="464">
        <f t="shared" si="14"/>
        <v>2629940.4882040448</v>
      </c>
      <c r="Q282" s="241">
        <f>+Données!X282</f>
        <v>67</v>
      </c>
      <c r="R282" s="464">
        <f t="shared" si="12"/>
        <v>39252.843107523055</v>
      </c>
    </row>
    <row r="283" spans="1:18" x14ac:dyDescent="0.25">
      <c r="A283" s="7">
        <f>Données!A283</f>
        <v>5910</v>
      </c>
      <c r="B283" s="27" t="str">
        <f>Données!B283</f>
        <v>Cronay</v>
      </c>
      <c r="C283" s="8">
        <f>Données!C283+Données!D283</f>
        <v>702008.59</v>
      </c>
      <c r="D283" s="8">
        <f>+Données!G283+Données!H283+Données!S283</f>
        <v>5088.2537984969304</v>
      </c>
      <c r="E283" s="8">
        <f>+Données!E283</f>
        <v>0</v>
      </c>
      <c r="F283" s="8">
        <f>+Données!I283</f>
        <v>0</v>
      </c>
      <c r="G283" s="8">
        <f>+Données!J283</f>
        <v>7757.32</v>
      </c>
      <c r="H283" s="8">
        <f>Données!U283</f>
        <v>-5598.18</v>
      </c>
      <c r="I283" s="216">
        <f>Données!V283</f>
        <v>0</v>
      </c>
      <c r="J283" s="216">
        <f>Données!W283</f>
        <v>-15.01</v>
      </c>
      <c r="K283" s="8">
        <f>+Données!Q283</f>
        <v>0</v>
      </c>
      <c r="L283" s="464">
        <f t="shared" si="13"/>
        <v>709240.97379849677</v>
      </c>
      <c r="M283" s="8">
        <f>+Données!F283</f>
        <v>2290</v>
      </c>
      <c r="N283" s="8">
        <f>+Données!K283</f>
        <v>0</v>
      </c>
      <c r="O283" s="8">
        <f>(Données!L283/Données!Y283)*1</f>
        <v>56520</v>
      </c>
      <c r="P283" s="464">
        <f t="shared" si="14"/>
        <v>768050.97379849677</v>
      </c>
      <c r="Q283" s="241">
        <f>+Données!X283</f>
        <v>77</v>
      </c>
      <c r="R283" s="464">
        <f t="shared" si="12"/>
        <v>9974.6879714090483</v>
      </c>
    </row>
    <row r="284" spans="1:18" x14ac:dyDescent="0.25">
      <c r="A284" s="7">
        <f>Données!A284</f>
        <v>5911</v>
      </c>
      <c r="B284" s="27" t="str">
        <f>Données!B284</f>
        <v>Cuarny</v>
      </c>
      <c r="C284" s="8">
        <f>Données!C284+Données!D284</f>
        <v>497082.62</v>
      </c>
      <c r="D284" s="8">
        <f>+Données!G284+Données!H284+Données!S284</f>
        <v>1874.3626317599319</v>
      </c>
      <c r="E284" s="8">
        <f>+Données!E284</f>
        <v>0</v>
      </c>
      <c r="F284" s="8">
        <f>+Données!I284</f>
        <v>0</v>
      </c>
      <c r="G284" s="8">
        <f>+Données!J284</f>
        <v>1137.6199999999999</v>
      </c>
      <c r="H284" s="8">
        <f>Données!U284</f>
        <v>-99.75</v>
      </c>
      <c r="I284" s="216">
        <f>Données!V284</f>
        <v>0</v>
      </c>
      <c r="J284" s="216">
        <f>Données!W284</f>
        <v>-1865.97</v>
      </c>
      <c r="K284" s="8">
        <f>+Données!Q284</f>
        <v>0</v>
      </c>
      <c r="L284" s="464">
        <f t="shared" si="13"/>
        <v>498128.88263175997</v>
      </c>
      <c r="M284" s="8">
        <f>+Données!F284</f>
        <v>1450</v>
      </c>
      <c r="N284" s="8">
        <f>+Données!K284</f>
        <v>830.3</v>
      </c>
      <c r="O284" s="8">
        <f>(Données!L284/Données!Y284)*1</f>
        <v>33892.5</v>
      </c>
      <c r="P284" s="464">
        <f t="shared" si="14"/>
        <v>534301.6826317599</v>
      </c>
      <c r="Q284" s="241">
        <f>+Données!X284</f>
        <v>77</v>
      </c>
      <c r="R284" s="464">
        <f t="shared" si="12"/>
        <v>6938.982891321557</v>
      </c>
    </row>
    <row r="285" spans="1:18" x14ac:dyDescent="0.25">
      <c r="A285" s="7">
        <f>Données!A285</f>
        <v>5912</v>
      </c>
      <c r="B285" s="27" t="str">
        <f>Données!B285</f>
        <v>Démoret</v>
      </c>
      <c r="C285" s="8">
        <f>Données!C285+Données!D285</f>
        <v>288524.27999999997</v>
      </c>
      <c r="D285" s="8">
        <f>+Données!G285+Données!H285+Données!S285</f>
        <v>10298.287909760968</v>
      </c>
      <c r="E285" s="8">
        <f>+Données!E285</f>
        <v>0</v>
      </c>
      <c r="F285" s="8">
        <f>+Données!I285</f>
        <v>0</v>
      </c>
      <c r="G285" s="8">
        <f>+Données!J285</f>
        <v>9417.1</v>
      </c>
      <c r="H285" s="8">
        <f>Données!U285</f>
        <v>-654.65</v>
      </c>
      <c r="I285" s="216">
        <f>Données!V285</f>
        <v>0</v>
      </c>
      <c r="J285" s="216">
        <f>Données!W285</f>
        <v>0</v>
      </c>
      <c r="K285" s="8">
        <f>+Données!Q285</f>
        <v>0</v>
      </c>
      <c r="L285" s="464">
        <f t="shared" si="13"/>
        <v>307585.01790976088</v>
      </c>
      <c r="M285" s="8">
        <f>+Données!F285</f>
        <v>890</v>
      </c>
      <c r="N285" s="8">
        <f>+Données!K285</f>
        <v>0</v>
      </c>
      <c r="O285" s="8">
        <f>(Données!L285/Données!Y285)*1</f>
        <v>21041.3</v>
      </c>
      <c r="P285" s="464">
        <f t="shared" si="14"/>
        <v>329516.31790976087</v>
      </c>
      <c r="Q285" s="241">
        <f>+Données!X285</f>
        <v>81</v>
      </c>
      <c r="R285" s="464">
        <f t="shared" si="12"/>
        <v>4068.1026902439612</v>
      </c>
    </row>
    <row r="286" spans="1:18" x14ac:dyDescent="0.25">
      <c r="A286" s="7">
        <f>Données!A286</f>
        <v>5913</v>
      </c>
      <c r="B286" s="27" t="str">
        <f>Données!B286</f>
        <v>Donneloye</v>
      </c>
      <c r="C286" s="8">
        <f>Données!C286+Données!D286</f>
        <v>1326659.3199999998</v>
      </c>
      <c r="D286" s="8">
        <f>+Données!G286+Données!H286+Données!S286</f>
        <v>12594.763726621677</v>
      </c>
      <c r="E286" s="8">
        <f>+Données!E286</f>
        <v>0</v>
      </c>
      <c r="F286" s="8">
        <f>+Données!I286</f>
        <v>0</v>
      </c>
      <c r="G286" s="8">
        <f>+Données!J286</f>
        <v>12856.2</v>
      </c>
      <c r="H286" s="8">
        <f>Données!U286</f>
        <v>-20736.669999999998</v>
      </c>
      <c r="I286" s="216">
        <f>Données!V286</f>
        <v>0</v>
      </c>
      <c r="J286" s="216">
        <f>Données!W286</f>
        <v>-977.98</v>
      </c>
      <c r="K286" s="8">
        <f>+Données!Q286</f>
        <v>1533.53</v>
      </c>
      <c r="L286" s="464">
        <f t="shared" si="13"/>
        <v>1331929.1637266215</v>
      </c>
      <c r="M286" s="8">
        <f>+Données!F286</f>
        <v>0</v>
      </c>
      <c r="N286" s="8">
        <f>+Données!K286</f>
        <v>-258.35000000000002</v>
      </c>
      <c r="O286" s="8">
        <f>(Données!L286/Données!Y286)*1</f>
        <v>119379.2</v>
      </c>
      <c r="P286" s="464">
        <f t="shared" si="14"/>
        <v>1451050.0137266214</v>
      </c>
      <c r="Q286" s="241">
        <f>+Données!X286</f>
        <v>73</v>
      </c>
      <c r="R286" s="464">
        <f t="shared" si="12"/>
        <v>19877.397448309883</v>
      </c>
    </row>
    <row r="287" spans="1:18" x14ac:dyDescent="0.25">
      <c r="A287" s="7">
        <f>Données!A287</f>
        <v>5914</v>
      </c>
      <c r="B287" s="27" t="str">
        <f>Données!B287</f>
        <v>Ependes</v>
      </c>
      <c r="C287" s="8">
        <f>Données!C287+Données!D287</f>
        <v>687606.41</v>
      </c>
      <c r="D287" s="8">
        <f>+Données!G287+Données!H287+Données!S287</f>
        <v>28049.333301208899</v>
      </c>
      <c r="E287" s="8">
        <f>+Données!E287</f>
        <v>0</v>
      </c>
      <c r="F287" s="8">
        <f>+Données!I287</f>
        <v>0</v>
      </c>
      <c r="G287" s="8">
        <f>+Données!J287</f>
        <v>9723.82</v>
      </c>
      <c r="H287" s="8">
        <f>Données!U287</f>
        <v>-9754.3700000000008</v>
      </c>
      <c r="I287" s="216">
        <f>Données!V287</f>
        <v>0</v>
      </c>
      <c r="J287" s="216">
        <f>Données!W287</f>
        <v>-0.59</v>
      </c>
      <c r="K287" s="8">
        <f>+Données!Q287</f>
        <v>0</v>
      </c>
      <c r="L287" s="464">
        <f t="shared" si="13"/>
        <v>715624.60330120893</v>
      </c>
      <c r="M287" s="8">
        <f>+Données!F287</f>
        <v>2090</v>
      </c>
      <c r="N287" s="8">
        <f>+Données!K287</f>
        <v>7718.95</v>
      </c>
      <c r="O287" s="8">
        <f>(Données!L287/Données!Y287)*1</f>
        <v>57671.15</v>
      </c>
      <c r="P287" s="464">
        <f t="shared" si="14"/>
        <v>783104.70330120891</v>
      </c>
      <c r="Q287" s="241">
        <f>+Données!X287</f>
        <v>73.5</v>
      </c>
      <c r="R287" s="464">
        <f t="shared" si="12"/>
        <v>10654.485759200121</v>
      </c>
    </row>
    <row r="288" spans="1:18" x14ac:dyDescent="0.25">
      <c r="A288" s="7">
        <f>Données!A288</f>
        <v>5919</v>
      </c>
      <c r="B288" s="27" t="str">
        <f>Données!B288</f>
        <v>Mathod</v>
      </c>
      <c r="C288" s="8">
        <f>Données!C288+Données!D288</f>
        <v>1361780.73</v>
      </c>
      <c r="D288" s="8">
        <f>+Données!G288+Données!H288+Données!S288</f>
        <v>62634.447977917443</v>
      </c>
      <c r="E288" s="8">
        <f>+Données!E288</f>
        <v>0</v>
      </c>
      <c r="F288" s="8">
        <f>+Données!I288</f>
        <v>0</v>
      </c>
      <c r="G288" s="8">
        <f>+Données!J288</f>
        <v>21563.51</v>
      </c>
      <c r="H288" s="8">
        <f>Données!U288</f>
        <v>-22225.9</v>
      </c>
      <c r="I288" s="216">
        <f>Données!V288</f>
        <v>0</v>
      </c>
      <c r="J288" s="216">
        <f>Données!W288</f>
        <v>-56.05</v>
      </c>
      <c r="K288" s="8">
        <f>+Données!Q288</f>
        <v>0</v>
      </c>
      <c r="L288" s="464">
        <f t="shared" si="13"/>
        <v>1423696.7379779175</v>
      </c>
      <c r="M288" s="8">
        <f>+Données!F288</f>
        <v>3550</v>
      </c>
      <c r="N288" s="8">
        <f>+Données!K288</f>
        <v>9312.4500000000007</v>
      </c>
      <c r="O288" s="8">
        <f>(Données!L288/Données!Y288)*1</f>
        <v>114918.29166666669</v>
      </c>
      <c r="P288" s="464">
        <f t="shared" si="14"/>
        <v>1551477.4796445842</v>
      </c>
      <c r="Q288" s="241">
        <f>+Données!X288</f>
        <v>72</v>
      </c>
      <c r="R288" s="464">
        <f t="shared" si="12"/>
        <v>21548.298328397002</v>
      </c>
    </row>
    <row r="289" spans="1:18" x14ac:dyDescent="0.25">
      <c r="A289" s="7">
        <f>Données!A289</f>
        <v>5921</v>
      </c>
      <c r="B289" s="27" t="str">
        <f>Données!B289</f>
        <v>Molondin</v>
      </c>
      <c r="C289" s="8">
        <f>Données!C289+Données!D289</f>
        <v>428581.74</v>
      </c>
      <c r="D289" s="8">
        <f>+Données!G289+Données!H289+Données!S289</f>
        <v>-3368.65</v>
      </c>
      <c r="E289" s="8">
        <f>+Données!E289</f>
        <v>0</v>
      </c>
      <c r="F289" s="8">
        <f>+Données!I289</f>
        <v>0</v>
      </c>
      <c r="G289" s="8">
        <f>+Données!J289</f>
        <v>7243.61</v>
      </c>
      <c r="H289" s="8">
        <f>Données!U289</f>
        <v>-5989.48</v>
      </c>
      <c r="I289" s="216">
        <f>Données!V289</f>
        <v>0</v>
      </c>
      <c r="J289" s="216">
        <f>Données!W289</f>
        <v>-29.05</v>
      </c>
      <c r="K289" s="8">
        <f>+Données!Q289</f>
        <v>0</v>
      </c>
      <c r="L289" s="464">
        <f t="shared" si="13"/>
        <v>426438.17</v>
      </c>
      <c r="M289" s="8">
        <f>+Données!F289</f>
        <v>0</v>
      </c>
      <c r="N289" s="8">
        <f>+Données!K289</f>
        <v>0</v>
      </c>
      <c r="O289" s="8">
        <f>(Données!L289/Données!Y289)*1</f>
        <v>33713.25</v>
      </c>
      <c r="P289" s="464">
        <f t="shared" si="14"/>
        <v>460151.42</v>
      </c>
      <c r="Q289" s="241">
        <f>+Données!X289</f>
        <v>81</v>
      </c>
      <c r="R289" s="464">
        <f t="shared" si="12"/>
        <v>5680.8817283950611</v>
      </c>
    </row>
    <row r="290" spans="1:18" x14ac:dyDescent="0.25">
      <c r="A290" s="7">
        <f>Données!A290</f>
        <v>5922</v>
      </c>
      <c r="B290" s="27" t="str">
        <f>Données!B290</f>
        <v>Montagny-près-Yverdon</v>
      </c>
      <c r="C290" s="8">
        <f>Données!C290+Données!D290</f>
        <v>1353019.5699999998</v>
      </c>
      <c r="D290" s="8">
        <f>+Données!G290+Données!H290+Données!S290</f>
        <v>446041.86354483105</v>
      </c>
      <c r="E290" s="8">
        <f>+Données!E290</f>
        <v>0</v>
      </c>
      <c r="F290" s="8">
        <f>+Données!I290</f>
        <v>0</v>
      </c>
      <c r="G290" s="8">
        <f>+Données!J290</f>
        <v>58040.38</v>
      </c>
      <c r="H290" s="8">
        <f>Données!U290</f>
        <v>-73955.02</v>
      </c>
      <c r="I290" s="216">
        <f>Données!V290</f>
        <v>0</v>
      </c>
      <c r="J290" s="216">
        <f>Données!W290</f>
        <v>-506.68</v>
      </c>
      <c r="K290" s="8">
        <f>+Données!Q290</f>
        <v>1375.5</v>
      </c>
      <c r="L290" s="464">
        <f t="shared" si="13"/>
        <v>1784015.6135448308</v>
      </c>
      <c r="M290" s="8">
        <f>+Données!F290</f>
        <v>0</v>
      </c>
      <c r="N290" s="8">
        <f>+Données!K290</f>
        <v>-444.65000000000902</v>
      </c>
      <c r="O290" s="8">
        <f>(Données!L290/Données!Y290)*1</f>
        <v>323785.06249999994</v>
      </c>
      <c r="P290" s="464">
        <f t="shared" si="14"/>
        <v>2107356.0260448307</v>
      </c>
      <c r="Q290" s="241">
        <f>+Données!X290</f>
        <v>63.5</v>
      </c>
      <c r="R290" s="464">
        <f t="shared" si="12"/>
        <v>33186.709071572135</v>
      </c>
    </row>
    <row r="291" spans="1:18" x14ac:dyDescent="0.25">
      <c r="A291" s="7">
        <f>Données!A291</f>
        <v>5923</v>
      </c>
      <c r="B291" s="27" t="str">
        <f>Données!B291</f>
        <v>Oppens</v>
      </c>
      <c r="C291" s="8">
        <f>Données!C291+Données!D291</f>
        <v>336974.36000000004</v>
      </c>
      <c r="D291" s="8">
        <f>+Données!G291+Données!H291+Données!S291</f>
        <v>3539.5354566475999</v>
      </c>
      <c r="E291" s="8">
        <f>+Données!E291</f>
        <v>0</v>
      </c>
      <c r="F291" s="8">
        <f>+Données!I291</f>
        <v>0</v>
      </c>
      <c r="G291" s="8">
        <f>+Données!J291</f>
        <v>26224.33</v>
      </c>
      <c r="H291" s="8">
        <f>Données!U291</f>
        <v>-3900.52</v>
      </c>
      <c r="I291" s="216">
        <f>Données!V291</f>
        <v>0</v>
      </c>
      <c r="J291" s="216">
        <f>Données!W291</f>
        <v>0</v>
      </c>
      <c r="K291" s="8">
        <f>+Données!Q291</f>
        <v>0</v>
      </c>
      <c r="L291" s="464">
        <f t="shared" si="13"/>
        <v>362837.70545664761</v>
      </c>
      <c r="M291" s="8">
        <f>+Données!F291</f>
        <v>0</v>
      </c>
      <c r="N291" s="8">
        <f>+Données!K291</f>
        <v>0</v>
      </c>
      <c r="O291" s="8">
        <f>(Données!L291/Données!Y291)*1</f>
        <v>25830.400000000001</v>
      </c>
      <c r="P291" s="464">
        <f t="shared" si="14"/>
        <v>388668.10545664764</v>
      </c>
      <c r="Q291" s="241">
        <f>+Données!X291</f>
        <v>81</v>
      </c>
      <c r="R291" s="464">
        <f t="shared" si="12"/>
        <v>4798.3716723042917</v>
      </c>
    </row>
    <row r="292" spans="1:18" x14ac:dyDescent="0.25">
      <c r="A292" s="7">
        <f>Données!A292</f>
        <v>5924</v>
      </c>
      <c r="B292" s="27" t="str">
        <f>Données!B292</f>
        <v>Orges</v>
      </c>
      <c r="C292" s="8">
        <f>Données!C292+Données!D292</f>
        <v>833287.14</v>
      </c>
      <c r="D292" s="8">
        <f>+Données!G292+Données!H292+Données!S292</f>
        <v>36032.477537327904</v>
      </c>
      <c r="E292" s="8">
        <f>+Données!E292</f>
        <v>0</v>
      </c>
      <c r="F292" s="8">
        <f>+Données!I292</f>
        <v>0</v>
      </c>
      <c r="G292" s="8">
        <f>+Données!J292</f>
        <v>2483.7199999999998</v>
      </c>
      <c r="H292" s="8">
        <f>Données!U292</f>
        <v>-4091.03</v>
      </c>
      <c r="I292" s="216">
        <f>Données!V292</f>
        <v>0</v>
      </c>
      <c r="J292" s="216">
        <f>Données!W292</f>
        <v>-74.400000000000006</v>
      </c>
      <c r="K292" s="8">
        <f>+Données!Q292</f>
        <v>0</v>
      </c>
      <c r="L292" s="464">
        <f t="shared" si="13"/>
        <v>867637.90753732785</v>
      </c>
      <c r="M292" s="8">
        <f>+Données!F292</f>
        <v>0</v>
      </c>
      <c r="N292" s="8">
        <f>+Données!K292</f>
        <v>0</v>
      </c>
      <c r="O292" s="8">
        <f>(Données!L292/Données!Y292)*1</f>
        <v>58527</v>
      </c>
      <c r="P292" s="464">
        <f t="shared" si="14"/>
        <v>926164.90753732785</v>
      </c>
      <c r="Q292" s="241">
        <f>+Données!X292</f>
        <v>74</v>
      </c>
      <c r="R292" s="464">
        <f t="shared" si="12"/>
        <v>12515.741993747673</v>
      </c>
    </row>
    <row r="293" spans="1:18" x14ac:dyDescent="0.25">
      <c r="A293" s="7">
        <f>Données!A293</f>
        <v>5925</v>
      </c>
      <c r="B293" s="27" t="str">
        <f>Données!B293</f>
        <v>Orzens</v>
      </c>
      <c r="C293" s="8">
        <f>Données!C293+Données!D293</f>
        <v>436903.04000000004</v>
      </c>
      <c r="D293" s="8">
        <f>+Données!G293+Données!H293+Données!S293</f>
        <v>-3764.8</v>
      </c>
      <c r="E293" s="8">
        <f>+Données!E293</f>
        <v>0</v>
      </c>
      <c r="F293" s="8">
        <f>+Données!I293</f>
        <v>0</v>
      </c>
      <c r="G293" s="8">
        <f>+Données!J293</f>
        <v>10449.290000000001</v>
      </c>
      <c r="H293" s="8">
        <f>Données!U293</f>
        <v>-11676.58</v>
      </c>
      <c r="I293" s="216">
        <f>Données!V293</f>
        <v>0</v>
      </c>
      <c r="J293" s="216">
        <f>Données!W293</f>
        <v>0</v>
      </c>
      <c r="K293" s="8">
        <f>+Données!Q293</f>
        <v>0</v>
      </c>
      <c r="L293" s="464">
        <f t="shared" si="13"/>
        <v>431910.95</v>
      </c>
      <c r="M293" s="8">
        <f>+Données!F293</f>
        <v>1230</v>
      </c>
      <c r="N293" s="8">
        <f>+Données!K293</f>
        <v>0</v>
      </c>
      <c r="O293" s="8">
        <f>(Données!L293/Données!Y293)*1</f>
        <v>31788.1</v>
      </c>
      <c r="P293" s="464">
        <f t="shared" si="14"/>
        <v>464929.05</v>
      </c>
      <c r="Q293" s="241">
        <f>+Données!X293</f>
        <v>79</v>
      </c>
      <c r="R293" s="464">
        <f t="shared" si="12"/>
        <v>5885.1778481012652</v>
      </c>
    </row>
    <row r="294" spans="1:18" x14ac:dyDescent="0.25">
      <c r="A294" s="7">
        <f>Données!A294</f>
        <v>5926</v>
      </c>
      <c r="B294" s="27" t="str">
        <f>Données!B294</f>
        <v>Pomy</v>
      </c>
      <c r="C294" s="8">
        <f>Données!C294+Données!D294</f>
        <v>1798247.3900000001</v>
      </c>
      <c r="D294" s="8">
        <f>+Données!G294+Données!H294+Données!S294</f>
        <v>5799.499141862615</v>
      </c>
      <c r="E294" s="8">
        <f>+Données!E294</f>
        <v>0</v>
      </c>
      <c r="F294" s="8">
        <f>+Données!I294</f>
        <v>0</v>
      </c>
      <c r="G294" s="8">
        <f>+Données!J294</f>
        <v>22139.54</v>
      </c>
      <c r="H294" s="8">
        <f>Données!U294</f>
        <v>-11331.52</v>
      </c>
      <c r="I294" s="216">
        <f>Données!V294</f>
        <v>0</v>
      </c>
      <c r="J294" s="216">
        <f>Données!W294</f>
        <v>-90.08</v>
      </c>
      <c r="K294" s="8">
        <f>+Données!Q294</f>
        <v>4972.66</v>
      </c>
      <c r="L294" s="464">
        <f t="shared" si="13"/>
        <v>1819737.4891418626</v>
      </c>
      <c r="M294" s="8">
        <f>+Données!F294</f>
        <v>0</v>
      </c>
      <c r="N294" s="8">
        <f>+Données!K294</f>
        <v>0</v>
      </c>
      <c r="O294" s="8">
        <f>(Données!L294/Données!Y294)*1</f>
        <v>122933.4</v>
      </c>
      <c r="P294" s="464">
        <f t="shared" si="14"/>
        <v>1942670.8891418625</v>
      </c>
      <c r="Q294" s="241">
        <f>+Données!X294</f>
        <v>71</v>
      </c>
      <c r="R294" s="464">
        <f t="shared" si="12"/>
        <v>27361.56181889947</v>
      </c>
    </row>
    <row r="295" spans="1:18" x14ac:dyDescent="0.25">
      <c r="A295" s="7">
        <f>Données!A295</f>
        <v>5928</v>
      </c>
      <c r="B295" s="27" t="str">
        <f>Données!B295</f>
        <v>Rovray</v>
      </c>
      <c r="C295" s="8">
        <f>Données!C295+Données!D295</f>
        <v>352598.07</v>
      </c>
      <c r="D295" s="8">
        <f>+Données!G295+Données!H295+Données!S295</f>
        <v>3544.9161918374903</v>
      </c>
      <c r="E295" s="8">
        <f>+Données!E295</f>
        <v>0</v>
      </c>
      <c r="F295" s="8">
        <f>+Données!I295</f>
        <v>0</v>
      </c>
      <c r="G295" s="8">
        <f>+Données!J295</f>
        <v>25596.57</v>
      </c>
      <c r="H295" s="8">
        <f>Données!U295</f>
        <v>-6650.09</v>
      </c>
      <c r="I295" s="216">
        <f>Données!V295</f>
        <v>0</v>
      </c>
      <c r="J295" s="216">
        <f>Données!W295</f>
        <v>-21.61</v>
      </c>
      <c r="K295" s="8">
        <f>+Données!Q295</f>
        <v>-1.82</v>
      </c>
      <c r="L295" s="464">
        <f t="shared" si="13"/>
        <v>375066.03619183751</v>
      </c>
      <c r="M295" s="8">
        <f>+Données!F295</f>
        <v>0</v>
      </c>
      <c r="N295" s="8">
        <f>+Données!K295</f>
        <v>0</v>
      </c>
      <c r="O295" s="8">
        <f>(Données!L295/Données!Y295)*1</f>
        <v>22647</v>
      </c>
      <c r="P295" s="464">
        <f t="shared" si="14"/>
        <v>397713.03619183751</v>
      </c>
      <c r="Q295" s="241">
        <f>+Données!X295</f>
        <v>71.5</v>
      </c>
      <c r="R295" s="464">
        <f t="shared" si="12"/>
        <v>5562.4200865991261</v>
      </c>
    </row>
    <row r="296" spans="1:18" x14ac:dyDescent="0.25">
      <c r="A296" s="7">
        <f>Données!A296</f>
        <v>5929</v>
      </c>
      <c r="B296" s="27" t="str">
        <f>Données!B296</f>
        <v>Suchy</v>
      </c>
      <c r="C296" s="8">
        <f>Données!C296+Données!D296</f>
        <v>1205932.8</v>
      </c>
      <c r="D296" s="8">
        <f>+Données!G296+Données!H296+Données!S296</f>
        <v>33351.443870773408</v>
      </c>
      <c r="E296" s="8">
        <f>+Données!E296</f>
        <v>0</v>
      </c>
      <c r="F296" s="8">
        <f>+Données!I296</f>
        <v>41100.15</v>
      </c>
      <c r="G296" s="8">
        <f>+Données!J296</f>
        <v>14288.28</v>
      </c>
      <c r="H296" s="8">
        <f>Données!U296</f>
        <v>-21227.27</v>
      </c>
      <c r="I296" s="216">
        <f>Données!V296</f>
        <v>0</v>
      </c>
      <c r="J296" s="216">
        <f>Données!W296</f>
        <v>-14.49</v>
      </c>
      <c r="K296" s="8">
        <f>+Données!Q296</f>
        <v>0</v>
      </c>
      <c r="L296" s="464">
        <f t="shared" si="13"/>
        <v>1273430.9138707733</v>
      </c>
      <c r="M296" s="8">
        <f>+Données!F296</f>
        <v>0</v>
      </c>
      <c r="N296" s="8">
        <f>+Données!K296</f>
        <v>0</v>
      </c>
      <c r="O296" s="8">
        <f>(Données!L296/Données!Y296)*1</f>
        <v>113824.0625</v>
      </c>
      <c r="P296" s="464">
        <f t="shared" si="14"/>
        <v>1387254.9763707733</v>
      </c>
      <c r="Q296" s="241">
        <f>+Données!X296</f>
        <v>70</v>
      </c>
      <c r="R296" s="464">
        <f t="shared" si="12"/>
        <v>19817.928233868191</v>
      </c>
    </row>
    <row r="297" spans="1:18" x14ac:dyDescent="0.25">
      <c r="A297" s="7">
        <f>Données!A297</f>
        <v>5930</v>
      </c>
      <c r="B297" s="27" t="str">
        <f>Données!B297</f>
        <v>Suscévaz</v>
      </c>
      <c r="C297" s="8">
        <f>Données!C297+Données!D297</f>
        <v>383054.68</v>
      </c>
      <c r="D297" s="8">
        <f>+Données!G297+Données!H297+Données!S297</f>
        <v>5018.139524644992</v>
      </c>
      <c r="E297" s="8">
        <f>+Données!E297</f>
        <v>0</v>
      </c>
      <c r="F297" s="8">
        <f>+Données!I297</f>
        <v>0</v>
      </c>
      <c r="G297" s="8">
        <f>+Données!J297</f>
        <v>9254.5</v>
      </c>
      <c r="H297" s="8">
        <f>Données!U297</f>
        <v>-13416.71</v>
      </c>
      <c r="I297" s="216">
        <f>Données!V297</f>
        <v>0</v>
      </c>
      <c r="J297" s="216">
        <f>Données!W297</f>
        <v>0</v>
      </c>
      <c r="K297" s="8">
        <f>+Données!Q297</f>
        <v>0</v>
      </c>
      <c r="L297" s="464">
        <f t="shared" si="13"/>
        <v>383910.60952464497</v>
      </c>
      <c r="M297" s="8">
        <f>+Données!F297</f>
        <v>1180</v>
      </c>
      <c r="N297" s="8">
        <f>+Données!K297</f>
        <v>228.6</v>
      </c>
      <c r="O297" s="8">
        <f>(Données!L297/Données!Y297)*1</f>
        <v>29960.15</v>
      </c>
      <c r="P297" s="464">
        <f t="shared" si="14"/>
        <v>415279.35952464497</v>
      </c>
      <c r="Q297" s="241">
        <f>+Données!X297</f>
        <v>72</v>
      </c>
      <c r="R297" s="464">
        <f t="shared" si="12"/>
        <v>5767.7688822867358</v>
      </c>
    </row>
    <row r="298" spans="1:18" x14ac:dyDescent="0.25">
      <c r="A298" s="7">
        <f>Données!A298</f>
        <v>5931</v>
      </c>
      <c r="B298" s="27" t="str">
        <f>Données!B298</f>
        <v>Treycovagnes</v>
      </c>
      <c r="C298" s="8">
        <f>Données!C298+Données!D298</f>
        <v>1034744.5299999999</v>
      </c>
      <c r="D298" s="8">
        <f>+Données!G298+Données!H298+Données!S298</f>
        <v>19425.387428342867</v>
      </c>
      <c r="E298" s="8">
        <f>+Données!E298</f>
        <v>0</v>
      </c>
      <c r="F298" s="8">
        <f>+Données!I298</f>
        <v>0</v>
      </c>
      <c r="G298" s="8">
        <f>+Données!J298</f>
        <v>19888.89</v>
      </c>
      <c r="H298" s="8">
        <f>Données!U298</f>
        <v>-4549.88</v>
      </c>
      <c r="I298" s="216">
        <f>Données!V298</f>
        <v>0</v>
      </c>
      <c r="J298" s="216">
        <f>Données!W298</f>
        <v>-53.69</v>
      </c>
      <c r="K298" s="8">
        <f>+Données!Q298</f>
        <v>4418.49</v>
      </c>
      <c r="L298" s="464">
        <f t="shared" si="13"/>
        <v>1073873.7274283429</v>
      </c>
      <c r="M298" s="8">
        <f>+Données!F298</f>
        <v>0</v>
      </c>
      <c r="N298" s="8">
        <f>+Données!K298</f>
        <v>644.4</v>
      </c>
      <c r="O298" s="8">
        <f>(Données!L298/Données!Y298)*1</f>
        <v>78865.8</v>
      </c>
      <c r="P298" s="464">
        <f t="shared" si="14"/>
        <v>1153383.9274283429</v>
      </c>
      <c r="Q298" s="241">
        <f>+Données!X298</f>
        <v>75</v>
      </c>
      <c r="R298" s="464">
        <f t="shared" si="12"/>
        <v>15378.452365711239</v>
      </c>
    </row>
    <row r="299" spans="1:18" x14ac:dyDescent="0.25">
      <c r="A299" s="7">
        <f>Données!A299</f>
        <v>5932</v>
      </c>
      <c r="B299" s="27" t="str">
        <f>Données!B299</f>
        <v>Ursins</v>
      </c>
      <c r="C299" s="8">
        <f>Données!C299+Données!D299</f>
        <v>438594.82</v>
      </c>
      <c r="D299" s="8">
        <f>+Données!G299+Données!H299+Données!S299</f>
        <v>484.48578893460774</v>
      </c>
      <c r="E299" s="8">
        <f>+Données!E299</f>
        <v>0</v>
      </c>
      <c r="F299" s="8">
        <f>+Données!I299</f>
        <v>38299.85</v>
      </c>
      <c r="G299" s="8">
        <f>+Données!J299</f>
        <v>907.44</v>
      </c>
      <c r="H299" s="8">
        <f>Données!U299</f>
        <v>-16511.14</v>
      </c>
      <c r="I299" s="216">
        <f>Données!V299</f>
        <v>0</v>
      </c>
      <c r="J299" s="216">
        <f>Données!W299</f>
        <v>0</v>
      </c>
      <c r="K299" s="8">
        <f>+Données!Q299</f>
        <v>14393.89</v>
      </c>
      <c r="L299" s="464">
        <f t="shared" si="13"/>
        <v>476169.34578893462</v>
      </c>
      <c r="M299" s="8">
        <f>+Données!F299</f>
        <v>1380</v>
      </c>
      <c r="N299" s="8">
        <f>+Données!K299</f>
        <v>819.5</v>
      </c>
      <c r="O299" s="8">
        <f>(Données!L299/Données!Y299)*1</f>
        <v>33076.699999999997</v>
      </c>
      <c r="P299" s="464">
        <f t="shared" si="14"/>
        <v>511445.54578893463</v>
      </c>
      <c r="Q299" s="241">
        <f>+Données!X299</f>
        <v>75</v>
      </c>
      <c r="R299" s="464">
        <f t="shared" si="12"/>
        <v>6819.2739438524613</v>
      </c>
    </row>
    <row r="300" spans="1:18" x14ac:dyDescent="0.25">
      <c r="A300" s="7">
        <f>Données!A300</f>
        <v>5933</v>
      </c>
      <c r="B300" s="27" t="str">
        <f>Données!B300</f>
        <v>Valeyres-sous-Montagny</v>
      </c>
      <c r="C300" s="8">
        <f>Données!C300+Données!D300</f>
        <v>1403057.66</v>
      </c>
      <c r="D300" s="8">
        <f>+Données!G300+Données!H300+Données!S300</f>
        <v>31807.721925886119</v>
      </c>
      <c r="E300" s="8">
        <f>+Données!E300</f>
        <v>0</v>
      </c>
      <c r="F300" s="8">
        <f>+Données!I300</f>
        <v>0</v>
      </c>
      <c r="G300" s="8">
        <f>+Données!J300</f>
        <v>15517.38</v>
      </c>
      <c r="H300" s="8">
        <f>Données!U300</f>
        <v>-6607.18</v>
      </c>
      <c r="I300" s="216">
        <f>Données!V300</f>
        <v>0</v>
      </c>
      <c r="J300" s="216">
        <f>Données!W300</f>
        <v>-4324.91</v>
      </c>
      <c r="K300" s="8">
        <f>+Données!Q300</f>
        <v>28810.02</v>
      </c>
      <c r="L300" s="464">
        <f t="shared" si="13"/>
        <v>1468260.6919258861</v>
      </c>
      <c r="M300" s="8">
        <f>+Données!F300</f>
        <v>0</v>
      </c>
      <c r="N300" s="8">
        <f>+Données!K300</f>
        <v>2972.55</v>
      </c>
      <c r="O300" s="8">
        <f>(Données!L300/Données!Y300)*1</f>
        <v>119486.85</v>
      </c>
      <c r="P300" s="464">
        <f t="shared" si="14"/>
        <v>1590720.0919258862</v>
      </c>
      <c r="Q300" s="241">
        <f>+Données!X300</f>
        <v>70.5</v>
      </c>
      <c r="R300" s="464">
        <f t="shared" si="12"/>
        <v>22563.405559232429</v>
      </c>
    </row>
    <row r="301" spans="1:18" x14ac:dyDescent="0.25">
      <c r="A301" s="7">
        <f>Données!A301</f>
        <v>5934</v>
      </c>
      <c r="B301" s="27" t="str">
        <f>Données!B301</f>
        <v>Valeyres-sous-Ursins</v>
      </c>
      <c r="C301" s="8">
        <f>Données!C301+Données!D301</f>
        <v>556322.43999999994</v>
      </c>
      <c r="D301" s="8">
        <f>+Données!G301+Données!H301+Données!S301</f>
        <v>-170.79999999999998</v>
      </c>
      <c r="E301" s="8">
        <f>+Données!E301</f>
        <v>0</v>
      </c>
      <c r="F301" s="8">
        <f>+Données!I301</f>
        <v>0</v>
      </c>
      <c r="G301" s="8">
        <f>+Données!J301</f>
        <v>13513.16</v>
      </c>
      <c r="H301" s="8">
        <f>Données!U301</f>
        <v>-524.38</v>
      </c>
      <c r="I301" s="216">
        <f>Données!V301</f>
        <v>0</v>
      </c>
      <c r="J301" s="216">
        <f>Données!W301</f>
        <v>0</v>
      </c>
      <c r="K301" s="8">
        <f>+Données!Q301</f>
        <v>0</v>
      </c>
      <c r="L301" s="464">
        <f t="shared" si="13"/>
        <v>569140.41999999993</v>
      </c>
      <c r="M301" s="8">
        <f>+Données!F301</f>
        <v>1420</v>
      </c>
      <c r="N301" s="8">
        <f>+Données!K301</f>
        <v>55.5</v>
      </c>
      <c r="O301" s="8">
        <f>(Données!L301/Données!Y301)*1</f>
        <v>28017.5</v>
      </c>
      <c r="P301" s="464">
        <f t="shared" si="14"/>
        <v>598633.41999999993</v>
      </c>
      <c r="Q301" s="241">
        <f>+Données!X301</f>
        <v>79</v>
      </c>
      <c r="R301" s="464">
        <f t="shared" si="12"/>
        <v>7577.6382278481005</v>
      </c>
    </row>
    <row r="302" spans="1:18" x14ac:dyDescent="0.25">
      <c r="A302" s="7">
        <f>Données!A302</f>
        <v>5935</v>
      </c>
      <c r="B302" s="27" t="str">
        <f>Données!B302</f>
        <v>Villars-Epeney</v>
      </c>
      <c r="C302" s="8">
        <f>Données!C302+Données!D302</f>
        <v>214778.16</v>
      </c>
      <c r="D302" s="8">
        <f>+Données!G302+Données!H302+Données!S302</f>
        <v>478.39128275014019</v>
      </c>
      <c r="E302" s="8">
        <f>+Données!E302</f>
        <v>0</v>
      </c>
      <c r="F302" s="8">
        <f>+Données!I302</f>
        <v>0</v>
      </c>
      <c r="G302" s="8">
        <f>+Données!J302</f>
        <v>1705.98</v>
      </c>
      <c r="H302" s="8">
        <f>Données!U302</f>
        <v>-28.68</v>
      </c>
      <c r="I302" s="216">
        <f>Données!V302</f>
        <v>0</v>
      </c>
      <c r="J302" s="216">
        <f>Données!W302</f>
        <v>-889.13</v>
      </c>
      <c r="K302" s="8">
        <f>+Données!Q302</f>
        <v>0</v>
      </c>
      <c r="L302" s="464">
        <f t="shared" si="13"/>
        <v>216044.72128275016</v>
      </c>
      <c r="M302" s="8">
        <f>+Données!F302</f>
        <v>0</v>
      </c>
      <c r="N302" s="8">
        <f>+Données!K302</f>
        <v>0</v>
      </c>
      <c r="O302" s="8">
        <f>(Données!L302/Données!Y302)*1</f>
        <v>19639</v>
      </c>
      <c r="P302" s="464">
        <f t="shared" si="14"/>
        <v>235683.72128275016</v>
      </c>
      <c r="Q302" s="241">
        <f>+Données!X302</f>
        <v>60</v>
      </c>
      <c r="R302" s="464">
        <f t="shared" si="12"/>
        <v>3928.0620213791694</v>
      </c>
    </row>
    <row r="303" spans="1:18" x14ac:dyDescent="0.25">
      <c r="A303" s="7">
        <f>Données!A303</f>
        <v>5937</v>
      </c>
      <c r="B303" s="27" t="str">
        <f>Données!B303</f>
        <v>Vugelles-La Mothe</v>
      </c>
      <c r="C303" s="8">
        <f>Données!C303+Données!D303</f>
        <v>203344.61000000002</v>
      </c>
      <c r="D303" s="8">
        <f>+Données!G303+Données!H303+Données!S303</f>
        <v>6182.3549222616539</v>
      </c>
      <c r="E303" s="8">
        <f>+Données!E303</f>
        <v>0</v>
      </c>
      <c r="F303" s="8">
        <f>+Données!I303</f>
        <v>0</v>
      </c>
      <c r="G303" s="8">
        <f>+Données!J303</f>
        <v>1313.24</v>
      </c>
      <c r="H303" s="8">
        <f>Données!U303</f>
        <v>-3791.05</v>
      </c>
      <c r="I303" s="216">
        <f>Données!V303</f>
        <v>0</v>
      </c>
      <c r="J303" s="216">
        <f>Données!W303</f>
        <v>-36.61</v>
      </c>
      <c r="K303" s="8">
        <f>+Données!Q303</f>
        <v>0</v>
      </c>
      <c r="L303" s="464">
        <f t="shared" si="13"/>
        <v>207012.54492226167</v>
      </c>
      <c r="M303" s="8">
        <f>+Données!F303</f>
        <v>0</v>
      </c>
      <c r="N303" s="8">
        <f>+Données!K303</f>
        <v>0</v>
      </c>
      <c r="O303" s="8">
        <f>(Données!L303/Données!Y303)*1</f>
        <v>16003.214285714286</v>
      </c>
      <c r="P303" s="464">
        <f t="shared" si="14"/>
        <v>223015.75920797596</v>
      </c>
      <c r="Q303" s="241">
        <f>+Données!X303</f>
        <v>70</v>
      </c>
      <c r="R303" s="464">
        <f t="shared" si="12"/>
        <v>3185.9394172567995</v>
      </c>
    </row>
    <row r="304" spans="1:18" x14ac:dyDescent="0.25">
      <c r="A304" s="7">
        <f>Données!A304</f>
        <v>5938</v>
      </c>
      <c r="B304" s="27" t="str">
        <f>Données!B304</f>
        <v>Yverdon-les-Bains</v>
      </c>
      <c r="C304" s="8">
        <f>Données!C304+Données!D304</f>
        <v>47896906.699999996</v>
      </c>
      <c r="D304" s="8">
        <f>+Données!G304+Données!H304+Données!S304</f>
        <v>6260579.9955468178</v>
      </c>
      <c r="E304" s="8">
        <f>+Données!E304</f>
        <v>0</v>
      </c>
      <c r="F304" s="8">
        <f>+Données!I304</f>
        <v>36575.35</v>
      </c>
      <c r="G304" s="8">
        <f>+Données!J304</f>
        <v>1609583.91</v>
      </c>
      <c r="H304" s="8">
        <f>Données!U304</f>
        <v>-1373361.28</v>
      </c>
      <c r="I304" s="216">
        <f>Données!V304</f>
        <v>0</v>
      </c>
      <c r="J304" s="216">
        <f>Données!W304</f>
        <v>-43494.7</v>
      </c>
      <c r="K304" s="8">
        <f>+Données!Q304</f>
        <v>254442.56</v>
      </c>
      <c r="L304" s="464">
        <f t="shared" si="13"/>
        <v>54641232.535546809</v>
      </c>
      <c r="M304" s="8">
        <f>+Données!F304</f>
        <v>0</v>
      </c>
      <c r="N304" s="8">
        <f>+Données!K304</f>
        <v>590078.35</v>
      </c>
      <c r="O304" s="8">
        <f>(Données!L304/Données!Y304)*1</f>
        <v>4385542.5999999996</v>
      </c>
      <c r="P304" s="464">
        <f t="shared" si="14"/>
        <v>59616853.485546812</v>
      </c>
      <c r="Q304" s="241">
        <f>+Données!X304</f>
        <v>75</v>
      </c>
      <c r="R304" s="464">
        <f t="shared" si="12"/>
        <v>794891.37980729085</v>
      </c>
    </row>
    <row r="305" spans="1:18" x14ac:dyDescent="0.25">
      <c r="A305" s="7">
        <f>Données!A305</f>
        <v>5939</v>
      </c>
      <c r="B305" s="27" t="str">
        <f>Données!B305</f>
        <v>Yvonand</v>
      </c>
      <c r="C305" s="8">
        <f>Données!C305+Données!D305</f>
        <v>5813630.4800000004</v>
      </c>
      <c r="D305" s="8">
        <f>+Données!G305+Données!H305+Données!S305</f>
        <v>220748.44964206484</v>
      </c>
      <c r="E305" s="8">
        <f>+Données!E305</f>
        <v>0</v>
      </c>
      <c r="F305" s="8">
        <f>+Données!I305</f>
        <v>0</v>
      </c>
      <c r="G305" s="8">
        <f>+Données!J305</f>
        <v>104381.6</v>
      </c>
      <c r="H305" s="8">
        <f>Données!U305</f>
        <v>-91229.45</v>
      </c>
      <c r="I305" s="216">
        <f>Données!V305</f>
        <v>0</v>
      </c>
      <c r="J305" s="216">
        <f>Données!W305</f>
        <v>-910.88</v>
      </c>
      <c r="K305" s="8">
        <f>+Données!Q305</f>
        <v>18715.98</v>
      </c>
      <c r="L305" s="464">
        <f t="shared" si="13"/>
        <v>6065336.1796420654</v>
      </c>
      <c r="M305" s="8">
        <f>+Données!F305</f>
        <v>0</v>
      </c>
      <c r="N305" s="8">
        <f>+Données!K305</f>
        <v>-1086.4000000000001</v>
      </c>
      <c r="O305" s="8">
        <f>(Données!L305/Données!Y305)*1</f>
        <v>572998.35</v>
      </c>
      <c r="P305" s="464">
        <f t="shared" si="14"/>
        <v>6637248.1296420647</v>
      </c>
      <c r="Q305" s="241">
        <f>+Données!X305</f>
        <v>71.5</v>
      </c>
      <c r="R305" s="464">
        <f t="shared" si="12"/>
        <v>92828.645169819079</v>
      </c>
    </row>
    <row r="306" spans="1:18" x14ac:dyDescent="0.25">
      <c r="A306" s="6"/>
      <c r="B306" s="19">
        <f>COUNTA(B6:B305)</f>
        <v>300</v>
      </c>
      <c r="C306" s="9">
        <f t="shared" ref="C306:O306" si="15">SUM(C6:C305)</f>
        <v>1982076791.75</v>
      </c>
      <c r="D306" s="9">
        <f>SUM(D6:D305)</f>
        <v>272568147.93999982</v>
      </c>
      <c r="E306" s="9">
        <f>SUM(E6:E305)</f>
        <v>0</v>
      </c>
      <c r="F306" s="9">
        <f>SUM(F6:F305)</f>
        <v>42860556.820000023</v>
      </c>
      <c r="G306" s="9">
        <f>SUM(G6:G305)</f>
        <v>75388874.820000023</v>
      </c>
      <c r="H306" s="9">
        <f t="shared" si="15"/>
        <v>-34569034.339999981</v>
      </c>
      <c r="I306" s="9">
        <f t="shared" si="15"/>
        <v>-15616.9</v>
      </c>
      <c r="J306" s="9">
        <f t="shared" si="15"/>
        <v>-4437286.6099999994</v>
      </c>
      <c r="K306" s="9">
        <f>SUM(K6:K305)</f>
        <v>7090747.5699999984</v>
      </c>
      <c r="L306" s="465">
        <f>SUM(L6:L305)</f>
        <v>2340963181.0500002</v>
      </c>
      <c r="M306" s="62">
        <f t="shared" si="15"/>
        <v>107141.9</v>
      </c>
      <c r="N306" s="9">
        <f>SUM(N6:N305)</f>
        <v>20340412.849999998</v>
      </c>
      <c r="O306" s="9">
        <f t="shared" si="15"/>
        <v>182150669.61012056</v>
      </c>
      <c r="P306" s="465">
        <f>SUM(P6:P305)</f>
        <v>2543561405.4101224</v>
      </c>
      <c r="Q306" s="17">
        <f>P306/R306</f>
        <v>67.569303017074205</v>
      </c>
      <c r="R306" s="465">
        <f t="shared" ref="R306" si="16">SUM(R6:R305)</f>
        <v>37643741.933631986</v>
      </c>
    </row>
    <row r="307" spans="1:18" x14ac:dyDescent="0.25">
      <c r="C307" s="5"/>
      <c r="E307" s="5"/>
      <c r="G307" s="5"/>
      <c r="H307" s="5"/>
      <c r="I307" s="5"/>
      <c r="J307" s="5"/>
      <c r="K307" s="5"/>
      <c r="L307" s="5"/>
      <c r="M307" s="5"/>
      <c r="N307" s="5"/>
      <c r="O307" s="207"/>
      <c r="P307" s="5"/>
      <c r="Q307" s="5"/>
      <c r="R307" s="5"/>
    </row>
    <row r="308" spans="1:18" x14ac:dyDescent="0.25">
      <c r="C308" s="5"/>
      <c r="H308" s="5"/>
      <c r="I308" s="5"/>
      <c r="J308" s="5"/>
      <c r="K308" s="5"/>
      <c r="L308" s="5"/>
      <c r="M308" s="5"/>
      <c r="P308" s="5"/>
      <c r="Q308" s="5"/>
      <c r="R308" s="5"/>
    </row>
    <row r="309" spans="1:18" x14ac:dyDescent="0.25">
      <c r="C309" s="5"/>
      <c r="I309" s="5"/>
    </row>
    <row r="310" spans="1:18" x14ac:dyDescent="0.25">
      <c r="C310" s="5"/>
      <c r="G310" s="5"/>
      <c r="I310" s="29"/>
    </row>
    <row r="311" spans="1:18" x14ac:dyDescent="0.25">
      <c r="G311" s="5"/>
    </row>
    <row r="312" spans="1:18" x14ac:dyDescent="0.25">
      <c r="G312" s="5"/>
    </row>
    <row r="313" spans="1:18" x14ac:dyDescent="0.25">
      <c r="G313" s="5"/>
    </row>
    <row r="314" spans="1:18" x14ac:dyDescent="0.25">
      <c r="G314" s="29"/>
    </row>
    <row r="315" spans="1:18" s="5" customFormat="1" x14ac:dyDescent="0.25">
      <c r="A315" s="4"/>
    </row>
  </sheetData>
  <sheetProtection sheet="1" objects="1" scenarios="1"/>
  <mergeCells count="9">
    <mergeCell ref="O4:O5"/>
    <mergeCell ref="P4:P5"/>
    <mergeCell ref="A4:A5"/>
    <mergeCell ref="B4:B5"/>
    <mergeCell ref="K4:K5"/>
    <mergeCell ref="L4:L5"/>
    <mergeCell ref="H4:H5"/>
    <mergeCell ref="I4:I5"/>
    <mergeCell ref="J4:J5"/>
  </mergeCells>
  <phoneticPr fontId="0" type="noConversion"/>
  <hyperlinks>
    <hyperlink ref="E1" location="Données!A1" display="← Précédent" xr:uid="{BBD3D6D8-6A8D-46DD-B28F-66885CE3043A}"/>
    <hyperlink ref="F1" location="'Table des matières'!A1" display="Table des             matières" xr:uid="{A8DDC96E-1717-4FF4-AED1-4FC492DF2C51}"/>
    <hyperlink ref="G1" location="PCS!A1" display="Suivant →" xr:uid="{744A35FE-F150-4B65-9CDD-34566698A827}"/>
  </hyperlinks>
  <pageMargins left="0" right="0" top="0" bottom="0" header="0.51181102362204722" footer="0.51181102362204722"/>
  <pageSetup paperSize="8" scale="70" orientation="landscape" horizontalDpi="4294967292" vertic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C00000"/>
  </sheetPr>
  <dimension ref="A1:AC324"/>
  <sheetViews>
    <sheetView workbookViewId="0">
      <pane ySplit="11" topLeftCell="A12" activePane="bottomLeft" state="frozen"/>
      <selection pane="bottomLeft"/>
    </sheetView>
  </sheetViews>
  <sheetFormatPr baseColWidth="10" defaultColWidth="10.75" defaultRowHeight="15" x14ac:dyDescent="0.25"/>
  <cols>
    <col min="1" max="1" width="7.25" style="11" customWidth="1"/>
    <col min="2" max="2" width="20.25" style="11" customWidth="1"/>
    <col min="3" max="3" width="16.25" style="11" customWidth="1"/>
    <col min="4" max="4" width="12.75" style="11" customWidth="1"/>
    <col min="5" max="5" width="16.125" style="11" customWidth="1"/>
    <col min="6" max="6" width="12.5" style="11" customWidth="1"/>
    <col min="7" max="7" width="12.125" style="11" customWidth="1"/>
    <col min="8" max="8" width="12.5" style="11" customWidth="1"/>
    <col min="9" max="9" width="10.75" style="220" bestFit="1" customWidth="1"/>
    <col min="10" max="10" width="14" style="11" customWidth="1"/>
    <col min="11" max="16" width="12.125" style="11" customWidth="1"/>
    <col min="17" max="19" width="8.125" style="11" customWidth="1"/>
    <col min="20" max="27" width="11" style="11" customWidth="1"/>
    <col min="28" max="28" width="9.25" style="11" customWidth="1"/>
    <col min="29" max="29" width="11" style="11" customWidth="1"/>
    <col min="30" max="16384" width="10.75" style="11"/>
  </cols>
  <sheetData>
    <row r="1" spans="1:29" s="33" customFormat="1" ht="26.25" x14ac:dyDescent="0.25">
      <c r="A1" s="282" t="s">
        <v>430</v>
      </c>
      <c r="B1" s="32"/>
      <c r="C1" s="49"/>
      <c r="D1" s="49"/>
      <c r="E1" s="415" t="s">
        <v>409</v>
      </c>
      <c r="F1" s="306" t="s">
        <v>401</v>
      </c>
      <c r="G1" s="511" t="s">
        <v>410</v>
      </c>
      <c r="H1" s="49"/>
      <c r="I1" s="222"/>
      <c r="J1" s="11"/>
      <c r="K1" s="11"/>
      <c r="L1" s="11"/>
      <c r="M1" s="11"/>
      <c r="N1" s="11"/>
      <c r="O1" s="11"/>
      <c r="P1" s="11"/>
      <c r="Q1" s="11"/>
      <c r="R1" s="11"/>
      <c r="S1" s="11"/>
      <c r="T1" s="11"/>
      <c r="U1" s="11"/>
      <c r="V1" s="11"/>
      <c r="W1" s="11"/>
      <c r="X1" s="11"/>
      <c r="Y1" s="11"/>
      <c r="Z1" s="11"/>
      <c r="AA1" s="11"/>
      <c r="AB1" s="11"/>
      <c r="AC1" s="11"/>
    </row>
    <row r="2" spans="1:29" s="33" customFormat="1" ht="15.75" x14ac:dyDescent="0.25">
      <c r="A2" s="360" t="str">
        <f>Paramètres!B4</f>
        <v>Acomptes 2022</v>
      </c>
      <c r="B2" s="32"/>
      <c r="C2" s="222"/>
      <c r="D2" s="222"/>
      <c r="E2" s="222"/>
      <c r="F2" s="222"/>
      <c r="G2" s="222"/>
      <c r="H2" s="222"/>
      <c r="I2" s="222"/>
      <c r="J2" s="220"/>
      <c r="K2" s="220"/>
      <c r="L2" s="220"/>
      <c r="M2" s="220"/>
      <c r="N2" s="220"/>
      <c r="O2" s="220"/>
      <c r="P2" s="220"/>
      <c r="Q2" s="220"/>
      <c r="R2" s="220"/>
      <c r="S2" s="220"/>
      <c r="T2" s="220"/>
      <c r="U2" s="220"/>
      <c r="V2" s="220"/>
      <c r="W2" s="220"/>
      <c r="X2" s="220"/>
      <c r="Y2" s="220"/>
      <c r="Z2" s="220"/>
      <c r="AA2" s="220"/>
      <c r="AB2" s="220"/>
      <c r="AC2" s="220"/>
    </row>
    <row r="3" spans="1:29" s="40" customFormat="1" x14ac:dyDescent="0.25">
      <c r="A3" s="22"/>
      <c r="D3" s="11"/>
      <c r="E3" s="11"/>
      <c r="F3" s="11"/>
      <c r="G3" s="11"/>
      <c r="H3" s="383"/>
      <c r="I3" s="383"/>
      <c r="J3" s="11"/>
      <c r="K3" s="11"/>
      <c r="L3" s="11"/>
      <c r="M3" s="11"/>
      <c r="N3" s="11"/>
      <c r="O3" s="11"/>
      <c r="P3" s="11"/>
      <c r="Q3" s="11"/>
      <c r="R3" s="11"/>
      <c r="S3" s="11"/>
      <c r="T3" s="11"/>
      <c r="U3" s="11"/>
      <c r="V3" s="11"/>
      <c r="W3" s="11"/>
      <c r="X3" s="11"/>
      <c r="Y3" s="11"/>
      <c r="Z3" s="11"/>
      <c r="AA3" s="11"/>
      <c r="AB3" s="11"/>
      <c r="AC3" s="11"/>
    </row>
    <row r="4" spans="1:29" s="40" customFormat="1" ht="15" customHeight="1" x14ac:dyDescent="0.25">
      <c r="A4" s="610" t="s">
        <v>418</v>
      </c>
      <c r="B4" s="611"/>
      <c r="C4" s="611"/>
      <c r="D4" s="332" t="s">
        <v>382</v>
      </c>
      <c r="E4" s="335" t="s">
        <v>382</v>
      </c>
      <c r="F4" s="220"/>
      <c r="G4" s="395"/>
      <c r="H4" s="395"/>
      <c r="I4" s="395"/>
      <c r="J4" s="11"/>
      <c r="K4" s="11"/>
      <c r="L4" s="11"/>
      <c r="M4" s="11"/>
      <c r="N4" s="11"/>
      <c r="O4" s="11"/>
      <c r="P4" s="11"/>
      <c r="Q4" s="11"/>
      <c r="R4" s="11"/>
      <c r="S4" s="11"/>
      <c r="T4" s="11"/>
      <c r="U4" s="11"/>
      <c r="V4" s="11"/>
      <c r="W4" s="11"/>
      <c r="X4" s="11"/>
      <c r="Y4" s="11"/>
      <c r="Z4" s="11"/>
      <c r="AA4" s="11"/>
      <c r="AB4" s="11"/>
      <c r="AC4" s="11"/>
    </row>
    <row r="5" spans="1:29" s="477" customFormat="1" ht="18" customHeight="1" x14ac:dyDescent="0.2">
      <c r="A5" s="618" t="s">
        <v>426</v>
      </c>
      <c r="B5" s="619"/>
      <c r="C5" s="474">
        <f>Paramètres!B15</f>
        <v>810939700</v>
      </c>
      <c r="D5" s="475">
        <f>C5/$E$5</f>
        <v>21.542483779368478</v>
      </c>
      <c r="E5" s="476">
        <f>VPI!R306</f>
        <v>37643741.933631986</v>
      </c>
      <c r="F5" s="313"/>
      <c r="G5" s="395"/>
      <c r="H5" s="395"/>
      <c r="I5" s="395"/>
      <c r="J5" s="313"/>
      <c r="K5" s="313"/>
      <c r="L5" s="313"/>
      <c r="M5" s="313"/>
      <c r="N5" s="313"/>
      <c r="O5" s="313"/>
      <c r="P5" s="313"/>
      <c r="Q5" s="313"/>
      <c r="R5" s="313"/>
      <c r="S5" s="313"/>
      <c r="T5" s="313"/>
      <c r="U5" s="313"/>
      <c r="V5" s="313"/>
      <c r="W5" s="313"/>
      <c r="X5" s="313"/>
      <c r="Y5" s="313"/>
      <c r="Z5" s="313"/>
      <c r="AA5" s="313"/>
      <c r="AB5" s="313"/>
      <c r="AC5" s="313"/>
    </row>
    <row r="6" spans="1:29" s="477" customFormat="1" ht="18" customHeight="1" x14ac:dyDescent="0.2">
      <c r="A6" s="620" t="s">
        <v>310</v>
      </c>
      <c r="B6" s="621"/>
      <c r="C6" s="478">
        <f>-F312</f>
        <v>-145216323.29999995</v>
      </c>
      <c r="D6" s="479">
        <f>C6/$E$5</f>
        <v>-3.8576484653418466</v>
      </c>
      <c r="E6" s="480"/>
      <c r="F6" s="313"/>
      <c r="G6" s="395"/>
      <c r="H6" s="395"/>
      <c r="I6" s="395"/>
      <c r="J6" s="313"/>
      <c r="K6" s="313"/>
      <c r="L6" s="313"/>
      <c r="M6" s="313"/>
      <c r="N6" s="313"/>
      <c r="O6" s="313"/>
      <c r="P6" s="313"/>
      <c r="Q6" s="313"/>
      <c r="R6" s="313"/>
      <c r="S6" s="313"/>
      <c r="T6" s="313"/>
      <c r="U6" s="313"/>
      <c r="V6" s="313"/>
      <c r="W6" s="313"/>
      <c r="X6" s="313"/>
      <c r="Y6" s="313"/>
      <c r="Z6" s="313"/>
      <c r="AA6" s="313"/>
      <c r="AB6" s="313"/>
      <c r="AC6" s="313"/>
    </row>
    <row r="7" spans="1:29" s="477" customFormat="1" ht="18" customHeight="1" x14ac:dyDescent="0.2">
      <c r="A7" s="622" t="s">
        <v>311</v>
      </c>
      <c r="B7" s="623"/>
      <c r="C7" s="481">
        <f>-Ecrêtage!M306</f>
        <v>-116115875.9460061</v>
      </c>
      <c r="D7" s="482">
        <f>C7/$E$5</f>
        <v>-3.0845997231286111</v>
      </c>
      <c r="E7" s="480"/>
      <c r="F7" s="313"/>
      <c r="G7" s="395"/>
      <c r="H7" s="395"/>
      <c r="I7" s="395"/>
      <c r="J7" s="313"/>
      <c r="K7" s="313"/>
      <c r="L7" s="313"/>
      <c r="M7" s="313"/>
      <c r="N7" s="313"/>
      <c r="O7" s="313"/>
      <c r="P7" s="313"/>
      <c r="Q7" s="313"/>
      <c r="R7" s="313"/>
      <c r="S7" s="313"/>
      <c r="T7" s="313"/>
      <c r="U7" s="313"/>
      <c r="V7" s="313"/>
      <c r="W7" s="313"/>
      <c r="X7" s="313"/>
      <c r="Y7" s="313"/>
      <c r="Z7" s="313"/>
      <c r="AA7" s="313"/>
      <c r="AB7" s="313"/>
      <c r="AC7" s="313"/>
    </row>
    <row r="8" spans="1:29" s="477" customFormat="1" ht="18" customHeight="1" x14ac:dyDescent="0.2">
      <c r="A8" s="618" t="s">
        <v>427</v>
      </c>
      <c r="B8" s="619"/>
      <c r="C8" s="474">
        <f>C5+C7+C6</f>
        <v>549607500.75399399</v>
      </c>
      <c r="D8" s="475">
        <f>C8/$E$5</f>
        <v>14.60023559089802</v>
      </c>
      <c r="E8" s="480"/>
      <c r="F8" s="313"/>
      <c r="G8" s="395"/>
      <c r="H8" s="395"/>
      <c r="I8" s="395"/>
      <c r="J8" s="313"/>
      <c r="K8" s="313"/>
      <c r="L8" s="313"/>
      <c r="M8" s="313"/>
      <c r="N8" s="313"/>
      <c r="O8" s="313"/>
      <c r="P8" s="313"/>
      <c r="Q8" s="313"/>
      <c r="R8" s="313"/>
      <c r="S8" s="313"/>
      <c r="T8" s="313"/>
      <c r="U8" s="313"/>
      <c r="V8" s="313"/>
      <c r="W8" s="313"/>
      <c r="X8" s="313"/>
      <c r="Y8" s="313"/>
      <c r="Z8" s="313"/>
      <c r="AA8" s="313"/>
      <c r="AB8" s="313"/>
      <c r="AC8" s="313"/>
    </row>
    <row r="9" spans="1:29" s="40" customFormat="1" x14ac:dyDescent="0.25">
      <c r="A9" s="22"/>
      <c r="D9" s="11"/>
      <c r="E9" s="11"/>
      <c r="F9" s="11"/>
      <c r="G9" s="11"/>
      <c r="J9" s="11"/>
      <c r="K9" s="11"/>
      <c r="L9" s="11"/>
      <c r="M9" s="11"/>
      <c r="N9" s="11"/>
      <c r="O9" s="11"/>
      <c r="P9" s="11"/>
      <c r="Q9" s="11"/>
      <c r="R9" s="11"/>
      <c r="S9" s="11"/>
      <c r="T9" s="11"/>
      <c r="U9" s="11"/>
      <c r="V9" s="11"/>
      <c r="W9" s="11"/>
      <c r="X9" s="11"/>
      <c r="Y9" s="11"/>
      <c r="Z9" s="11"/>
      <c r="AA9" s="11"/>
      <c r="AB9" s="11"/>
      <c r="AC9" s="11"/>
    </row>
    <row r="10" spans="1:29" ht="49.5" customHeight="1" x14ac:dyDescent="0.25">
      <c r="A10" s="612" t="s">
        <v>44</v>
      </c>
      <c r="B10" s="616" t="s">
        <v>84</v>
      </c>
      <c r="C10" s="612" t="s">
        <v>506</v>
      </c>
      <c r="D10" s="322" t="s">
        <v>425</v>
      </c>
      <c r="E10" s="322" t="s">
        <v>543</v>
      </c>
      <c r="F10" s="612" t="s">
        <v>351</v>
      </c>
      <c r="G10" s="616" t="s">
        <v>366</v>
      </c>
      <c r="H10" s="332" t="s">
        <v>492</v>
      </c>
      <c r="I10" s="614" t="s">
        <v>335</v>
      </c>
    </row>
    <row r="11" spans="1:29" ht="14.45" customHeight="1" x14ac:dyDescent="0.25">
      <c r="A11" s="613"/>
      <c r="B11" s="617"/>
      <c r="C11" s="613"/>
      <c r="D11" s="323">
        <f>Paramètres!B19</f>
        <v>0.3</v>
      </c>
      <c r="E11" s="324">
        <f>Paramètres!B18</f>
        <v>0.5</v>
      </c>
      <c r="F11" s="613"/>
      <c r="G11" s="617"/>
      <c r="H11" s="483">
        <f>D8</f>
        <v>14.60023559089802</v>
      </c>
      <c r="I11" s="615"/>
    </row>
    <row r="12" spans="1:29" x14ac:dyDescent="0.25">
      <c r="A12" s="38">
        <f>Données!A6</f>
        <v>5401</v>
      </c>
      <c r="B12" s="171" t="str">
        <f>Données!B6</f>
        <v>Aigle</v>
      </c>
      <c r="C12" s="333">
        <f>VPI!R6</f>
        <v>283957.57045177044</v>
      </c>
      <c r="D12" s="41">
        <f>Données!N6</f>
        <v>1288148.8</v>
      </c>
      <c r="E12" s="239">
        <f>Données!O6+Données!P6+Données!R6</f>
        <v>1420346.8</v>
      </c>
      <c r="F12" s="512">
        <f>D12*$D$11+E12*$E$11</f>
        <v>1096618.04</v>
      </c>
      <c r="G12" s="512">
        <f>Ecrêtage!M6</f>
        <v>0</v>
      </c>
      <c r="H12" s="513">
        <f t="shared" ref="H12:H75" si="0">$H$11*C12</f>
        <v>4145847.4264148707</v>
      </c>
      <c r="I12" s="325">
        <f t="shared" ref="I12:I75" si="1">F12+H12+G12</f>
        <v>5242465.4664148707</v>
      </c>
    </row>
    <row r="13" spans="1:29" x14ac:dyDescent="0.25">
      <c r="A13" s="38">
        <f>Données!A7</f>
        <v>5402</v>
      </c>
      <c r="B13" s="171" t="str">
        <f>Données!B7</f>
        <v>Bex</v>
      </c>
      <c r="C13" s="31">
        <f>VPI!R7</f>
        <v>178942.44507064961</v>
      </c>
      <c r="D13" s="8">
        <f>Données!N7</f>
        <v>273206.65000000002</v>
      </c>
      <c r="E13" s="239">
        <f>Données!O7+Données!P7+Données!R7</f>
        <v>1072931.55</v>
      </c>
      <c r="F13" s="512">
        <f t="shared" ref="F13:F76" si="2">D13*$D$11+E13*$E$11</f>
        <v>618427.77</v>
      </c>
      <c r="G13" s="512">
        <f>Ecrêtage!M7</f>
        <v>0</v>
      </c>
      <c r="H13" s="513">
        <f t="shared" si="0"/>
        <v>2612601.8552428125</v>
      </c>
      <c r="I13" s="325">
        <f t="shared" si="1"/>
        <v>3231029.6252428126</v>
      </c>
    </row>
    <row r="14" spans="1:29" x14ac:dyDescent="0.25">
      <c r="A14" s="38">
        <f>Données!A8</f>
        <v>5403</v>
      </c>
      <c r="B14" s="171" t="str">
        <f>Données!B8</f>
        <v>Chessel</v>
      </c>
      <c r="C14" s="31">
        <f>VPI!R8</f>
        <v>10796.246764670586</v>
      </c>
      <c r="D14" s="8">
        <f>Données!N8</f>
        <v>8460.15</v>
      </c>
      <c r="E14" s="239">
        <f>Données!O8+Données!P8+Données!R8</f>
        <v>112397.05</v>
      </c>
      <c r="F14" s="512">
        <f t="shared" si="2"/>
        <v>58736.57</v>
      </c>
      <c r="G14" s="512">
        <f>Ecrêtage!M8</f>
        <v>0</v>
      </c>
      <c r="H14" s="513">
        <f t="shared" si="0"/>
        <v>157627.74626166109</v>
      </c>
      <c r="I14" s="325">
        <f t="shared" si="1"/>
        <v>216364.31626166109</v>
      </c>
    </row>
    <row r="15" spans="1:29" x14ac:dyDescent="0.25">
      <c r="A15" s="38">
        <f>Données!A9</f>
        <v>5404</v>
      </c>
      <c r="B15" s="171" t="str">
        <f>Données!B9</f>
        <v>Corbeyrier</v>
      </c>
      <c r="C15" s="31">
        <f>VPI!R9</f>
        <v>11266.447111519699</v>
      </c>
      <c r="D15" s="8">
        <f>Données!N9</f>
        <v>16587</v>
      </c>
      <c r="E15" s="239">
        <f>Données!O9+Données!P9+Données!R9</f>
        <v>110863.3</v>
      </c>
      <c r="F15" s="512">
        <f t="shared" si="2"/>
        <v>60407.75</v>
      </c>
      <c r="G15" s="512">
        <f>Ecrêtage!M9</f>
        <v>0</v>
      </c>
      <c r="H15" s="513">
        <f t="shared" si="0"/>
        <v>164492.78210058011</v>
      </c>
      <c r="I15" s="325">
        <f t="shared" si="1"/>
        <v>224900.53210058011</v>
      </c>
    </row>
    <row r="16" spans="1:29" x14ac:dyDescent="0.25">
      <c r="A16" s="38">
        <f>Données!A10</f>
        <v>5405</v>
      </c>
      <c r="B16" s="171" t="str">
        <f>Données!B10</f>
        <v>Gryon</v>
      </c>
      <c r="C16" s="31">
        <f>VPI!R10</f>
        <v>68176.099678718238</v>
      </c>
      <c r="D16" s="8">
        <f>Données!N10</f>
        <v>463.15</v>
      </c>
      <c r="E16" s="239">
        <f>Données!O10+Données!P10+Données!R10</f>
        <v>845265.25</v>
      </c>
      <c r="F16" s="512">
        <f t="shared" si="2"/>
        <v>422771.57</v>
      </c>
      <c r="G16" s="512">
        <f>Ecrêtage!M10</f>
        <v>66908.127005589646</v>
      </c>
      <c r="H16" s="513">
        <f t="shared" si="0"/>
        <v>995387.1169778331</v>
      </c>
      <c r="I16" s="325">
        <f t="shared" si="1"/>
        <v>1485066.8139834227</v>
      </c>
    </row>
    <row r="17" spans="1:9" x14ac:dyDescent="0.25">
      <c r="A17" s="38">
        <f>Données!A11</f>
        <v>5406</v>
      </c>
      <c r="B17" s="171" t="str">
        <f>Données!B11</f>
        <v>Lavey-Morcles</v>
      </c>
      <c r="C17" s="31">
        <f>VPI!R11</f>
        <v>21824.791081856485</v>
      </c>
      <c r="D17" s="8">
        <f>Données!N11</f>
        <v>1891.95</v>
      </c>
      <c r="E17" s="239">
        <f>Données!O11+Données!P11+Données!R11</f>
        <v>209337.75000000003</v>
      </c>
      <c r="F17" s="512">
        <f t="shared" si="2"/>
        <v>105236.46000000002</v>
      </c>
      <c r="G17" s="512">
        <f>Ecrêtage!M11</f>
        <v>0</v>
      </c>
      <c r="H17" s="513">
        <f t="shared" si="0"/>
        <v>318647.09151723474</v>
      </c>
      <c r="I17" s="325">
        <f t="shared" si="1"/>
        <v>423883.55151723477</v>
      </c>
    </row>
    <row r="18" spans="1:9" x14ac:dyDescent="0.25">
      <c r="A18" s="38">
        <f>Données!A12</f>
        <v>5407</v>
      </c>
      <c r="B18" s="171" t="str">
        <f>Données!B12</f>
        <v>Leysin</v>
      </c>
      <c r="C18" s="31">
        <f>VPI!R12</f>
        <v>90748.112777121743</v>
      </c>
      <c r="D18" s="8">
        <f>Données!N12</f>
        <v>64008.35</v>
      </c>
      <c r="E18" s="239">
        <f>Données!O12+Données!P12+Données!R12</f>
        <v>749949.35</v>
      </c>
      <c r="F18" s="512">
        <f t="shared" si="2"/>
        <v>394177.18</v>
      </c>
      <c r="G18" s="512">
        <f>Ecrêtage!M12</f>
        <v>0</v>
      </c>
      <c r="H18" s="513">
        <f t="shared" si="0"/>
        <v>1324943.8259753601</v>
      </c>
      <c r="I18" s="325">
        <f t="shared" si="1"/>
        <v>1719121.0059753601</v>
      </c>
    </row>
    <row r="19" spans="1:9" x14ac:dyDescent="0.25">
      <c r="A19" s="38">
        <f>Données!A13</f>
        <v>5408</v>
      </c>
      <c r="B19" s="171" t="str">
        <f>Données!B13</f>
        <v>Noville</v>
      </c>
      <c r="C19" s="31">
        <f>VPI!R13</f>
        <v>43666.640444665623</v>
      </c>
      <c r="D19" s="8">
        <f>Données!N13</f>
        <v>204831.45</v>
      </c>
      <c r="E19" s="239">
        <f>Données!O13+Données!P13+Données!R13</f>
        <v>185055.9</v>
      </c>
      <c r="F19" s="512">
        <f t="shared" si="2"/>
        <v>153977.38500000001</v>
      </c>
      <c r="G19" s="512">
        <f>Ecrêtage!M13</f>
        <v>0</v>
      </c>
      <c r="H19" s="513">
        <f t="shared" si="0"/>
        <v>637543.23795515392</v>
      </c>
      <c r="I19" s="325">
        <f t="shared" si="1"/>
        <v>791520.62295515393</v>
      </c>
    </row>
    <row r="20" spans="1:9" x14ac:dyDescent="0.25">
      <c r="A20" s="38">
        <f>Données!A14</f>
        <v>5409</v>
      </c>
      <c r="B20" s="171" t="str">
        <f>Données!B14</f>
        <v>Ollon</v>
      </c>
      <c r="C20" s="31">
        <f>VPI!R14</f>
        <v>388986.52146492567</v>
      </c>
      <c r="D20" s="8">
        <f>Données!N14</f>
        <v>75640.75</v>
      </c>
      <c r="E20" s="239">
        <f>Données!O14+Données!P14+Données!R14</f>
        <v>3451500.8</v>
      </c>
      <c r="F20" s="512">
        <f t="shared" si="2"/>
        <v>1748442.625</v>
      </c>
      <c r="G20" s="512">
        <f>Ecrêtage!M14</f>
        <v>496565.72598368634</v>
      </c>
      <c r="H20" s="513">
        <f t="shared" si="0"/>
        <v>5679294.855071824</v>
      </c>
      <c r="I20" s="325">
        <f t="shared" si="1"/>
        <v>7924303.2060555108</v>
      </c>
    </row>
    <row r="21" spans="1:9" x14ac:dyDescent="0.25">
      <c r="A21" s="38">
        <f>Données!A15</f>
        <v>5410</v>
      </c>
      <c r="B21" s="171" t="str">
        <f>Données!B15</f>
        <v>Ormont-Dessous</v>
      </c>
      <c r="C21" s="31">
        <f>VPI!R15</f>
        <v>39516.146697267235</v>
      </c>
      <c r="D21" s="8">
        <f>Données!N15</f>
        <v>6858.4</v>
      </c>
      <c r="E21" s="239">
        <f>Données!O15+Données!P15+Données!R15</f>
        <v>435079.15</v>
      </c>
      <c r="F21" s="512">
        <f t="shared" si="2"/>
        <v>219597.095</v>
      </c>
      <c r="G21" s="512">
        <f>Ecrêtage!M15</f>
        <v>0</v>
      </c>
      <c r="H21" s="513">
        <f t="shared" si="0"/>
        <v>576945.05142458831</v>
      </c>
      <c r="I21" s="325">
        <f t="shared" si="1"/>
        <v>796542.14642458828</v>
      </c>
    </row>
    <row r="22" spans="1:9" x14ac:dyDescent="0.25">
      <c r="A22" s="38">
        <f>Données!A16</f>
        <v>5411</v>
      </c>
      <c r="B22" s="171" t="str">
        <f>Données!B16</f>
        <v>Ormont-Dessus</v>
      </c>
      <c r="C22" s="31">
        <f>VPI!R16</f>
        <v>68020.566453850552</v>
      </c>
      <c r="D22" s="8">
        <f>Données!N16</f>
        <v>22248.05</v>
      </c>
      <c r="E22" s="239">
        <f>Données!O16+Données!P16+Données!R16</f>
        <v>913232.39999999991</v>
      </c>
      <c r="F22" s="512">
        <f t="shared" si="2"/>
        <v>463290.61499999993</v>
      </c>
      <c r="G22" s="512">
        <f>Ecrêtage!M16</f>
        <v>5060.6166537739582</v>
      </c>
      <c r="H22" s="513">
        <f t="shared" si="0"/>
        <v>993116.29525255272</v>
      </c>
      <c r="I22" s="325">
        <f t="shared" si="1"/>
        <v>1461467.5269063266</v>
      </c>
    </row>
    <row r="23" spans="1:9" x14ac:dyDescent="0.25">
      <c r="A23" s="38">
        <f>Données!A17</f>
        <v>5412</v>
      </c>
      <c r="B23" s="171" t="str">
        <f>Données!B17</f>
        <v>Rennaz</v>
      </c>
      <c r="C23" s="31">
        <f>VPI!R17</f>
        <v>24252.718750309756</v>
      </c>
      <c r="D23" s="8">
        <f>Données!N17</f>
        <v>257000.25</v>
      </c>
      <c r="E23" s="239">
        <f>Données!O17+Données!P17+Données!R17</f>
        <v>451752.05</v>
      </c>
      <c r="F23" s="512">
        <f t="shared" si="2"/>
        <v>302976.09999999998</v>
      </c>
      <c r="G23" s="512">
        <f>Ecrêtage!M17</f>
        <v>0</v>
      </c>
      <c r="H23" s="513">
        <f t="shared" si="0"/>
        <v>354095.40747431223</v>
      </c>
      <c r="I23" s="325">
        <f t="shared" si="1"/>
        <v>657071.50747431221</v>
      </c>
    </row>
    <row r="24" spans="1:9" x14ac:dyDescent="0.25">
      <c r="A24" s="38">
        <f>Données!A18</f>
        <v>5413</v>
      </c>
      <c r="B24" s="171" t="str">
        <f>Données!B18</f>
        <v>Roche</v>
      </c>
      <c r="C24" s="31">
        <f>VPI!R18</f>
        <v>47951.627432220594</v>
      </c>
      <c r="D24" s="8">
        <f>Données!N18</f>
        <v>275376.59999999998</v>
      </c>
      <c r="E24" s="239">
        <f>Données!O18+Données!P18+Données!R18</f>
        <v>280370.75</v>
      </c>
      <c r="F24" s="512">
        <f t="shared" si="2"/>
        <v>222798.35499999998</v>
      </c>
      <c r="G24" s="512">
        <f>Ecrêtage!M18</f>
        <v>0</v>
      </c>
      <c r="H24" s="513">
        <f t="shared" si="0"/>
        <v>700105.057477389</v>
      </c>
      <c r="I24" s="325">
        <f t="shared" si="1"/>
        <v>922903.41247738898</v>
      </c>
    </row>
    <row r="25" spans="1:9" x14ac:dyDescent="0.25">
      <c r="A25" s="38">
        <f>Données!A19</f>
        <v>5414</v>
      </c>
      <c r="B25" s="171" t="str">
        <f>Données!B19</f>
        <v>Villeneuve</v>
      </c>
      <c r="C25" s="31">
        <f>VPI!R19</f>
        <v>159309.32612133506</v>
      </c>
      <c r="D25" s="8">
        <f>Données!N19</f>
        <v>1579016.8</v>
      </c>
      <c r="E25" s="239">
        <f>Données!O19+Données!P19+Données!R19</f>
        <v>812698.7</v>
      </c>
      <c r="F25" s="512">
        <f t="shared" si="2"/>
        <v>880054.3899999999</v>
      </c>
      <c r="G25" s="512">
        <f>Ecrêtage!M19</f>
        <v>0</v>
      </c>
      <c r="H25" s="513">
        <f t="shared" si="0"/>
        <v>2325953.6931986958</v>
      </c>
      <c r="I25" s="325">
        <f t="shared" si="1"/>
        <v>3206008.0831986954</v>
      </c>
    </row>
    <row r="26" spans="1:9" x14ac:dyDescent="0.25">
      <c r="A26" s="38">
        <f>Données!A20</f>
        <v>5415</v>
      </c>
      <c r="B26" s="171" t="str">
        <f>Données!B20</f>
        <v>Yvorne</v>
      </c>
      <c r="C26" s="31">
        <f>VPI!R20</f>
        <v>38141.091526902295</v>
      </c>
      <c r="D26" s="8">
        <f>Données!N20</f>
        <v>40570.300000000003</v>
      </c>
      <c r="E26" s="239">
        <f>Données!O20+Données!P20+Données!R20</f>
        <v>342258.75</v>
      </c>
      <c r="F26" s="512">
        <f t="shared" si="2"/>
        <v>183300.465</v>
      </c>
      <c r="G26" s="512">
        <f>Ecrêtage!M20</f>
        <v>0</v>
      </c>
      <c r="H26" s="513">
        <f t="shared" si="0"/>
        <v>556868.9219867778</v>
      </c>
      <c r="I26" s="325">
        <f t="shared" si="1"/>
        <v>740169.38698677777</v>
      </c>
    </row>
    <row r="27" spans="1:9" x14ac:dyDescent="0.25">
      <c r="A27" s="38">
        <f>Données!A21</f>
        <v>5422</v>
      </c>
      <c r="B27" s="171" t="str">
        <f>Données!B21</f>
        <v>Aubonne</v>
      </c>
      <c r="C27" s="31">
        <f>VPI!R21</f>
        <v>257139.62131053992</v>
      </c>
      <c r="D27" s="8">
        <f>Données!N21</f>
        <v>1062518.95</v>
      </c>
      <c r="E27" s="239">
        <f>Données!O21+Données!P21+Données!R21</f>
        <v>1130902.55</v>
      </c>
      <c r="F27" s="512">
        <f t="shared" si="2"/>
        <v>884206.96</v>
      </c>
      <c r="G27" s="512">
        <f>Ecrêtage!M21</f>
        <v>1483783.0750658405</v>
      </c>
      <c r="H27" s="513">
        <f t="shared" si="0"/>
        <v>3754299.050888184</v>
      </c>
      <c r="I27" s="325">
        <f t="shared" si="1"/>
        <v>6122289.0859540235</v>
      </c>
    </row>
    <row r="28" spans="1:9" x14ac:dyDescent="0.25">
      <c r="A28" s="38">
        <f>Données!A22</f>
        <v>5423</v>
      </c>
      <c r="B28" s="171" t="str">
        <f>Données!B22</f>
        <v>Ballens</v>
      </c>
      <c r="C28" s="31">
        <f>VPI!R22</f>
        <v>17113.568875479887</v>
      </c>
      <c r="D28" s="8">
        <f>Données!N22</f>
        <v>23095.75</v>
      </c>
      <c r="E28" s="239">
        <f>Données!O22+Données!P22+Données!R22</f>
        <v>63752.65</v>
      </c>
      <c r="F28" s="512">
        <f t="shared" si="2"/>
        <v>38805.050000000003</v>
      </c>
      <c r="G28" s="512">
        <f>Ecrêtage!M22</f>
        <v>0</v>
      </c>
      <c r="H28" s="513">
        <f t="shared" si="0"/>
        <v>249862.13738306603</v>
      </c>
      <c r="I28" s="325">
        <f t="shared" si="1"/>
        <v>288667.18738306605</v>
      </c>
    </row>
    <row r="29" spans="1:9" x14ac:dyDescent="0.25">
      <c r="A29" s="38">
        <f>Données!A23</f>
        <v>5424</v>
      </c>
      <c r="B29" s="171" t="str">
        <f>Données!B23</f>
        <v>Berolle</v>
      </c>
      <c r="C29" s="31">
        <f>VPI!R23</f>
        <v>9114.6527235419599</v>
      </c>
      <c r="D29" s="8">
        <f>Données!N23</f>
        <v>0</v>
      </c>
      <c r="E29" s="239">
        <f>Données!O23+Données!P23+Données!R23</f>
        <v>43918.7</v>
      </c>
      <c r="F29" s="512">
        <f t="shared" si="2"/>
        <v>21959.35</v>
      </c>
      <c r="G29" s="512">
        <f>Ecrêtage!M23</f>
        <v>0</v>
      </c>
      <c r="H29" s="513">
        <f t="shared" si="0"/>
        <v>133076.07709293289</v>
      </c>
      <c r="I29" s="325">
        <f t="shared" si="1"/>
        <v>155035.42709293289</v>
      </c>
    </row>
    <row r="30" spans="1:9" x14ac:dyDescent="0.25">
      <c r="A30" s="38">
        <f>Données!A24</f>
        <v>5425</v>
      </c>
      <c r="B30" s="171" t="str">
        <f>Données!B24</f>
        <v>Bière</v>
      </c>
      <c r="C30" s="31">
        <f>VPI!R24</f>
        <v>40150.134165172873</v>
      </c>
      <c r="D30" s="8">
        <f>Données!N24</f>
        <v>61405.1</v>
      </c>
      <c r="E30" s="239">
        <f>Données!O24+Données!P24+Données!R24</f>
        <v>250336.65</v>
      </c>
      <c r="F30" s="512">
        <f t="shared" si="2"/>
        <v>143589.85499999998</v>
      </c>
      <c r="G30" s="512">
        <f>Ecrêtage!M24</f>
        <v>0</v>
      </c>
      <c r="H30" s="513">
        <f t="shared" si="0"/>
        <v>586201.4178176875</v>
      </c>
      <c r="I30" s="325">
        <f t="shared" si="1"/>
        <v>729791.27281768748</v>
      </c>
    </row>
    <row r="31" spans="1:9" x14ac:dyDescent="0.25">
      <c r="A31" s="38">
        <f>Données!A25</f>
        <v>5426</v>
      </c>
      <c r="B31" s="171" t="str">
        <f>Données!B25</f>
        <v>Bougy-Villars</v>
      </c>
      <c r="C31" s="31">
        <f>VPI!R25</f>
        <v>55602.19681468232</v>
      </c>
      <c r="D31" s="8">
        <f>Données!N25</f>
        <v>12909.65</v>
      </c>
      <c r="E31" s="239">
        <f>Données!O25+Données!P25+Données!R25</f>
        <v>280873.7</v>
      </c>
      <c r="F31" s="512">
        <f t="shared" si="2"/>
        <v>144309.745</v>
      </c>
      <c r="G31" s="512">
        <f>Ecrêtage!M25</f>
        <v>841409.10956379154</v>
      </c>
      <c r="H31" s="513">
        <f t="shared" si="0"/>
        <v>811805.1728658413</v>
      </c>
      <c r="I31" s="325">
        <f t="shared" si="1"/>
        <v>1797524.0274296328</v>
      </c>
    </row>
    <row r="32" spans="1:9" x14ac:dyDescent="0.25">
      <c r="A32" s="38">
        <f>Données!A26</f>
        <v>5427</v>
      </c>
      <c r="B32" s="171" t="str">
        <f>Données!B26</f>
        <v>Féchy</v>
      </c>
      <c r="C32" s="31">
        <f>VPI!R26</f>
        <v>77005.502299275147</v>
      </c>
      <c r="D32" s="8">
        <f>Données!N26</f>
        <v>11820.25</v>
      </c>
      <c r="E32" s="239">
        <f>Données!O26+Données!P26+Données!R26</f>
        <v>197687.75</v>
      </c>
      <c r="F32" s="512">
        <f t="shared" si="2"/>
        <v>102389.95</v>
      </c>
      <c r="G32" s="512">
        <f>Ecrêtage!M26</f>
        <v>764436.22848120099</v>
      </c>
      <c r="H32" s="513">
        <f t="shared" si="0"/>
        <v>1124298.4753648564</v>
      </c>
      <c r="I32" s="325">
        <f t="shared" si="1"/>
        <v>1991124.6538460574</v>
      </c>
    </row>
    <row r="33" spans="1:9" x14ac:dyDescent="0.25">
      <c r="A33" s="38">
        <f>Données!A27</f>
        <v>5428</v>
      </c>
      <c r="B33" s="171" t="str">
        <f>Données!B27</f>
        <v>Gimel</v>
      </c>
      <c r="C33" s="31">
        <f>VPI!R27</f>
        <v>70160.017528660552</v>
      </c>
      <c r="D33" s="8">
        <f>Données!N27</f>
        <v>249456.7</v>
      </c>
      <c r="E33" s="239">
        <f>Données!O27+Données!P27+Données!R27</f>
        <v>835805.35</v>
      </c>
      <c r="F33" s="512">
        <f t="shared" si="2"/>
        <v>492739.685</v>
      </c>
      <c r="G33" s="512">
        <f>Ecrêtage!M27</f>
        <v>0</v>
      </c>
      <c r="H33" s="513">
        <f t="shared" si="0"/>
        <v>1024352.7849799787</v>
      </c>
      <c r="I33" s="325">
        <f t="shared" si="1"/>
        <v>1517092.4699799786</v>
      </c>
    </row>
    <row r="34" spans="1:9" x14ac:dyDescent="0.25">
      <c r="A34" s="38">
        <f>Données!A28</f>
        <v>5429</v>
      </c>
      <c r="B34" s="171" t="str">
        <f>Données!B28</f>
        <v>Longirod</v>
      </c>
      <c r="C34" s="31">
        <f>VPI!R28</f>
        <v>16136.097907481106</v>
      </c>
      <c r="D34" s="8">
        <f>Données!N28</f>
        <v>0</v>
      </c>
      <c r="E34" s="239">
        <f>Données!O28+Données!P28+Données!R28</f>
        <v>93363.5</v>
      </c>
      <c r="F34" s="512">
        <f t="shared" si="2"/>
        <v>46681.75</v>
      </c>
      <c r="G34" s="512">
        <f>Ecrêtage!M28</f>
        <v>0</v>
      </c>
      <c r="H34" s="513">
        <f t="shared" si="0"/>
        <v>235590.83096702071</v>
      </c>
      <c r="I34" s="325">
        <f t="shared" si="1"/>
        <v>282272.58096702071</v>
      </c>
    </row>
    <row r="35" spans="1:9" x14ac:dyDescent="0.25">
      <c r="A35" s="38">
        <f>Données!A29</f>
        <v>5430</v>
      </c>
      <c r="B35" s="171" t="str">
        <f>Données!B29</f>
        <v>Marchissy</v>
      </c>
      <c r="C35" s="31">
        <f>VPI!R29</f>
        <v>14848.61677419355</v>
      </c>
      <c r="D35" s="8">
        <f>Données!N29</f>
        <v>6870.3</v>
      </c>
      <c r="E35" s="239">
        <f>Données!O29+Données!P29+Données!R29</f>
        <v>83792.45</v>
      </c>
      <c r="F35" s="512">
        <f t="shared" si="2"/>
        <v>43957.315000000002</v>
      </c>
      <c r="G35" s="512">
        <f>Ecrêtage!M29</f>
        <v>0</v>
      </c>
      <c r="H35" s="513">
        <f t="shared" si="0"/>
        <v>216793.30310218601</v>
      </c>
      <c r="I35" s="325">
        <f t="shared" si="1"/>
        <v>260750.61810218601</v>
      </c>
    </row>
    <row r="36" spans="1:9" x14ac:dyDescent="0.25">
      <c r="A36" s="38">
        <f>Données!A30</f>
        <v>5431</v>
      </c>
      <c r="B36" s="171" t="str">
        <f>Données!B30</f>
        <v>Mollens</v>
      </c>
      <c r="C36" s="31">
        <f>VPI!R30</f>
        <v>9333.1487396041775</v>
      </c>
      <c r="D36" s="8">
        <f>Données!N30</f>
        <v>178.1</v>
      </c>
      <c r="E36" s="239">
        <f>Données!O30+Données!P30+Données!R30</f>
        <v>173206.7</v>
      </c>
      <c r="F36" s="512">
        <f t="shared" si="2"/>
        <v>86656.78</v>
      </c>
      <c r="G36" s="512">
        <f>Ecrêtage!M30</f>
        <v>0</v>
      </c>
      <c r="H36" s="513">
        <f t="shared" si="0"/>
        <v>136266.17040311391</v>
      </c>
      <c r="I36" s="325">
        <f t="shared" si="1"/>
        <v>222922.95040311391</v>
      </c>
    </row>
    <row r="37" spans="1:9" x14ac:dyDescent="0.25">
      <c r="A37" s="38">
        <f>Données!A31</f>
        <v>5434</v>
      </c>
      <c r="B37" s="171" t="str">
        <f>Données!B31</f>
        <v>Saint-George</v>
      </c>
      <c r="C37" s="31">
        <f>VPI!R31</f>
        <v>40791.515913403804</v>
      </c>
      <c r="D37" s="8">
        <f>Données!N31</f>
        <v>27638.1</v>
      </c>
      <c r="E37" s="239">
        <f>Données!O31+Données!P31+Données!R31</f>
        <v>213495.3</v>
      </c>
      <c r="F37" s="512">
        <f t="shared" si="2"/>
        <v>115039.07999999999</v>
      </c>
      <c r="G37" s="512">
        <f>Ecrêtage!M31</f>
        <v>0</v>
      </c>
      <c r="H37" s="513">
        <f t="shared" si="0"/>
        <v>595565.74244556122</v>
      </c>
      <c r="I37" s="325">
        <f t="shared" si="1"/>
        <v>710604.82244556118</v>
      </c>
    </row>
    <row r="38" spans="1:9" x14ac:dyDescent="0.25">
      <c r="A38" s="38">
        <f>Données!A32</f>
        <v>5435</v>
      </c>
      <c r="B38" s="171" t="str">
        <f>Données!B32</f>
        <v>Saint-Livres</v>
      </c>
      <c r="C38" s="31">
        <f>VPI!R32</f>
        <v>26337.98545829628</v>
      </c>
      <c r="D38" s="8">
        <f>Données!N32</f>
        <v>18525.05</v>
      </c>
      <c r="E38" s="239">
        <f>Données!O32+Données!P32+Données!R32</f>
        <v>128307.9</v>
      </c>
      <c r="F38" s="512">
        <f t="shared" si="2"/>
        <v>69711.464999999997</v>
      </c>
      <c r="G38" s="512">
        <f>Ecrêtage!M32</f>
        <v>0</v>
      </c>
      <c r="H38" s="513">
        <f t="shared" si="0"/>
        <v>384540.79268077185</v>
      </c>
      <c r="I38" s="325">
        <f t="shared" si="1"/>
        <v>454252.25768077187</v>
      </c>
    </row>
    <row r="39" spans="1:9" x14ac:dyDescent="0.25">
      <c r="A39" s="38">
        <f>Données!A33</f>
        <v>5436</v>
      </c>
      <c r="B39" s="171" t="str">
        <f>Données!B33</f>
        <v>Saint-Oyens</v>
      </c>
      <c r="C39" s="31">
        <f>VPI!R33</f>
        <v>16753.686386728143</v>
      </c>
      <c r="D39" s="8">
        <f>Données!N33</f>
        <v>171.1</v>
      </c>
      <c r="E39" s="239">
        <f>Données!O33+Données!P33+Données!R33</f>
        <v>61719.8</v>
      </c>
      <c r="F39" s="512">
        <f t="shared" si="2"/>
        <v>30911.230000000003</v>
      </c>
      <c r="G39" s="512">
        <f>Ecrêtage!M33</f>
        <v>0</v>
      </c>
      <c r="H39" s="513">
        <f t="shared" si="0"/>
        <v>244607.76826225186</v>
      </c>
      <c r="I39" s="325">
        <f t="shared" si="1"/>
        <v>275518.99826225184</v>
      </c>
    </row>
    <row r="40" spans="1:9" x14ac:dyDescent="0.25">
      <c r="A40" s="38">
        <f>Données!A34</f>
        <v>5437</v>
      </c>
      <c r="B40" s="171" t="str">
        <f>Données!B34</f>
        <v>Saubraz</v>
      </c>
      <c r="C40" s="31">
        <f>VPI!R34</f>
        <v>13378.426818540998</v>
      </c>
      <c r="D40" s="8">
        <f>Données!N34</f>
        <v>0</v>
      </c>
      <c r="E40" s="239">
        <f>Données!O34+Données!P34+Données!R34</f>
        <v>107558.6</v>
      </c>
      <c r="F40" s="512">
        <f t="shared" si="2"/>
        <v>53779.3</v>
      </c>
      <c r="G40" s="512">
        <f>Ecrêtage!M34</f>
        <v>0</v>
      </c>
      <c r="H40" s="513">
        <f t="shared" si="0"/>
        <v>195328.18338628684</v>
      </c>
      <c r="I40" s="325">
        <f t="shared" si="1"/>
        <v>249107.48338628683</v>
      </c>
    </row>
    <row r="41" spans="1:9" x14ac:dyDescent="0.25">
      <c r="A41" s="38">
        <f>Données!A35</f>
        <v>5451</v>
      </c>
      <c r="B41" s="171" t="str">
        <f>Données!B35</f>
        <v>Avenches</v>
      </c>
      <c r="C41" s="31">
        <f>VPI!R35</f>
        <v>128992.08671525712</v>
      </c>
      <c r="D41" s="8">
        <f>Données!N35</f>
        <v>537089.1</v>
      </c>
      <c r="E41" s="239">
        <f>Données!O35+Données!P35+Données!R35</f>
        <v>622826.44999999995</v>
      </c>
      <c r="F41" s="512">
        <f t="shared" si="2"/>
        <v>472539.95499999996</v>
      </c>
      <c r="G41" s="512">
        <f>Ecrêtage!M35</f>
        <v>0</v>
      </c>
      <c r="H41" s="513">
        <f t="shared" si="0"/>
        <v>1883314.8554043006</v>
      </c>
      <c r="I41" s="325">
        <f t="shared" si="1"/>
        <v>2355854.8104043007</v>
      </c>
    </row>
    <row r="42" spans="1:9" x14ac:dyDescent="0.25">
      <c r="A42" s="38">
        <f>Données!A36</f>
        <v>5456</v>
      </c>
      <c r="B42" s="171" t="str">
        <f>Données!B36</f>
        <v>Cudrefin</v>
      </c>
      <c r="C42" s="31">
        <f>VPI!R36</f>
        <v>64212.312252410848</v>
      </c>
      <c r="D42" s="8">
        <f>Données!N36</f>
        <v>5787.35</v>
      </c>
      <c r="E42" s="239">
        <f>Données!O36+Données!P36+Données!R36</f>
        <v>361747.9</v>
      </c>
      <c r="F42" s="512">
        <f t="shared" si="2"/>
        <v>182610.155</v>
      </c>
      <c r="G42" s="512">
        <f>Ecrêtage!M36</f>
        <v>0</v>
      </c>
      <c r="H42" s="513">
        <f t="shared" si="0"/>
        <v>937514.8867215059</v>
      </c>
      <c r="I42" s="325">
        <f t="shared" si="1"/>
        <v>1120125.0417215058</v>
      </c>
    </row>
    <row r="43" spans="1:9" x14ac:dyDescent="0.25">
      <c r="A43" s="38">
        <f>Données!A37</f>
        <v>5458</v>
      </c>
      <c r="B43" s="171" t="str">
        <f>Données!B37</f>
        <v>Faoug</v>
      </c>
      <c r="C43" s="31">
        <f>VPI!R37</f>
        <v>32193.574318729454</v>
      </c>
      <c r="D43" s="8">
        <f>Données!N37</f>
        <v>3878.8</v>
      </c>
      <c r="E43" s="239">
        <f>Données!O37+Données!P37+Données!R37</f>
        <v>162854.29999999999</v>
      </c>
      <c r="F43" s="512">
        <f t="shared" si="2"/>
        <v>82590.789999999994</v>
      </c>
      <c r="G43" s="512">
        <f>Ecrêtage!M37</f>
        <v>0</v>
      </c>
      <c r="H43" s="513">
        <f t="shared" si="0"/>
        <v>470033.76956653426</v>
      </c>
      <c r="I43" s="325">
        <f t="shared" si="1"/>
        <v>552624.55956653424</v>
      </c>
    </row>
    <row r="44" spans="1:9" x14ac:dyDescent="0.25">
      <c r="A44" s="38">
        <f>Données!A38</f>
        <v>5464</v>
      </c>
      <c r="B44" s="171" t="str">
        <f>Données!B38</f>
        <v>Vully-les-Lacs</v>
      </c>
      <c r="C44" s="31">
        <f>VPI!R38</f>
        <v>111582.51347109246</v>
      </c>
      <c r="D44" s="8">
        <f>Données!N38</f>
        <v>1564.15</v>
      </c>
      <c r="E44" s="239">
        <f>Données!O38+Données!P38+Données!R38</f>
        <v>463893.05000000005</v>
      </c>
      <c r="F44" s="512">
        <f t="shared" si="2"/>
        <v>232415.77000000002</v>
      </c>
      <c r="G44" s="512">
        <f>Ecrêtage!M38</f>
        <v>0</v>
      </c>
      <c r="H44" s="513">
        <f t="shared" si="0"/>
        <v>1629130.984502502</v>
      </c>
      <c r="I44" s="325">
        <f t="shared" si="1"/>
        <v>1861546.754502502</v>
      </c>
    </row>
    <row r="45" spans="1:9" x14ac:dyDescent="0.25">
      <c r="A45" s="38">
        <f>Données!A39</f>
        <v>5471</v>
      </c>
      <c r="B45" s="171" t="str">
        <f>Données!B39</f>
        <v>Bettens</v>
      </c>
      <c r="C45" s="31">
        <f>VPI!R39</f>
        <v>20380.173113086941</v>
      </c>
      <c r="D45" s="8">
        <f>Données!N39</f>
        <v>24383.75</v>
      </c>
      <c r="E45" s="239">
        <f>Données!O39+Données!P39+Données!R39</f>
        <v>55946.25</v>
      </c>
      <c r="F45" s="512">
        <f t="shared" si="2"/>
        <v>35288.25</v>
      </c>
      <c r="G45" s="512">
        <f>Ecrêtage!M39</f>
        <v>0</v>
      </c>
      <c r="H45" s="513">
        <f t="shared" si="0"/>
        <v>297555.32883435488</v>
      </c>
      <c r="I45" s="325">
        <f t="shared" si="1"/>
        <v>332843.57883435488</v>
      </c>
    </row>
    <row r="46" spans="1:9" x14ac:dyDescent="0.25">
      <c r="A46" s="38">
        <f>Données!A40</f>
        <v>5472</v>
      </c>
      <c r="B46" s="171" t="str">
        <f>Données!B40</f>
        <v>Bournens</v>
      </c>
      <c r="C46" s="31">
        <f>VPI!R40</f>
        <v>20138.784507874909</v>
      </c>
      <c r="D46" s="8">
        <f>Données!N40</f>
        <v>0</v>
      </c>
      <c r="E46" s="239">
        <f>Données!O40+Données!P40+Données!R40</f>
        <v>174358.15000000002</v>
      </c>
      <c r="F46" s="512">
        <f t="shared" si="2"/>
        <v>87179.075000000012</v>
      </c>
      <c r="G46" s="512">
        <f>Ecrêtage!M40</f>
        <v>0</v>
      </c>
      <c r="H46" s="513">
        <f t="shared" si="0"/>
        <v>294030.9983293009</v>
      </c>
      <c r="I46" s="325">
        <f t="shared" si="1"/>
        <v>381210.07332930091</v>
      </c>
    </row>
    <row r="47" spans="1:9" x14ac:dyDescent="0.25">
      <c r="A47" s="38">
        <f>Données!A41</f>
        <v>5473</v>
      </c>
      <c r="B47" s="171" t="str">
        <f>Données!B41</f>
        <v>Boussens</v>
      </c>
      <c r="C47" s="31">
        <f>VPI!R41</f>
        <v>37766.597979852122</v>
      </c>
      <c r="D47" s="8">
        <f>Données!N41</f>
        <v>5808.45</v>
      </c>
      <c r="E47" s="239">
        <f>Données!O41+Données!P41+Données!R41</f>
        <v>93565.299999999988</v>
      </c>
      <c r="F47" s="512">
        <f t="shared" si="2"/>
        <v>48525.184999999998</v>
      </c>
      <c r="G47" s="512">
        <f>Ecrêtage!M41</f>
        <v>0</v>
      </c>
      <c r="H47" s="513">
        <f t="shared" si="0"/>
        <v>551401.22797257418</v>
      </c>
      <c r="I47" s="325">
        <f t="shared" si="1"/>
        <v>599926.41297257412</v>
      </c>
    </row>
    <row r="48" spans="1:9" x14ac:dyDescent="0.25">
      <c r="A48" s="38">
        <f>Données!A42</f>
        <v>5474</v>
      </c>
      <c r="B48" s="171" t="str">
        <f>Données!B42</f>
        <v>La Chaux (Cossonay)</v>
      </c>
      <c r="C48" s="31">
        <f>VPI!R42</f>
        <v>13181.653644203574</v>
      </c>
      <c r="D48" s="8">
        <f>Données!N42</f>
        <v>2422.9499999999998</v>
      </c>
      <c r="E48" s="239">
        <f>Données!O42+Données!P42+Données!R42</f>
        <v>107096.65</v>
      </c>
      <c r="F48" s="512">
        <f t="shared" si="2"/>
        <v>54275.21</v>
      </c>
      <c r="G48" s="512">
        <f>Ecrêtage!M42</f>
        <v>0</v>
      </c>
      <c r="H48" s="513">
        <f t="shared" si="0"/>
        <v>192455.2486829916</v>
      </c>
      <c r="I48" s="325">
        <f t="shared" si="1"/>
        <v>246730.45868299159</v>
      </c>
    </row>
    <row r="49" spans="1:9" x14ac:dyDescent="0.25">
      <c r="A49" s="38">
        <f>Données!A43</f>
        <v>5475</v>
      </c>
      <c r="B49" s="171" t="str">
        <f>Données!B43</f>
        <v>Chavannes-le-Veyron</v>
      </c>
      <c r="C49" s="31">
        <f>VPI!R43</f>
        <v>3874.542905998469</v>
      </c>
      <c r="D49" s="8">
        <f>Données!N43</f>
        <v>0</v>
      </c>
      <c r="E49" s="239">
        <f>Données!O43+Données!P43+Données!R43</f>
        <v>23527.8</v>
      </c>
      <c r="F49" s="512">
        <f t="shared" si="2"/>
        <v>11763.9</v>
      </c>
      <c r="G49" s="512">
        <f>Ecrêtage!M43</f>
        <v>0</v>
      </c>
      <c r="H49" s="513">
        <f t="shared" si="0"/>
        <v>56569.239234620291</v>
      </c>
      <c r="I49" s="325">
        <f t="shared" si="1"/>
        <v>68333.139234620292</v>
      </c>
    </row>
    <row r="50" spans="1:9" x14ac:dyDescent="0.25">
      <c r="A50" s="38">
        <f>Données!A44</f>
        <v>5476</v>
      </c>
      <c r="B50" s="171" t="str">
        <f>Données!B44</f>
        <v>Chevilly</v>
      </c>
      <c r="C50" s="31">
        <f>VPI!R44</f>
        <v>11841.851486486486</v>
      </c>
      <c r="D50" s="8">
        <f>Données!N44</f>
        <v>0</v>
      </c>
      <c r="E50" s="239">
        <f>Données!O44+Données!P44+Données!R44</f>
        <v>13231.1</v>
      </c>
      <c r="F50" s="512">
        <f t="shared" si="2"/>
        <v>6615.55</v>
      </c>
      <c r="G50" s="512">
        <f>Ecrêtage!M44</f>
        <v>0</v>
      </c>
      <c r="H50" s="513">
        <f t="shared" si="0"/>
        <v>172893.82153512863</v>
      </c>
      <c r="I50" s="325">
        <f t="shared" si="1"/>
        <v>179509.37153512862</v>
      </c>
    </row>
    <row r="51" spans="1:9" x14ac:dyDescent="0.25">
      <c r="A51" s="38">
        <f>Données!A45</f>
        <v>5477</v>
      </c>
      <c r="B51" s="171" t="str">
        <f>Données!B45</f>
        <v>Cossonay</v>
      </c>
      <c r="C51" s="31">
        <f>VPI!R45</f>
        <v>119044.37813513582</v>
      </c>
      <c r="D51" s="8">
        <f>Données!N45</f>
        <v>78423.75</v>
      </c>
      <c r="E51" s="239">
        <f>Données!O45+Données!P45+Données!R45</f>
        <v>1416385.5499999998</v>
      </c>
      <c r="F51" s="512">
        <f t="shared" si="2"/>
        <v>731719.89999999991</v>
      </c>
      <c r="G51" s="512">
        <f>Ecrêtage!M45</f>
        <v>0</v>
      </c>
      <c r="H51" s="513">
        <f t="shared" si="0"/>
        <v>1738075.966544932</v>
      </c>
      <c r="I51" s="325">
        <f t="shared" si="1"/>
        <v>2469795.8665449321</v>
      </c>
    </row>
    <row r="52" spans="1:9" x14ac:dyDescent="0.25">
      <c r="A52" s="38">
        <f>Données!A46</f>
        <v>5479</v>
      </c>
      <c r="B52" s="171" t="str">
        <f>Données!B46</f>
        <v>Cuarnens</v>
      </c>
      <c r="C52" s="31">
        <f>VPI!R46</f>
        <v>18064.580944641726</v>
      </c>
      <c r="D52" s="8">
        <f>Données!N46</f>
        <v>8570.9500000000007</v>
      </c>
      <c r="E52" s="239">
        <f>Données!O46+Données!P46+Données!R46</f>
        <v>162264.29999999999</v>
      </c>
      <c r="F52" s="512">
        <f t="shared" si="2"/>
        <v>83703.434999999998</v>
      </c>
      <c r="G52" s="512">
        <f>Ecrêtage!M46</f>
        <v>0</v>
      </c>
      <c r="H52" s="513">
        <f t="shared" si="0"/>
        <v>263747.13764261629</v>
      </c>
      <c r="I52" s="325">
        <f t="shared" si="1"/>
        <v>347450.57264261629</v>
      </c>
    </row>
    <row r="53" spans="1:9" x14ac:dyDescent="0.25">
      <c r="A53" s="38">
        <f>Données!A47</f>
        <v>5480</v>
      </c>
      <c r="B53" s="171" t="str">
        <f>Données!B47</f>
        <v>Daillens</v>
      </c>
      <c r="C53" s="31">
        <f>VPI!R47</f>
        <v>40967.735913324992</v>
      </c>
      <c r="D53" s="8">
        <f>Données!N47</f>
        <v>204900.85</v>
      </c>
      <c r="E53" s="239">
        <f>Données!O47+Données!P47+Données!R47</f>
        <v>210064.8</v>
      </c>
      <c r="F53" s="512">
        <f t="shared" si="2"/>
        <v>166502.655</v>
      </c>
      <c r="G53" s="512">
        <f>Ecrêtage!M47</f>
        <v>0</v>
      </c>
      <c r="H53" s="513">
        <f t="shared" si="0"/>
        <v>598138.5959602386</v>
      </c>
      <c r="I53" s="325">
        <f t="shared" si="1"/>
        <v>764641.25096023863</v>
      </c>
    </row>
    <row r="54" spans="1:9" x14ac:dyDescent="0.25">
      <c r="A54" s="38">
        <f>Données!A48</f>
        <v>5481</v>
      </c>
      <c r="B54" s="171" t="str">
        <f>Données!B48</f>
        <v>Dizy</v>
      </c>
      <c r="C54" s="31">
        <f>VPI!R48</f>
        <v>8106.5312898245948</v>
      </c>
      <c r="D54" s="8">
        <f>Données!N48</f>
        <v>0</v>
      </c>
      <c r="E54" s="239">
        <f>Données!O48+Données!P48+Données!R48</f>
        <v>7673.55</v>
      </c>
      <c r="F54" s="512">
        <f t="shared" si="2"/>
        <v>3836.7750000000001</v>
      </c>
      <c r="G54" s="512">
        <f>Ecrêtage!M48</f>
        <v>0</v>
      </c>
      <c r="H54" s="513">
        <f t="shared" si="0"/>
        <v>118357.26665642548</v>
      </c>
      <c r="I54" s="325">
        <f t="shared" si="1"/>
        <v>122194.04165642547</v>
      </c>
    </row>
    <row r="55" spans="1:9" x14ac:dyDescent="0.25">
      <c r="A55" s="38">
        <f>Données!A49</f>
        <v>5482</v>
      </c>
      <c r="B55" s="171" t="str">
        <f>Données!B49</f>
        <v>Eclépens</v>
      </c>
      <c r="C55" s="31">
        <f>VPI!R49</f>
        <v>70435.439965635131</v>
      </c>
      <c r="D55" s="8">
        <f>Données!N49</f>
        <v>338711.25</v>
      </c>
      <c r="E55" s="239">
        <f>Données!O49+Données!P49+Données!R49</f>
        <v>105115.09999999999</v>
      </c>
      <c r="F55" s="512">
        <f t="shared" si="2"/>
        <v>154170.92499999999</v>
      </c>
      <c r="G55" s="512">
        <f>Ecrêtage!M49</f>
        <v>142840.20713114113</v>
      </c>
      <c r="H55" s="513">
        <f t="shared" si="0"/>
        <v>1028374.0174468268</v>
      </c>
      <c r="I55" s="325">
        <f t="shared" si="1"/>
        <v>1325385.1495779678</v>
      </c>
    </row>
    <row r="56" spans="1:9" x14ac:dyDescent="0.25">
      <c r="A56" s="38">
        <f>Données!A50</f>
        <v>5483</v>
      </c>
      <c r="B56" s="171" t="str">
        <f>Données!B50</f>
        <v>Ferreyres</v>
      </c>
      <c r="C56" s="31">
        <f>VPI!R50</f>
        <v>10817.678140952161</v>
      </c>
      <c r="D56" s="8">
        <f>Données!N50</f>
        <v>0</v>
      </c>
      <c r="E56" s="239">
        <f>Données!O50+Données!P50+Données!R50</f>
        <v>19196.7</v>
      </c>
      <c r="F56" s="512">
        <f t="shared" si="2"/>
        <v>9598.35</v>
      </c>
      <c r="G56" s="512">
        <f>Ecrêtage!M50</f>
        <v>0</v>
      </c>
      <c r="H56" s="513">
        <f t="shared" si="0"/>
        <v>157940.64940440925</v>
      </c>
      <c r="I56" s="325">
        <f t="shared" si="1"/>
        <v>167538.99940440926</v>
      </c>
    </row>
    <row r="57" spans="1:9" x14ac:dyDescent="0.25">
      <c r="A57" s="38">
        <f>Données!A51</f>
        <v>5484</v>
      </c>
      <c r="B57" s="171" t="str">
        <f>Données!B51</f>
        <v>Gollion</v>
      </c>
      <c r="C57" s="31">
        <f>VPI!R51</f>
        <v>34968.588815884439</v>
      </c>
      <c r="D57" s="8">
        <f>Données!N51</f>
        <v>25418.75</v>
      </c>
      <c r="E57" s="239">
        <f>Données!O51+Données!P51+Données!R51</f>
        <v>209515.1</v>
      </c>
      <c r="F57" s="512">
        <f t="shared" si="2"/>
        <v>112383.175</v>
      </c>
      <c r="G57" s="512">
        <f>Ecrêtage!M51</f>
        <v>0</v>
      </c>
      <c r="H57" s="513">
        <f t="shared" si="0"/>
        <v>510549.63499315444</v>
      </c>
      <c r="I57" s="325">
        <f t="shared" si="1"/>
        <v>622932.80999315449</v>
      </c>
    </row>
    <row r="58" spans="1:9" x14ac:dyDescent="0.25">
      <c r="A58" s="38">
        <f>Données!A52</f>
        <v>5485</v>
      </c>
      <c r="B58" s="171" t="str">
        <f>Données!B52</f>
        <v>Grancy</v>
      </c>
      <c r="C58" s="31">
        <f>VPI!R52</f>
        <v>14538.346948228997</v>
      </c>
      <c r="D58" s="8">
        <f>Données!N52</f>
        <v>13845.05</v>
      </c>
      <c r="E58" s="239">
        <f>Données!O52+Données!P52+Données!R52</f>
        <v>154326.6</v>
      </c>
      <c r="F58" s="512">
        <f t="shared" si="2"/>
        <v>81316.815000000002</v>
      </c>
      <c r="G58" s="512">
        <f>Ecrêtage!M52</f>
        <v>0</v>
      </c>
      <c r="H58" s="513">
        <f t="shared" si="0"/>
        <v>212263.29054635661</v>
      </c>
      <c r="I58" s="325">
        <f t="shared" si="1"/>
        <v>293580.10554635664</v>
      </c>
    </row>
    <row r="59" spans="1:9" x14ac:dyDescent="0.25">
      <c r="A59" s="38">
        <f>Données!A53</f>
        <v>5486</v>
      </c>
      <c r="B59" s="171" t="str">
        <f>Données!B53</f>
        <v>L'Isle</v>
      </c>
      <c r="C59" s="31">
        <f>VPI!R53</f>
        <v>37453.794062170404</v>
      </c>
      <c r="D59" s="8">
        <f>Données!N53</f>
        <v>54932.45</v>
      </c>
      <c r="E59" s="239">
        <f>Données!O53+Données!P53+Données!R53</f>
        <v>111508.7</v>
      </c>
      <c r="F59" s="512">
        <f t="shared" si="2"/>
        <v>72234.084999999992</v>
      </c>
      <c r="G59" s="512">
        <f>Ecrêtage!M53</f>
        <v>0</v>
      </c>
      <c r="H59" s="513">
        <f t="shared" si="0"/>
        <v>546834.21708066529</v>
      </c>
      <c r="I59" s="325">
        <f t="shared" si="1"/>
        <v>619068.30208066525</v>
      </c>
    </row>
    <row r="60" spans="1:9" x14ac:dyDescent="0.25">
      <c r="A60" s="38">
        <f>Données!A54</f>
        <v>5487</v>
      </c>
      <c r="B60" s="171" t="str">
        <f>Données!B54</f>
        <v>Lussery-Villars</v>
      </c>
      <c r="C60" s="31">
        <f>VPI!R54</f>
        <v>12890.529066666668</v>
      </c>
      <c r="D60" s="8">
        <f>Données!N54</f>
        <v>0</v>
      </c>
      <c r="E60" s="239">
        <f>Données!O54+Données!P54+Données!R54</f>
        <v>31031.1</v>
      </c>
      <c r="F60" s="512">
        <f t="shared" si="2"/>
        <v>15515.55</v>
      </c>
      <c r="G60" s="512">
        <f>Ecrêtage!M54</f>
        <v>0</v>
      </c>
      <c r="H60" s="513">
        <f t="shared" si="0"/>
        <v>188204.76126465213</v>
      </c>
      <c r="I60" s="325">
        <f t="shared" si="1"/>
        <v>203720.31126465212</v>
      </c>
    </row>
    <row r="61" spans="1:9" x14ac:dyDescent="0.25">
      <c r="A61" s="38">
        <f>Données!A55</f>
        <v>5488</v>
      </c>
      <c r="B61" s="171" t="str">
        <f>Données!B55</f>
        <v>Mauraz</v>
      </c>
      <c r="C61" s="31">
        <f>VPI!R55</f>
        <v>1631.9031355919719</v>
      </c>
      <c r="D61" s="8">
        <f>Données!N55</f>
        <v>0</v>
      </c>
      <c r="E61" s="239">
        <f>Données!O55+Données!P55+Données!R55</f>
        <v>0</v>
      </c>
      <c r="F61" s="512">
        <f t="shared" si="2"/>
        <v>0</v>
      </c>
      <c r="G61" s="512">
        <f>Ecrêtage!M55</f>
        <v>0</v>
      </c>
      <c r="H61" s="513">
        <f t="shared" si="0"/>
        <v>23826.170241167987</v>
      </c>
      <c r="I61" s="325">
        <f t="shared" si="1"/>
        <v>23826.170241167987</v>
      </c>
    </row>
    <row r="62" spans="1:9" x14ac:dyDescent="0.25">
      <c r="A62" s="38">
        <f>Données!A56</f>
        <v>5489</v>
      </c>
      <c r="B62" s="171" t="str">
        <f>Données!B56</f>
        <v>Mex</v>
      </c>
      <c r="C62" s="31">
        <f>VPI!R56</f>
        <v>57470.761557418853</v>
      </c>
      <c r="D62" s="8">
        <f>Données!N56</f>
        <v>150502.45000000001</v>
      </c>
      <c r="E62" s="239">
        <f>Données!O56+Données!P56+Données!R56</f>
        <v>522544.5</v>
      </c>
      <c r="F62" s="512">
        <f t="shared" si="2"/>
        <v>306422.98499999999</v>
      </c>
      <c r="G62" s="512">
        <f>Ecrêtage!M56</f>
        <v>346472.79997071624</v>
      </c>
      <c r="H62" s="513">
        <f t="shared" si="0"/>
        <v>839086.65832664049</v>
      </c>
      <c r="I62" s="325">
        <f t="shared" si="1"/>
        <v>1491982.4432973568</v>
      </c>
    </row>
    <row r="63" spans="1:9" x14ac:dyDescent="0.25">
      <c r="A63" s="38">
        <f>Données!A57</f>
        <v>5490</v>
      </c>
      <c r="B63" s="171" t="str">
        <f>Données!B57</f>
        <v>Moiry</v>
      </c>
      <c r="C63" s="31">
        <f>VPI!R57</f>
        <v>8655.6964066779783</v>
      </c>
      <c r="D63" s="8">
        <f>Données!N57</f>
        <v>0</v>
      </c>
      <c r="E63" s="239">
        <f>Données!O57+Données!P57+Données!R57</f>
        <v>39652.35</v>
      </c>
      <c r="F63" s="512">
        <f t="shared" si="2"/>
        <v>19826.174999999999</v>
      </c>
      <c r="G63" s="512">
        <f>Ecrêtage!M57</f>
        <v>0</v>
      </c>
      <c r="H63" s="513">
        <f t="shared" si="0"/>
        <v>126375.20674078792</v>
      </c>
      <c r="I63" s="325">
        <f t="shared" si="1"/>
        <v>146201.38174078791</v>
      </c>
    </row>
    <row r="64" spans="1:9" x14ac:dyDescent="0.25">
      <c r="A64" s="38">
        <f>Données!A58</f>
        <v>5491</v>
      </c>
      <c r="B64" s="171" t="str">
        <f>Données!B58</f>
        <v>Mont-la-Ville</v>
      </c>
      <c r="C64" s="31">
        <f>VPI!R58</f>
        <v>14318.599966826661</v>
      </c>
      <c r="D64" s="8">
        <f>Données!N58</f>
        <v>1976.15</v>
      </c>
      <c r="E64" s="239">
        <f>Données!O58+Données!P58+Données!R58</f>
        <v>92961.2</v>
      </c>
      <c r="F64" s="512">
        <f t="shared" si="2"/>
        <v>47073.445</v>
      </c>
      <c r="G64" s="512">
        <f>Ecrêtage!M58</f>
        <v>0</v>
      </c>
      <c r="H64" s="513">
        <f t="shared" si="0"/>
        <v>209054.93284749382</v>
      </c>
      <c r="I64" s="325">
        <f t="shared" si="1"/>
        <v>256128.37784749383</v>
      </c>
    </row>
    <row r="65" spans="1:9" x14ac:dyDescent="0.25">
      <c r="A65" s="38">
        <f>Données!A59</f>
        <v>5492</v>
      </c>
      <c r="B65" s="171" t="str">
        <f>Données!B59</f>
        <v>Montricher</v>
      </c>
      <c r="C65" s="31">
        <f>VPI!R59</f>
        <v>157142.15514628743</v>
      </c>
      <c r="D65" s="8">
        <f>Données!N59</f>
        <v>6535.1</v>
      </c>
      <c r="E65" s="239">
        <f>Données!O59+Données!P59+Données!R59</f>
        <v>320078.65000000002</v>
      </c>
      <c r="F65" s="512">
        <f t="shared" si="2"/>
        <v>161999.85500000001</v>
      </c>
      <c r="G65" s="512">
        <f>Ecrêtage!M59</f>
        <v>3271111.139234955</v>
      </c>
      <c r="H65" s="513">
        <f t="shared" si="0"/>
        <v>2294312.486397244</v>
      </c>
      <c r="I65" s="325">
        <f t="shared" si="1"/>
        <v>5727423.480632199</v>
      </c>
    </row>
    <row r="66" spans="1:9" x14ac:dyDescent="0.25">
      <c r="A66" s="38">
        <f>Données!A60</f>
        <v>5493</v>
      </c>
      <c r="B66" s="171" t="str">
        <f>Données!B60</f>
        <v>Orny</v>
      </c>
      <c r="C66" s="31">
        <f>VPI!R60</f>
        <v>12876.853954456508</v>
      </c>
      <c r="D66" s="8">
        <f>Données!N60</f>
        <v>72407.399999999994</v>
      </c>
      <c r="E66" s="239">
        <f>Données!O60+Données!P60+Données!R60</f>
        <v>123071</v>
      </c>
      <c r="F66" s="512">
        <f t="shared" si="2"/>
        <v>83257.72</v>
      </c>
      <c r="G66" s="512">
        <f>Ecrêtage!M60</f>
        <v>0</v>
      </c>
      <c r="H66" s="513">
        <f t="shared" si="0"/>
        <v>188005.10140465182</v>
      </c>
      <c r="I66" s="325">
        <f t="shared" si="1"/>
        <v>271262.82140465186</v>
      </c>
    </row>
    <row r="67" spans="1:9" x14ac:dyDescent="0.25">
      <c r="A67" s="38">
        <f>Données!A61</f>
        <v>5495</v>
      </c>
      <c r="B67" s="171" t="str">
        <f>Données!B61</f>
        <v>Penthalaz</v>
      </c>
      <c r="C67" s="31">
        <f>VPI!R61</f>
        <v>93343.047382121076</v>
      </c>
      <c r="D67" s="8">
        <f>Données!N61</f>
        <v>253218.8</v>
      </c>
      <c r="E67" s="239">
        <f>Données!O61+Données!P61+Données!R61</f>
        <v>425138.75</v>
      </c>
      <c r="F67" s="512">
        <f t="shared" si="2"/>
        <v>288535.01500000001</v>
      </c>
      <c r="G67" s="512">
        <f>Ecrêtage!M61</f>
        <v>0</v>
      </c>
      <c r="H67" s="513">
        <f t="shared" si="0"/>
        <v>1362830.4825513244</v>
      </c>
      <c r="I67" s="325">
        <f t="shared" si="1"/>
        <v>1651365.4975513243</v>
      </c>
    </row>
    <row r="68" spans="1:9" x14ac:dyDescent="0.25">
      <c r="A68" s="38">
        <f>Données!A62</f>
        <v>5496</v>
      </c>
      <c r="B68" s="171" t="str">
        <f>Données!B62</f>
        <v>Penthaz</v>
      </c>
      <c r="C68" s="31">
        <f>VPI!R62</f>
        <v>60111.570435586618</v>
      </c>
      <c r="D68" s="8">
        <f>Données!N62</f>
        <v>84746.65</v>
      </c>
      <c r="E68" s="239">
        <f>Données!O62+Données!P62+Données!R62</f>
        <v>309285.25</v>
      </c>
      <c r="F68" s="512">
        <f t="shared" si="2"/>
        <v>180066.62</v>
      </c>
      <c r="G68" s="512">
        <f>Ecrêtage!M62</f>
        <v>0</v>
      </c>
      <c r="H68" s="513">
        <f t="shared" si="0"/>
        <v>877643.09009842493</v>
      </c>
      <c r="I68" s="325">
        <f t="shared" si="1"/>
        <v>1057709.7100984249</v>
      </c>
    </row>
    <row r="69" spans="1:9" x14ac:dyDescent="0.25">
      <c r="A69" s="38">
        <f>Données!A63</f>
        <v>5497</v>
      </c>
      <c r="B69" s="171" t="str">
        <f>Données!B63</f>
        <v>Pompaples</v>
      </c>
      <c r="C69" s="31">
        <f>VPI!R63</f>
        <v>20415.356363636369</v>
      </c>
      <c r="D69" s="8">
        <f>Données!N63</f>
        <v>213258.85</v>
      </c>
      <c r="E69" s="239">
        <f>Données!O63+Données!P63+Données!R63</f>
        <v>32638.5</v>
      </c>
      <c r="F69" s="512">
        <f t="shared" si="2"/>
        <v>80296.904999999999</v>
      </c>
      <c r="G69" s="512">
        <f>Ecrêtage!M63</f>
        <v>0</v>
      </c>
      <c r="H69" s="513">
        <f t="shared" si="0"/>
        <v>298069.01258123008</v>
      </c>
      <c r="I69" s="325">
        <f t="shared" si="1"/>
        <v>378365.91758123005</v>
      </c>
    </row>
    <row r="70" spans="1:9" x14ac:dyDescent="0.25">
      <c r="A70" s="38">
        <f>Données!A64</f>
        <v>5498</v>
      </c>
      <c r="B70" s="171" t="str">
        <f>Données!B64</f>
        <v>La Sarraz</v>
      </c>
      <c r="C70" s="31">
        <f>VPI!R64</f>
        <v>77489.743908484481</v>
      </c>
      <c r="D70" s="8">
        <f>Données!N64</f>
        <v>80908.7</v>
      </c>
      <c r="E70" s="239">
        <f>Données!O64+Données!P64+Données!R64</f>
        <v>292584.59999999998</v>
      </c>
      <c r="F70" s="512">
        <f t="shared" si="2"/>
        <v>170564.90999999997</v>
      </c>
      <c r="G70" s="512">
        <f>Ecrêtage!M64</f>
        <v>0</v>
      </c>
      <c r="H70" s="513">
        <f t="shared" si="0"/>
        <v>1131368.5169422282</v>
      </c>
      <c r="I70" s="325">
        <f t="shared" si="1"/>
        <v>1301933.4269422281</v>
      </c>
    </row>
    <row r="71" spans="1:9" x14ac:dyDescent="0.25">
      <c r="A71" s="38">
        <f>Données!A65</f>
        <v>5499</v>
      </c>
      <c r="B71" s="171" t="str">
        <f>Données!B65</f>
        <v>Senarclens</v>
      </c>
      <c r="C71" s="31">
        <f>VPI!R65</f>
        <v>19645.120071728084</v>
      </c>
      <c r="D71" s="8">
        <f>Données!N65</f>
        <v>15029.85</v>
      </c>
      <c r="E71" s="239">
        <f>Données!O65+Données!P65+Données!R65</f>
        <v>241958.5</v>
      </c>
      <c r="F71" s="512">
        <f t="shared" si="2"/>
        <v>125488.205</v>
      </c>
      <c r="G71" s="512">
        <f>Ecrêtage!M65</f>
        <v>0</v>
      </c>
      <c r="H71" s="513">
        <f t="shared" si="0"/>
        <v>286823.38125870941</v>
      </c>
      <c r="I71" s="325">
        <f t="shared" si="1"/>
        <v>412311.58625870943</v>
      </c>
    </row>
    <row r="72" spans="1:9" x14ac:dyDescent="0.25">
      <c r="A72" s="38">
        <f>Données!A66</f>
        <v>5501</v>
      </c>
      <c r="B72" s="171" t="str">
        <f>Données!B66</f>
        <v>Sullens</v>
      </c>
      <c r="C72" s="31">
        <f>VPI!R66</f>
        <v>41909.752277748921</v>
      </c>
      <c r="D72" s="8">
        <f>Données!N66</f>
        <v>6179.4</v>
      </c>
      <c r="E72" s="239">
        <f>Données!O66+Données!P66+Données!R66</f>
        <v>522305.25</v>
      </c>
      <c r="F72" s="512">
        <f t="shared" si="2"/>
        <v>263006.44500000001</v>
      </c>
      <c r="G72" s="512">
        <f>Ecrêtage!M66</f>
        <v>0</v>
      </c>
      <c r="H72" s="513">
        <f t="shared" si="0"/>
        <v>611892.25681130914</v>
      </c>
      <c r="I72" s="325">
        <f t="shared" si="1"/>
        <v>874898.70181130921</v>
      </c>
    </row>
    <row r="73" spans="1:9" x14ac:dyDescent="0.25">
      <c r="A73" s="38">
        <f>Données!A67</f>
        <v>5503</v>
      </c>
      <c r="B73" s="171" t="str">
        <f>Données!B67</f>
        <v>Vufflens-la-Ville</v>
      </c>
      <c r="C73" s="31">
        <f>VPI!R67</f>
        <v>67522.299953701979</v>
      </c>
      <c r="D73" s="8">
        <f>Données!N67</f>
        <v>90208.95</v>
      </c>
      <c r="E73" s="239">
        <f>Données!O67+Données!P67+Données!R67</f>
        <v>239471.15000000002</v>
      </c>
      <c r="F73" s="512">
        <f t="shared" si="2"/>
        <v>146798.26</v>
      </c>
      <c r="G73" s="512">
        <f>Ecrêtage!M67</f>
        <v>70172.466580033361</v>
      </c>
      <c r="H73" s="513">
        <f t="shared" si="0"/>
        <v>985841.48696333135</v>
      </c>
      <c r="I73" s="325">
        <f t="shared" si="1"/>
        <v>1202812.2135433648</v>
      </c>
    </row>
    <row r="74" spans="1:9" x14ac:dyDescent="0.25">
      <c r="A74" s="38">
        <f>Données!A68</f>
        <v>5511</v>
      </c>
      <c r="B74" s="171" t="str">
        <f>Données!B68</f>
        <v>Assens</v>
      </c>
      <c r="C74" s="31">
        <f>VPI!R68</f>
        <v>66087.783372412887</v>
      </c>
      <c r="D74" s="8">
        <f>Données!N68</f>
        <v>327972.55</v>
      </c>
      <c r="E74" s="239">
        <f>Données!O68+Données!P68+Données!R68</f>
        <v>186957.4</v>
      </c>
      <c r="F74" s="512">
        <f t="shared" si="2"/>
        <v>191870.465</v>
      </c>
      <c r="G74" s="512">
        <f>Ecrêtage!M68</f>
        <v>0</v>
      </c>
      <c r="H74" s="513">
        <f t="shared" si="0"/>
        <v>964897.20691746101</v>
      </c>
      <c r="I74" s="325">
        <f t="shared" si="1"/>
        <v>1156767.6719174611</v>
      </c>
    </row>
    <row r="75" spans="1:9" x14ac:dyDescent="0.25">
      <c r="A75" s="38">
        <f>Données!A69</f>
        <v>5512</v>
      </c>
      <c r="B75" s="171" t="str">
        <f>Données!B69</f>
        <v>Bercher</v>
      </c>
      <c r="C75" s="31">
        <f>VPI!R69</f>
        <v>40303.726605085889</v>
      </c>
      <c r="D75" s="8">
        <f>Données!N69</f>
        <v>67506.7</v>
      </c>
      <c r="E75" s="239">
        <f>Données!O69+Données!P69+Données!R69</f>
        <v>127864.25</v>
      </c>
      <c r="F75" s="512">
        <f t="shared" si="2"/>
        <v>84184.134999999995</v>
      </c>
      <c r="G75" s="512">
        <f>Ecrêtage!M69</f>
        <v>0</v>
      </c>
      <c r="H75" s="513">
        <f t="shared" si="0"/>
        <v>588443.90362539841</v>
      </c>
      <c r="I75" s="325">
        <f t="shared" si="1"/>
        <v>672628.03862539842</v>
      </c>
    </row>
    <row r="76" spans="1:9" x14ac:dyDescent="0.25">
      <c r="A76" s="38">
        <f>Données!A70</f>
        <v>5514</v>
      </c>
      <c r="B76" s="171" t="str">
        <f>Données!B70</f>
        <v>Bottens</v>
      </c>
      <c r="C76" s="31">
        <f>VPI!R70</f>
        <v>44188.527468794709</v>
      </c>
      <c r="D76" s="8">
        <f>Données!N70</f>
        <v>8976.5499999999993</v>
      </c>
      <c r="E76" s="239">
        <f>Données!O70+Données!P70+Données!R70</f>
        <v>181161.8</v>
      </c>
      <c r="F76" s="512">
        <f t="shared" si="2"/>
        <v>93273.864999999991</v>
      </c>
      <c r="G76" s="512">
        <f>Ecrêtage!M70</f>
        <v>0</v>
      </c>
      <c r="H76" s="513">
        <f t="shared" ref="H76:H139" si="3">$H$11*C76</f>
        <v>645162.91145927133</v>
      </c>
      <c r="I76" s="325">
        <f t="shared" ref="I76:I139" si="4">F76+H76+G76</f>
        <v>738436.77645927132</v>
      </c>
    </row>
    <row r="77" spans="1:9" x14ac:dyDescent="0.25">
      <c r="A77" s="38">
        <f>Données!A71</f>
        <v>5515</v>
      </c>
      <c r="B77" s="171" t="str">
        <f>Données!B71</f>
        <v>Bretigny-sur-Morrens</v>
      </c>
      <c r="C77" s="31">
        <f>VPI!R71</f>
        <v>29581.308918344312</v>
      </c>
      <c r="D77" s="8">
        <f>Données!N71</f>
        <v>3757.1</v>
      </c>
      <c r="E77" s="239">
        <f>Données!O71+Données!P71+Données!R71</f>
        <v>235358.55</v>
      </c>
      <c r="F77" s="512">
        <f t="shared" ref="F77:F140" si="5">D77*$D$11+E77*$E$11</f>
        <v>118806.405</v>
      </c>
      <c r="G77" s="512">
        <f>Ecrêtage!M71</f>
        <v>0</v>
      </c>
      <c r="H77" s="513">
        <f t="shared" si="3"/>
        <v>431894.07929495961</v>
      </c>
      <c r="I77" s="325">
        <f t="shared" si="4"/>
        <v>550700.48429495958</v>
      </c>
    </row>
    <row r="78" spans="1:9" x14ac:dyDescent="0.25">
      <c r="A78" s="38">
        <f>Données!A72</f>
        <v>5516</v>
      </c>
      <c r="B78" s="171" t="str">
        <f>Données!B72</f>
        <v>Cugy</v>
      </c>
      <c r="C78" s="31">
        <f>VPI!R72</f>
        <v>107018.16986148078</v>
      </c>
      <c r="D78" s="8">
        <f>Données!N72</f>
        <v>99596.35</v>
      </c>
      <c r="E78" s="239">
        <f>Données!O72+Données!P72+Données!R72</f>
        <v>714049.5</v>
      </c>
      <c r="F78" s="512">
        <f t="shared" si="5"/>
        <v>386903.65500000003</v>
      </c>
      <c r="G78" s="512">
        <f>Ecrêtage!M72</f>
        <v>0</v>
      </c>
      <c r="H78" s="513">
        <f t="shared" si="3"/>
        <v>1562490.4924843616</v>
      </c>
      <c r="I78" s="325">
        <f t="shared" si="4"/>
        <v>1949394.1474843617</v>
      </c>
    </row>
    <row r="79" spans="1:9" x14ac:dyDescent="0.25">
      <c r="A79" s="38">
        <f>Données!A73</f>
        <v>5518</v>
      </c>
      <c r="B79" s="171" t="str">
        <f>Données!B73</f>
        <v>Echallens</v>
      </c>
      <c r="C79" s="31">
        <f>VPI!R73</f>
        <v>178600.86493850421</v>
      </c>
      <c r="D79" s="8">
        <f>Données!N73</f>
        <v>164060.75</v>
      </c>
      <c r="E79" s="239">
        <f>Données!O73+Données!P73+Données!R73</f>
        <v>1122027.75</v>
      </c>
      <c r="F79" s="512">
        <f t="shared" si="5"/>
        <v>610232.1</v>
      </c>
      <c r="G79" s="512">
        <f>Ecrêtage!M73</f>
        <v>0</v>
      </c>
      <c r="H79" s="513">
        <f t="shared" si="3"/>
        <v>2607614.7048403192</v>
      </c>
      <c r="I79" s="325">
        <f t="shared" si="4"/>
        <v>3217846.8048403193</v>
      </c>
    </row>
    <row r="80" spans="1:9" x14ac:dyDescent="0.25">
      <c r="A80" s="38">
        <f>Données!A74</f>
        <v>5520</v>
      </c>
      <c r="B80" s="171" t="str">
        <f>Données!B74</f>
        <v>Essertines-sur-Yverdon</v>
      </c>
      <c r="C80" s="31">
        <f>VPI!R74</f>
        <v>29717.541203363555</v>
      </c>
      <c r="D80" s="8">
        <f>Données!N74</f>
        <v>5690.95</v>
      </c>
      <c r="E80" s="239">
        <f>Données!O74+Données!P74+Données!R74</f>
        <v>260803.90000000002</v>
      </c>
      <c r="F80" s="512">
        <f t="shared" si="5"/>
        <v>132109.23500000002</v>
      </c>
      <c r="G80" s="512">
        <f>Ecrêtage!M74</f>
        <v>0</v>
      </c>
      <c r="H80" s="513">
        <f t="shared" si="3"/>
        <v>433883.10275132692</v>
      </c>
      <c r="I80" s="325">
        <f t="shared" si="4"/>
        <v>565992.33775132697</v>
      </c>
    </row>
    <row r="81" spans="1:9" x14ac:dyDescent="0.25">
      <c r="A81" s="38">
        <f>Données!A75</f>
        <v>5521</v>
      </c>
      <c r="B81" s="171" t="str">
        <f>Données!B75</f>
        <v>Etagnières</v>
      </c>
      <c r="C81" s="31">
        <f>VPI!R75</f>
        <v>46728.684482765391</v>
      </c>
      <c r="D81" s="8">
        <f>Données!N75</f>
        <v>27188</v>
      </c>
      <c r="E81" s="239">
        <f>Données!O75+Données!P75+Données!R75</f>
        <v>173334.2</v>
      </c>
      <c r="F81" s="512">
        <f t="shared" si="5"/>
        <v>94823.5</v>
      </c>
      <c r="G81" s="512">
        <f>Ecrêtage!M75</f>
        <v>0</v>
      </c>
      <c r="H81" s="513">
        <f t="shared" si="3"/>
        <v>682249.80230111524</v>
      </c>
      <c r="I81" s="325">
        <f t="shared" si="4"/>
        <v>777073.30230111524</v>
      </c>
    </row>
    <row r="82" spans="1:9" x14ac:dyDescent="0.25">
      <c r="A82" s="38">
        <f>Données!A76</f>
        <v>5522</v>
      </c>
      <c r="B82" s="171" t="str">
        <f>Données!B76</f>
        <v>Fey</v>
      </c>
      <c r="C82" s="31">
        <f>VPI!R76</f>
        <v>23725.546686457117</v>
      </c>
      <c r="D82" s="8">
        <f>Données!N76</f>
        <v>15179</v>
      </c>
      <c r="E82" s="239">
        <f>Données!O76+Données!P76+Données!R76</f>
        <v>46705.2</v>
      </c>
      <c r="F82" s="512">
        <f t="shared" si="5"/>
        <v>27906.3</v>
      </c>
      <c r="G82" s="512">
        <f>Ecrêtage!M76</f>
        <v>0</v>
      </c>
      <c r="H82" s="513">
        <f t="shared" si="3"/>
        <v>346398.5711451238</v>
      </c>
      <c r="I82" s="325">
        <f t="shared" si="4"/>
        <v>374304.87114512379</v>
      </c>
    </row>
    <row r="83" spans="1:9" x14ac:dyDescent="0.25">
      <c r="A83" s="38">
        <f>Données!A77</f>
        <v>5523</v>
      </c>
      <c r="B83" s="171" t="str">
        <f>Données!B77</f>
        <v>Froideville</v>
      </c>
      <c r="C83" s="31">
        <f>VPI!R77</f>
        <v>85857.812378374249</v>
      </c>
      <c r="D83" s="8">
        <f>Données!N77</f>
        <v>10619.3</v>
      </c>
      <c r="E83" s="239">
        <f>Données!O77+Données!P77+Données!R77</f>
        <v>277224.95</v>
      </c>
      <c r="F83" s="512">
        <f t="shared" si="5"/>
        <v>141798.26500000001</v>
      </c>
      <c r="G83" s="512">
        <f>Ecrêtage!M77</f>
        <v>0</v>
      </c>
      <c r="H83" s="513">
        <f t="shared" si="3"/>
        <v>1253544.2880433842</v>
      </c>
      <c r="I83" s="325">
        <f t="shared" si="4"/>
        <v>1395342.5530433841</v>
      </c>
    </row>
    <row r="84" spans="1:9" x14ac:dyDescent="0.25">
      <c r="A84" s="38">
        <f>Données!A78</f>
        <v>5527</v>
      </c>
      <c r="B84" s="171" t="str">
        <f>Données!B78</f>
        <v>Morrens</v>
      </c>
      <c r="C84" s="31">
        <f>VPI!R78</f>
        <v>40562.178421686454</v>
      </c>
      <c r="D84" s="8">
        <f>Données!N78</f>
        <v>9803.75</v>
      </c>
      <c r="E84" s="239">
        <f>Données!O78+Données!P78+Données!R78</f>
        <v>157261.95000000001</v>
      </c>
      <c r="F84" s="512">
        <f t="shared" si="5"/>
        <v>81572.100000000006</v>
      </c>
      <c r="G84" s="512">
        <f>Ecrêtage!M78</f>
        <v>0</v>
      </c>
      <c r="H84" s="513">
        <f t="shared" si="3"/>
        <v>592217.36103666225</v>
      </c>
      <c r="I84" s="325">
        <f t="shared" si="4"/>
        <v>673789.46103666222</v>
      </c>
    </row>
    <row r="85" spans="1:9" x14ac:dyDescent="0.25">
      <c r="A85" s="38">
        <f>Données!A79</f>
        <v>5529</v>
      </c>
      <c r="B85" s="171" t="str">
        <f>Données!B79</f>
        <v>Oulens-sous-Echallens</v>
      </c>
      <c r="C85" s="31">
        <f>VPI!R79</f>
        <v>20197.480835918959</v>
      </c>
      <c r="D85" s="8">
        <f>Données!N79</f>
        <v>1847.9</v>
      </c>
      <c r="E85" s="239">
        <f>Données!O79+Données!P79+Données!R79</f>
        <v>42989</v>
      </c>
      <c r="F85" s="512">
        <f t="shared" si="5"/>
        <v>22048.87</v>
      </c>
      <c r="G85" s="512">
        <f>Ecrêtage!M79</f>
        <v>0</v>
      </c>
      <c r="H85" s="513">
        <f t="shared" si="3"/>
        <v>294887.9785470647</v>
      </c>
      <c r="I85" s="325">
        <f t="shared" si="4"/>
        <v>316936.8485470647</v>
      </c>
    </row>
    <row r="86" spans="1:9" x14ac:dyDescent="0.25">
      <c r="A86" s="38">
        <f>Données!A80</f>
        <v>5530</v>
      </c>
      <c r="B86" s="171" t="str">
        <f>Données!B80</f>
        <v>Pailly</v>
      </c>
      <c r="C86" s="31">
        <f>VPI!R80</f>
        <v>18293.784444479894</v>
      </c>
      <c r="D86" s="8">
        <f>Données!N80</f>
        <v>18495.150000000001</v>
      </c>
      <c r="E86" s="239">
        <f>Données!O80+Données!P80+Données!R80</f>
        <v>13902.55</v>
      </c>
      <c r="F86" s="512">
        <f t="shared" si="5"/>
        <v>12499.82</v>
      </c>
      <c r="G86" s="512">
        <f>Ecrêtage!M80</f>
        <v>0</v>
      </c>
      <c r="H86" s="513">
        <f t="shared" si="3"/>
        <v>267093.56273851189</v>
      </c>
      <c r="I86" s="325">
        <f t="shared" si="4"/>
        <v>279593.38273851189</v>
      </c>
    </row>
    <row r="87" spans="1:9" x14ac:dyDescent="0.25">
      <c r="A87" s="38">
        <f>Données!A81</f>
        <v>5531</v>
      </c>
      <c r="B87" s="171" t="str">
        <f>Données!B81</f>
        <v>Penthéréaz</v>
      </c>
      <c r="C87" s="31">
        <f>VPI!R81</f>
        <v>13840.342734120952</v>
      </c>
      <c r="D87" s="8">
        <f>Données!N81</f>
        <v>19757.3</v>
      </c>
      <c r="E87" s="239">
        <f>Données!O81+Données!P81+Données!R81</f>
        <v>44157.3</v>
      </c>
      <c r="F87" s="512">
        <f t="shared" si="5"/>
        <v>28005.84</v>
      </c>
      <c r="G87" s="512">
        <f>Ecrêtage!M81</f>
        <v>0</v>
      </c>
      <c r="H87" s="513">
        <f t="shared" si="3"/>
        <v>202072.26457693952</v>
      </c>
      <c r="I87" s="325">
        <f t="shared" si="4"/>
        <v>230078.10457693951</v>
      </c>
    </row>
    <row r="88" spans="1:9" x14ac:dyDescent="0.25">
      <c r="A88" s="38">
        <f>Données!A82</f>
        <v>5533</v>
      </c>
      <c r="B88" s="171" t="str">
        <f>Données!B82</f>
        <v>Poliez-Pittet</v>
      </c>
      <c r="C88" s="31">
        <f>VPI!R82</f>
        <v>27171.721019789369</v>
      </c>
      <c r="D88" s="8">
        <f>Données!N82</f>
        <v>752.3</v>
      </c>
      <c r="E88" s="239">
        <f>Données!O82+Données!P82+Données!R82</f>
        <v>340498.69999999995</v>
      </c>
      <c r="F88" s="512">
        <f t="shared" si="5"/>
        <v>170475.03999999998</v>
      </c>
      <c r="G88" s="512">
        <f>Ecrêtage!M82</f>
        <v>0</v>
      </c>
      <c r="H88" s="513">
        <f t="shared" si="3"/>
        <v>396713.52829908062</v>
      </c>
      <c r="I88" s="325">
        <f t="shared" si="4"/>
        <v>567188.56829908059</v>
      </c>
    </row>
    <row r="89" spans="1:9" x14ac:dyDescent="0.25">
      <c r="A89" s="38">
        <f>Données!A83</f>
        <v>5534</v>
      </c>
      <c r="B89" s="171" t="str">
        <f>Données!B83</f>
        <v>Rueyres</v>
      </c>
      <c r="C89" s="31">
        <f>VPI!R83</f>
        <v>9741.2664246848526</v>
      </c>
      <c r="D89" s="8">
        <f>Données!N83</f>
        <v>27496.9</v>
      </c>
      <c r="E89" s="239">
        <f>Données!O83+Données!P83+Données!R83</f>
        <v>34012.300000000003</v>
      </c>
      <c r="F89" s="512">
        <f t="shared" si="5"/>
        <v>25255.22</v>
      </c>
      <c r="G89" s="512">
        <f>Ecrêtage!M83</f>
        <v>0</v>
      </c>
      <c r="H89" s="513">
        <f t="shared" si="3"/>
        <v>142224.78475410369</v>
      </c>
      <c r="I89" s="325">
        <f t="shared" si="4"/>
        <v>167480.00475410369</v>
      </c>
    </row>
    <row r="90" spans="1:9" x14ac:dyDescent="0.25">
      <c r="A90" s="38">
        <f>Données!A84</f>
        <v>5535</v>
      </c>
      <c r="B90" s="171" t="str">
        <f>Données!B84</f>
        <v>Saint-Barthélemy</v>
      </c>
      <c r="C90" s="31">
        <f>VPI!R84</f>
        <v>22506.660400000004</v>
      </c>
      <c r="D90" s="8">
        <f>Données!N84</f>
        <v>44895</v>
      </c>
      <c r="E90" s="239">
        <f>Données!O84+Données!P84+Données!R84</f>
        <v>35190.65</v>
      </c>
      <c r="F90" s="512">
        <f t="shared" si="5"/>
        <v>31063.825000000001</v>
      </c>
      <c r="G90" s="512">
        <f>Ecrêtage!M84</f>
        <v>0</v>
      </c>
      <c r="H90" s="513">
        <f t="shared" si="3"/>
        <v>328602.54420433514</v>
      </c>
      <c r="I90" s="325">
        <f t="shared" si="4"/>
        <v>359666.36920433515</v>
      </c>
    </row>
    <row r="91" spans="1:9" x14ac:dyDescent="0.25">
      <c r="A91" s="38">
        <f>Données!A85</f>
        <v>5537</v>
      </c>
      <c r="B91" s="171" t="str">
        <f>Données!B85</f>
        <v>Villars-le-Terroir</v>
      </c>
      <c r="C91" s="31">
        <f>VPI!R85</f>
        <v>37957.948044056422</v>
      </c>
      <c r="D91" s="8">
        <f>Données!N85</f>
        <v>0</v>
      </c>
      <c r="E91" s="239">
        <f>Données!O85+Données!P85+Données!R85</f>
        <v>194839.55</v>
      </c>
      <c r="F91" s="512">
        <f t="shared" si="5"/>
        <v>97419.774999999994</v>
      </c>
      <c r="G91" s="512">
        <f>Ecrêtage!M85</f>
        <v>0</v>
      </c>
      <c r="H91" s="513">
        <f t="shared" si="3"/>
        <v>554194.98399029044</v>
      </c>
      <c r="I91" s="325">
        <f t="shared" si="4"/>
        <v>651614.75899029046</v>
      </c>
    </row>
    <row r="92" spans="1:9" x14ac:dyDescent="0.25">
      <c r="A92" s="38">
        <f>Données!A86</f>
        <v>5539</v>
      </c>
      <c r="B92" s="171" t="str">
        <f>Données!B86</f>
        <v>Vuarrens</v>
      </c>
      <c r="C92" s="31">
        <f>VPI!R86</f>
        <v>35955.043474705482</v>
      </c>
      <c r="D92" s="8">
        <f>Données!N86</f>
        <v>19878.05</v>
      </c>
      <c r="E92" s="239">
        <f>Données!O86+Données!P86+Données!R86</f>
        <v>320579.55000000005</v>
      </c>
      <c r="F92" s="512">
        <f t="shared" si="5"/>
        <v>166253.19000000003</v>
      </c>
      <c r="G92" s="512">
        <f>Ecrêtage!M86</f>
        <v>0</v>
      </c>
      <c r="H92" s="513">
        <f t="shared" si="3"/>
        <v>524952.10541168065</v>
      </c>
      <c r="I92" s="325">
        <f t="shared" si="4"/>
        <v>691205.29541168071</v>
      </c>
    </row>
    <row r="93" spans="1:9" x14ac:dyDescent="0.25">
      <c r="A93" s="38">
        <f>Données!A87</f>
        <v>5540</v>
      </c>
      <c r="B93" s="171" t="str">
        <f>Données!B87</f>
        <v>Montilliez</v>
      </c>
      <c r="C93" s="31">
        <f>VPI!R87</f>
        <v>66216.365354079026</v>
      </c>
      <c r="D93" s="8">
        <f>Données!N87</f>
        <v>1260.8499999999999</v>
      </c>
      <c r="E93" s="239">
        <f>Données!O87+Données!P87+Données!R87</f>
        <v>196462.9</v>
      </c>
      <c r="F93" s="512">
        <f t="shared" si="5"/>
        <v>98609.705000000002</v>
      </c>
      <c r="G93" s="512">
        <f>Ecrêtage!M87</f>
        <v>0</v>
      </c>
      <c r="H93" s="513">
        <f t="shared" si="3"/>
        <v>966774.53414253111</v>
      </c>
      <c r="I93" s="325">
        <f t="shared" si="4"/>
        <v>1065384.2391425311</v>
      </c>
    </row>
    <row r="94" spans="1:9" x14ac:dyDescent="0.25">
      <c r="A94" s="38">
        <f>Données!A88</f>
        <v>5541</v>
      </c>
      <c r="B94" s="171" t="str">
        <f>Données!B88</f>
        <v>Goumoëns</v>
      </c>
      <c r="C94" s="31">
        <f>VPI!R88</f>
        <v>36974.846186713199</v>
      </c>
      <c r="D94" s="8">
        <f>Données!N88</f>
        <v>9196.2999999999993</v>
      </c>
      <c r="E94" s="239">
        <f>Données!O88+Données!P88+Données!R88</f>
        <v>254420.75</v>
      </c>
      <c r="F94" s="512">
        <f t="shared" si="5"/>
        <v>129969.265</v>
      </c>
      <c r="G94" s="512">
        <f>Ecrêtage!M88</f>
        <v>0</v>
      </c>
      <c r="H94" s="513">
        <f t="shared" si="3"/>
        <v>539841.46526323003</v>
      </c>
      <c r="I94" s="325">
        <f t="shared" si="4"/>
        <v>669810.73026323004</v>
      </c>
    </row>
    <row r="95" spans="1:9" x14ac:dyDescent="0.25">
      <c r="A95" s="38">
        <f>Données!A89</f>
        <v>5551</v>
      </c>
      <c r="B95" s="171" t="str">
        <f>Données!B89</f>
        <v>Bonvillars</v>
      </c>
      <c r="C95" s="31">
        <f>VPI!R89</f>
        <v>19152.288613413803</v>
      </c>
      <c r="D95" s="8">
        <f>Données!N89</f>
        <v>30909.3</v>
      </c>
      <c r="E95" s="239">
        <f>Données!O89+Données!P89+Données!R89</f>
        <v>31482.95</v>
      </c>
      <c r="F95" s="512">
        <f t="shared" si="5"/>
        <v>25014.264999999999</v>
      </c>
      <c r="G95" s="512">
        <f>Ecrêtage!M89</f>
        <v>0</v>
      </c>
      <c r="H95" s="513">
        <f t="shared" si="3"/>
        <v>279627.9258607151</v>
      </c>
      <c r="I95" s="325">
        <f t="shared" si="4"/>
        <v>304642.19086071511</v>
      </c>
    </row>
    <row r="96" spans="1:9" x14ac:dyDescent="0.25">
      <c r="A96" s="38">
        <f>Données!A90</f>
        <v>5552</v>
      </c>
      <c r="B96" s="171" t="str">
        <f>Données!B90</f>
        <v>Bullet</v>
      </c>
      <c r="C96" s="31">
        <f>VPI!R90</f>
        <v>17562.45286713287</v>
      </c>
      <c r="D96" s="8">
        <f>Données!N90</f>
        <v>65482.45</v>
      </c>
      <c r="E96" s="239">
        <f>Données!O90+Données!P90+Données!R90</f>
        <v>104999.54999999999</v>
      </c>
      <c r="F96" s="512">
        <f t="shared" si="5"/>
        <v>72144.509999999995</v>
      </c>
      <c r="G96" s="512">
        <f>Ecrêtage!M90</f>
        <v>0</v>
      </c>
      <c r="H96" s="513">
        <f t="shared" si="3"/>
        <v>256415.94941418231</v>
      </c>
      <c r="I96" s="325">
        <f t="shared" si="4"/>
        <v>328560.45941418229</v>
      </c>
    </row>
    <row r="97" spans="1:9" x14ac:dyDescent="0.25">
      <c r="A97" s="38">
        <f>Données!A91</f>
        <v>5553</v>
      </c>
      <c r="B97" s="171" t="str">
        <f>Données!B91</f>
        <v>Champagne</v>
      </c>
      <c r="C97" s="31">
        <f>VPI!R91</f>
        <v>38621.939977657414</v>
      </c>
      <c r="D97" s="8">
        <f>Données!N91</f>
        <v>172905.8</v>
      </c>
      <c r="E97" s="239">
        <f>Données!O91+Données!P91+Données!R91</f>
        <v>210287.40000000002</v>
      </c>
      <c r="F97" s="512">
        <f t="shared" si="5"/>
        <v>157015.44</v>
      </c>
      <c r="G97" s="512">
        <f>Ecrêtage!M91</f>
        <v>0</v>
      </c>
      <c r="H97" s="513">
        <f t="shared" si="3"/>
        <v>563889.42265132081</v>
      </c>
      <c r="I97" s="325">
        <f t="shared" si="4"/>
        <v>720904.86265132087</v>
      </c>
    </row>
    <row r="98" spans="1:9" x14ac:dyDescent="0.25">
      <c r="A98" s="38">
        <f>Données!A92</f>
        <v>5554</v>
      </c>
      <c r="B98" s="171" t="str">
        <f>Données!B92</f>
        <v>Concise</v>
      </c>
      <c r="C98" s="31">
        <f>VPI!R92</f>
        <v>32321.208248272062</v>
      </c>
      <c r="D98" s="8">
        <f>Données!N92</f>
        <v>2598.0500000000002</v>
      </c>
      <c r="E98" s="239">
        <f>Données!O92+Données!P92+Données!R92</f>
        <v>247756.5</v>
      </c>
      <c r="F98" s="512">
        <f t="shared" si="5"/>
        <v>124657.66499999999</v>
      </c>
      <c r="G98" s="512">
        <f>Ecrêtage!M92</f>
        <v>0</v>
      </c>
      <c r="H98" s="513">
        <f t="shared" si="3"/>
        <v>471897.25500724837</v>
      </c>
      <c r="I98" s="325">
        <f t="shared" si="4"/>
        <v>596554.92000724841</v>
      </c>
    </row>
    <row r="99" spans="1:9" x14ac:dyDescent="0.25">
      <c r="A99" s="38">
        <f>Données!A93</f>
        <v>5555</v>
      </c>
      <c r="B99" s="171" t="str">
        <f>Données!B93</f>
        <v>Corcelles-près-Concise</v>
      </c>
      <c r="C99" s="31">
        <f>VPI!R93</f>
        <v>13590.982580275477</v>
      </c>
      <c r="D99" s="8">
        <f>Données!N93</f>
        <v>8366.85</v>
      </c>
      <c r="E99" s="239">
        <f>Données!O93+Données!P93+Données!R93</f>
        <v>177223.2</v>
      </c>
      <c r="F99" s="512">
        <f t="shared" si="5"/>
        <v>91121.654999999999</v>
      </c>
      <c r="G99" s="512">
        <f>Ecrêtage!M93</f>
        <v>0</v>
      </c>
      <c r="H99" s="513">
        <f t="shared" si="3"/>
        <v>198431.54758381302</v>
      </c>
      <c r="I99" s="325">
        <f t="shared" si="4"/>
        <v>289553.20258381299</v>
      </c>
    </row>
    <row r="100" spans="1:9" x14ac:dyDescent="0.25">
      <c r="A100" s="38">
        <f>Données!A94</f>
        <v>5556</v>
      </c>
      <c r="B100" s="171" t="str">
        <f>Données!B94</f>
        <v>Fiez</v>
      </c>
      <c r="C100" s="31">
        <f>VPI!R94</f>
        <v>13811.370927055856</v>
      </c>
      <c r="D100" s="8">
        <f>Données!N94</f>
        <v>0</v>
      </c>
      <c r="E100" s="239">
        <f>Données!O94+Données!P94+Données!R94</f>
        <v>90732.95</v>
      </c>
      <c r="F100" s="512">
        <f t="shared" si="5"/>
        <v>45366.474999999999</v>
      </c>
      <c r="G100" s="512">
        <f>Ecrêtage!M94</f>
        <v>0</v>
      </c>
      <c r="H100" s="513">
        <f t="shared" si="3"/>
        <v>201649.26936829509</v>
      </c>
      <c r="I100" s="325">
        <f t="shared" si="4"/>
        <v>247015.7443682951</v>
      </c>
    </row>
    <row r="101" spans="1:9" x14ac:dyDescent="0.25">
      <c r="A101" s="38">
        <f>Données!A95</f>
        <v>5557</v>
      </c>
      <c r="B101" s="171" t="str">
        <f>Données!B95</f>
        <v>Fontaines-sur-Grandson</v>
      </c>
      <c r="C101" s="31">
        <f>VPI!R95</f>
        <v>5898.4472463768097</v>
      </c>
      <c r="D101" s="8">
        <f>Données!N95</f>
        <v>0</v>
      </c>
      <c r="E101" s="239">
        <f>Données!O95+Données!P95+Données!R95</f>
        <v>64909.75</v>
      </c>
      <c r="F101" s="512">
        <f t="shared" si="5"/>
        <v>32454.875</v>
      </c>
      <c r="G101" s="512">
        <f>Ecrêtage!M95</f>
        <v>0</v>
      </c>
      <c r="H101" s="513">
        <f t="shared" si="3"/>
        <v>86118.719417585118</v>
      </c>
      <c r="I101" s="325">
        <f t="shared" si="4"/>
        <v>118573.59441758512</v>
      </c>
    </row>
    <row r="102" spans="1:9" x14ac:dyDescent="0.25">
      <c r="A102" s="38">
        <f>Données!A96</f>
        <v>5559</v>
      </c>
      <c r="B102" s="171" t="str">
        <f>Données!B96</f>
        <v>Giez</v>
      </c>
      <c r="C102" s="31">
        <f>VPI!R96</f>
        <v>17108.440303030304</v>
      </c>
      <c r="D102" s="8">
        <f>Données!N96</f>
        <v>15752.1</v>
      </c>
      <c r="E102" s="239">
        <f>Données!O96+Données!P96+Données!R96</f>
        <v>110584.15</v>
      </c>
      <c r="F102" s="512">
        <f t="shared" si="5"/>
        <v>60017.704999999994</v>
      </c>
      <c r="G102" s="512">
        <f>Ecrêtage!M96</f>
        <v>0</v>
      </c>
      <c r="H102" s="513">
        <f t="shared" si="3"/>
        <v>249787.25901705713</v>
      </c>
      <c r="I102" s="325">
        <f t="shared" si="4"/>
        <v>309804.96401705715</v>
      </c>
    </row>
    <row r="103" spans="1:9" x14ac:dyDescent="0.25">
      <c r="A103" s="38">
        <f>Données!A97</f>
        <v>5560</v>
      </c>
      <c r="B103" s="171" t="str">
        <f>Données!B97</f>
        <v>Grandevent</v>
      </c>
      <c r="C103" s="31">
        <f>VPI!R97</f>
        <v>6167.5355002978977</v>
      </c>
      <c r="D103" s="8">
        <f>Données!N97</f>
        <v>0</v>
      </c>
      <c r="E103" s="239">
        <f>Données!O97+Données!P97+Données!R97</f>
        <v>28125.5</v>
      </c>
      <c r="F103" s="512">
        <f t="shared" si="5"/>
        <v>14062.75</v>
      </c>
      <c r="G103" s="512">
        <f>Ecrêtage!M97</f>
        <v>0</v>
      </c>
      <c r="H103" s="513">
        <f t="shared" si="3"/>
        <v>90047.471319576391</v>
      </c>
      <c r="I103" s="325">
        <f t="shared" si="4"/>
        <v>104110.22131957639</v>
      </c>
    </row>
    <row r="104" spans="1:9" x14ac:dyDescent="0.25">
      <c r="A104" s="38">
        <f>Données!A98</f>
        <v>5561</v>
      </c>
      <c r="B104" s="171" t="str">
        <f>Données!B98</f>
        <v>Grandson</v>
      </c>
      <c r="C104" s="31">
        <f>VPI!R98</f>
        <v>114698.81047200582</v>
      </c>
      <c r="D104" s="8">
        <f>Données!N98</f>
        <v>401465.1</v>
      </c>
      <c r="E104" s="239">
        <f>Données!O98+Données!P98+Données!R98</f>
        <v>669236.80000000005</v>
      </c>
      <c r="F104" s="512">
        <f t="shared" si="5"/>
        <v>455057.93</v>
      </c>
      <c r="G104" s="512">
        <f>Ecrêtage!M98</f>
        <v>0</v>
      </c>
      <c r="H104" s="513">
        <f t="shared" si="3"/>
        <v>1674629.654887046</v>
      </c>
      <c r="I104" s="325">
        <f t="shared" si="4"/>
        <v>2129687.5848870459</v>
      </c>
    </row>
    <row r="105" spans="1:9" x14ac:dyDescent="0.25">
      <c r="A105" s="38">
        <f>Données!A99</f>
        <v>5562</v>
      </c>
      <c r="B105" s="171" t="str">
        <f>Données!B99</f>
        <v>Mauborget</v>
      </c>
      <c r="C105" s="31">
        <f>VPI!R99</f>
        <v>6036.4454253269014</v>
      </c>
      <c r="D105" s="8">
        <f>Données!N99</f>
        <v>0</v>
      </c>
      <c r="E105" s="239">
        <f>Données!O99+Données!P99+Données!R99</f>
        <v>25385.9</v>
      </c>
      <c r="F105" s="512">
        <f t="shared" si="5"/>
        <v>12692.95</v>
      </c>
      <c r="G105" s="512">
        <f>Ecrêtage!M99</f>
        <v>1770.6486308080421</v>
      </c>
      <c r="H105" s="513">
        <f t="shared" si="3"/>
        <v>88133.525341371365</v>
      </c>
      <c r="I105" s="325">
        <f t="shared" si="4"/>
        <v>102597.1239721794</v>
      </c>
    </row>
    <row r="106" spans="1:9" x14ac:dyDescent="0.25">
      <c r="A106" s="38">
        <f>Données!A100</f>
        <v>5563</v>
      </c>
      <c r="B106" s="171" t="str">
        <f>Données!B100</f>
        <v>Mutrux</v>
      </c>
      <c r="C106" s="31">
        <f>VPI!R100</f>
        <v>4073.4583735660226</v>
      </c>
      <c r="D106" s="8">
        <f>Données!N100</f>
        <v>0</v>
      </c>
      <c r="E106" s="239">
        <f>Données!O100+Données!P100+Données!R100</f>
        <v>23627.95</v>
      </c>
      <c r="F106" s="512">
        <f t="shared" si="5"/>
        <v>11813.975</v>
      </c>
      <c r="G106" s="512">
        <f>Ecrêtage!M100</f>
        <v>0</v>
      </c>
      <c r="H106" s="513">
        <f t="shared" si="3"/>
        <v>59473.451923780209</v>
      </c>
      <c r="I106" s="325">
        <f t="shared" si="4"/>
        <v>71287.426923780207</v>
      </c>
    </row>
    <row r="107" spans="1:9" x14ac:dyDescent="0.25">
      <c r="A107" s="38">
        <f>Données!A101</f>
        <v>5564</v>
      </c>
      <c r="B107" s="171" t="str">
        <f>Données!B101</f>
        <v>Novalles</v>
      </c>
      <c r="C107" s="31">
        <f>VPI!R101</f>
        <v>2091.5278618421053</v>
      </c>
      <c r="D107" s="8">
        <f>Données!N101</f>
        <v>0</v>
      </c>
      <c r="E107" s="239">
        <f>Données!O101+Données!P101+Données!R101</f>
        <v>26843.3</v>
      </c>
      <c r="F107" s="512">
        <f t="shared" si="5"/>
        <v>13421.65</v>
      </c>
      <c r="G107" s="512">
        <f>Ecrêtage!M101</f>
        <v>0</v>
      </c>
      <c r="H107" s="513">
        <f t="shared" si="3"/>
        <v>30536.799527821942</v>
      </c>
      <c r="I107" s="325">
        <f t="shared" si="4"/>
        <v>43958.44952782194</v>
      </c>
    </row>
    <row r="108" spans="1:9" x14ac:dyDescent="0.25">
      <c r="A108" s="38">
        <f>Données!A102</f>
        <v>5565</v>
      </c>
      <c r="B108" s="171" t="str">
        <f>Données!B102</f>
        <v>Onnens</v>
      </c>
      <c r="C108" s="31">
        <f>VPI!R102</f>
        <v>19614.777543776931</v>
      </c>
      <c r="D108" s="8">
        <f>Données!N102</f>
        <v>40728.550000000003</v>
      </c>
      <c r="E108" s="239">
        <f>Données!O102+Données!P102+Données!R102</f>
        <v>41123.800000000003</v>
      </c>
      <c r="F108" s="512">
        <f t="shared" si="5"/>
        <v>32780.465000000004</v>
      </c>
      <c r="G108" s="512">
        <f>Ecrêtage!M102</f>
        <v>0</v>
      </c>
      <c r="H108" s="513">
        <f t="shared" si="3"/>
        <v>286380.37320219917</v>
      </c>
      <c r="I108" s="325">
        <f t="shared" si="4"/>
        <v>319160.8382021992</v>
      </c>
    </row>
    <row r="109" spans="1:9" x14ac:dyDescent="0.25">
      <c r="A109" s="38">
        <f>Données!A103</f>
        <v>5566</v>
      </c>
      <c r="B109" s="171" t="str">
        <f>Données!B103</f>
        <v>Provence</v>
      </c>
      <c r="C109" s="31">
        <f>VPI!R103</f>
        <v>7592.3490248426833</v>
      </c>
      <c r="D109" s="8">
        <f>Données!N103</f>
        <v>28034.799999999999</v>
      </c>
      <c r="E109" s="239">
        <f>Données!O103+Données!P103+Données!R103</f>
        <v>138258.65</v>
      </c>
      <c r="F109" s="512">
        <f t="shared" si="5"/>
        <v>77539.764999999999</v>
      </c>
      <c r="G109" s="512">
        <f>Ecrêtage!M103</f>
        <v>0</v>
      </c>
      <c r="H109" s="513">
        <f t="shared" si="3"/>
        <v>110850.08445102801</v>
      </c>
      <c r="I109" s="325">
        <f t="shared" si="4"/>
        <v>188389.84945102801</v>
      </c>
    </row>
    <row r="110" spans="1:9" x14ac:dyDescent="0.25">
      <c r="A110" s="38">
        <f>Données!A104</f>
        <v>5568</v>
      </c>
      <c r="B110" s="171" t="str">
        <f>Données!B104</f>
        <v>Sainte-Croix</v>
      </c>
      <c r="C110" s="31">
        <f>VPI!R104</f>
        <v>106408.06903013417</v>
      </c>
      <c r="D110" s="8">
        <f>Données!N104</f>
        <v>1941083.25</v>
      </c>
      <c r="E110" s="239">
        <f>Données!O104+Données!P104+Données!R104</f>
        <v>946266.35</v>
      </c>
      <c r="F110" s="512">
        <f t="shared" si="5"/>
        <v>1055458.1499999999</v>
      </c>
      <c r="G110" s="512">
        <f>Ecrêtage!M104</f>
        <v>0</v>
      </c>
      <c r="H110" s="513">
        <f t="shared" si="3"/>
        <v>1553582.8766124982</v>
      </c>
      <c r="I110" s="325">
        <f t="shared" si="4"/>
        <v>2609041.0266124979</v>
      </c>
    </row>
    <row r="111" spans="1:9" x14ac:dyDescent="0.25">
      <c r="A111" s="38">
        <f>Données!A105</f>
        <v>5571</v>
      </c>
      <c r="B111" s="171" t="str">
        <f>Données!B105</f>
        <v>Tévenon</v>
      </c>
      <c r="C111" s="31">
        <f>VPI!R105</f>
        <v>21375.598965432913</v>
      </c>
      <c r="D111" s="8">
        <f>Données!N105</f>
        <v>43934.400000000001</v>
      </c>
      <c r="E111" s="239">
        <f>Données!O105+Données!P105+Données!R105</f>
        <v>124212.45000000001</v>
      </c>
      <c r="F111" s="512">
        <f t="shared" si="5"/>
        <v>75286.545000000013</v>
      </c>
      <c r="G111" s="512">
        <f>Ecrêtage!M105</f>
        <v>0</v>
      </c>
      <c r="H111" s="513">
        <f t="shared" si="3"/>
        <v>312088.78079187649</v>
      </c>
      <c r="I111" s="325">
        <f t="shared" si="4"/>
        <v>387375.32579187653</v>
      </c>
    </row>
    <row r="112" spans="1:9" x14ac:dyDescent="0.25">
      <c r="A112" s="38">
        <f>Données!A106</f>
        <v>5581</v>
      </c>
      <c r="B112" s="171" t="str">
        <f>Données!B106</f>
        <v>Belmont-sur-Lausanne</v>
      </c>
      <c r="C112" s="31">
        <f>VPI!R106</f>
        <v>212399.01953543225</v>
      </c>
      <c r="D112" s="8">
        <f>Données!N106</f>
        <v>6504.65</v>
      </c>
      <c r="E112" s="239">
        <f>Données!O106+Données!P106+Données!R106</f>
        <v>1626396</v>
      </c>
      <c r="F112" s="512">
        <f t="shared" si="5"/>
        <v>815149.39500000002</v>
      </c>
      <c r="G112" s="512">
        <f>Ecrêtage!M106</f>
        <v>592205.95069008961</v>
      </c>
      <c r="H112" s="513">
        <f t="shared" si="3"/>
        <v>3101075.7244930617</v>
      </c>
      <c r="I112" s="325">
        <f t="shared" si="4"/>
        <v>4508431.0701831514</v>
      </c>
    </row>
    <row r="113" spans="1:9" x14ac:dyDescent="0.25">
      <c r="A113" s="38">
        <f>Données!A107</f>
        <v>5582</v>
      </c>
      <c r="B113" s="171" t="str">
        <f>Données!B107</f>
        <v>Cheseaux-sur-Lausanne</v>
      </c>
      <c r="C113" s="31">
        <f>VPI!R107</f>
        <v>163661.81439852438</v>
      </c>
      <c r="D113" s="8">
        <f>Données!N107</f>
        <v>472098.15</v>
      </c>
      <c r="E113" s="239">
        <f>Données!O107+Données!P107+Données!R107</f>
        <v>598060.64999999991</v>
      </c>
      <c r="F113" s="512">
        <f t="shared" si="5"/>
        <v>440659.76999999996</v>
      </c>
      <c r="G113" s="512">
        <f>Ecrêtage!M107</f>
        <v>0</v>
      </c>
      <c r="H113" s="513">
        <f t="shared" si="3"/>
        <v>2389501.0474522817</v>
      </c>
      <c r="I113" s="325">
        <f t="shared" si="4"/>
        <v>2830160.8174522817</v>
      </c>
    </row>
    <row r="114" spans="1:9" x14ac:dyDescent="0.25">
      <c r="A114" s="38">
        <f>Données!A108</f>
        <v>5583</v>
      </c>
      <c r="B114" s="171" t="str">
        <f>Données!B108</f>
        <v>Crissier</v>
      </c>
      <c r="C114" s="31">
        <f>VPI!R108</f>
        <v>366439.37058398779</v>
      </c>
      <c r="D114" s="8">
        <f>Données!N108</f>
        <v>2295455.25</v>
      </c>
      <c r="E114" s="239">
        <f>Données!O108+Données!P108+Données!R108</f>
        <v>1510709.15</v>
      </c>
      <c r="F114" s="512">
        <f t="shared" si="5"/>
        <v>1443991.15</v>
      </c>
      <c r="G114" s="512">
        <f>Ecrêtage!M108</f>
        <v>0</v>
      </c>
      <c r="H114" s="513">
        <f t="shared" si="3"/>
        <v>5350101.1403066078</v>
      </c>
      <c r="I114" s="325">
        <f t="shared" si="4"/>
        <v>6794092.2903066073</v>
      </c>
    </row>
    <row r="115" spans="1:9" x14ac:dyDescent="0.25">
      <c r="A115" s="38">
        <f>Données!A109</f>
        <v>5584</v>
      </c>
      <c r="B115" s="171" t="str">
        <f>Données!B109</f>
        <v>Epalinges</v>
      </c>
      <c r="C115" s="31">
        <f>VPI!R109</f>
        <v>481828.05446555291</v>
      </c>
      <c r="D115" s="8">
        <f>Données!N109</f>
        <v>308569.90000000002</v>
      </c>
      <c r="E115" s="239">
        <f>Données!O109+Données!P109+Données!R109</f>
        <v>3540319.8</v>
      </c>
      <c r="F115" s="512">
        <f t="shared" si="5"/>
        <v>1862730.8699999999</v>
      </c>
      <c r="G115" s="512">
        <f>Ecrêtage!M109</f>
        <v>405365.21787941793</v>
      </c>
      <c r="H115" s="513">
        <f t="shared" si="3"/>
        <v>7034803.109501115</v>
      </c>
      <c r="I115" s="325">
        <f t="shared" si="4"/>
        <v>9302899.1973805334</v>
      </c>
    </row>
    <row r="116" spans="1:9" x14ac:dyDescent="0.25">
      <c r="A116" s="38">
        <f>Données!A110</f>
        <v>5585</v>
      </c>
      <c r="B116" s="171" t="str">
        <f>Données!B110</f>
        <v>Jouxtens-Mézery</v>
      </c>
      <c r="C116" s="31">
        <f>VPI!R110</f>
        <v>202456.81185453033</v>
      </c>
      <c r="D116" s="8">
        <f>Données!N110</f>
        <v>1302.3</v>
      </c>
      <c r="E116" s="239">
        <f>Données!O110+Données!P110+Données!R110</f>
        <v>1096542.5</v>
      </c>
      <c r="F116" s="512">
        <f t="shared" si="5"/>
        <v>548661.93999999994</v>
      </c>
      <c r="G116" s="512">
        <f>Ecrêtage!M110</f>
        <v>3438540.1865460668</v>
      </c>
      <c r="H116" s="513">
        <f t="shared" si="3"/>
        <v>2955917.1500582579</v>
      </c>
      <c r="I116" s="325">
        <f t="shared" si="4"/>
        <v>6943119.2766043246</v>
      </c>
    </row>
    <row r="117" spans="1:9" x14ac:dyDescent="0.25">
      <c r="A117" s="38">
        <f>Données!A111</f>
        <v>5586</v>
      </c>
      <c r="B117" s="171" t="str">
        <f>Données!B111</f>
        <v>Lausanne</v>
      </c>
      <c r="C117" s="31">
        <f>VPI!R111</f>
        <v>6147866.1896833694</v>
      </c>
      <c r="D117" s="8">
        <f>Données!N111</f>
        <v>13812872.5</v>
      </c>
      <c r="E117" s="239">
        <f>Données!O111+Données!P111+Données!R111</f>
        <v>36956896.050000004</v>
      </c>
      <c r="F117" s="512">
        <f t="shared" si="5"/>
        <v>22622309.775000002</v>
      </c>
      <c r="G117" s="512">
        <f>Ecrêtage!M111</f>
        <v>0</v>
      </c>
      <c r="H117" s="513">
        <f t="shared" si="3"/>
        <v>89760294.750693724</v>
      </c>
      <c r="I117" s="325">
        <f t="shared" si="4"/>
        <v>112382604.52569373</v>
      </c>
    </row>
    <row r="118" spans="1:9" x14ac:dyDescent="0.25">
      <c r="A118" s="38">
        <f>Données!A112</f>
        <v>5587</v>
      </c>
      <c r="B118" s="171" t="str">
        <f>Données!B112</f>
        <v>Le Mont-sur-Lausanne</v>
      </c>
      <c r="C118" s="31">
        <f>VPI!R112</f>
        <v>442283.52488437272</v>
      </c>
      <c r="D118" s="8">
        <f>Données!N112</f>
        <v>522589.6</v>
      </c>
      <c r="E118" s="239">
        <f>Données!O112+Données!P112+Données!R112</f>
        <v>3171298.4000000004</v>
      </c>
      <c r="F118" s="512">
        <f t="shared" si="5"/>
        <v>1742426.08</v>
      </c>
      <c r="G118" s="512">
        <f>Ecrêtage!M112</f>
        <v>300752.86830459721</v>
      </c>
      <c r="H118" s="513">
        <f t="shared" si="3"/>
        <v>6457443.6612846488</v>
      </c>
      <c r="I118" s="325">
        <f t="shared" si="4"/>
        <v>8500622.6095892452</v>
      </c>
    </row>
    <row r="119" spans="1:9" x14ac:dyDescent="0.25">
      <c r="A119" s="38">
        <f>Données!A113</f>
        <v>5588</v>
      </c>
      <c r="B119" s="171" t="str">
        <f>Données!B113</f>
        <v>Paudex</v>
      </c>
      <c r="C119" s="31">
        <f>VPI!R113</f>
        <v>135325.41739882343</v>
      </c>
      <c r="D119" s="8">
        <f>Données!N113</f>
        <v>18272.150000000001</v>
      </c>
      <c r="E119" s="239">
        <f>Données!O113+Données!P113+Données!R113</f>
        <v>534955.15</v>
      </c>
      <c r="F119" s="512">
        <f t="shared" si="5"/>
        <v>272959.22000000003</v>
      </c>
      <c r="G119" s="512">
        <f>Ecrêtage!M113</f>
        <v>1380176.3688940008</v>
      </c>
      <c r="H119" s="513">
        <f t="shared" si="3"/>
        <v>1975782.975459432</v>
      </c>
      <c r="I119" s="325">
        <f t="shared" si="4"/>
        <v>3628918.5643534325</v>
      </c>
    </row>
    <row r="120" spans="1:9" x14ac:dyDescent="0.25">
      <c r="A120" s="38">
        <f>Données!A114</f>
        <v>5589</v>
      </c>
      <c r="B120" s="171" t="str">
        <f>Données!B114</f>
        <v>Prilly</v>
      </c>
      <c r="C120" s="31">
        <f>VPI!R114</f>
        <v>453159.46835878264</v>
      </c>
      <c r="D120" s="8">
        <f>Données!N114</f>
        <v>1167452.6499999999</v>
      </c>
      <c r="E120" s="239">
        <f>Données!O114+Données!P114+Données!R114</f>
        <v>1942903.1</v>
      </c>
      <c r="F120" s="512">
        <f t="shared" si="5"/>
        <v>1321687.345</v>
      </c>
      <c r="G120" s="512">
        <f>Ecrêtage!M114</f>
        <v>0</v>
      </c>
      <c r="H120" s="513">
        <f t="shared" si="3"/>
        <v>6616234.9982843231</v>
      </c>
      <c r="I120" s="325">
        <f t="shared" si="4"/>
        <v>7937922.3432843229</v>
      </c>
    </row>
    <row r="121" spans="1:9" x14ac:dyDescent="0.25">
      <c r="A121" s="38">
        <f>Données!A115</f>
        <v>5590</v>
      </c>
      <c r="B121" s="171" t="str">
        <f>Données!B115</f>
        <v>Pully</v>
      </c>
      <c r="C121" s="31">
        <f>VPI!R115</f>
        <v>1476232.2063472071</v>
      </c>
      <c r="D121" s="8">
        <f>Données!N115</f>
        <v>153086.15</v>
      </c>
      <c r="E121" s="239">
        <f>Données!O115+Données!P115+Données!R115</f>
        <v>8959892.6999999993</v>
      </c>
      <c r="F121" s="512">
        <f t="shared" si="5"/>
        <v>4525872.1949999994</v>
      </c>
      <c r="G121" s="512">
        <f>Ecrêtage!M115</f>
        <v>11281993.01975921</v>
      </c>
      <c r="H121" s="513">
        <f t="shared" si="3"/>
        <v>21553337.999540403</v>
      </c>
      <c r="I121" s="325">
        <f t="shared" si="4"/>
        <v>37361203.214299612</v>
      </c>
    </row>
    <row r="122" spans="1:9" x14ac:dyDescent="0.25">
      <c r="A122" s="38">
        <f>Données!A116</f>
        <v>5591</v>
      </c>
      <c r="B122" s="171" t="str">
        <f>Données!B116</f>
        <v>Renens</v>
      </c>
      <c r="C122" s="31">
        <f>VPI!R116</f>
        <v>594878.13045762118</v>
      </c>
      <c r="D122" s="8">
        <f>Données!N116</f>
        <v>2364789</v>
      </c>
      <c r="E122" s="239">
        <f>Données!O116+Données!P116+Données!R116</f>
        <v>4388619.6500000004</v>
      </c>
      <c r="F122" s="512">
        <f t="shared" si="5"/>
        <v>2903746.5250000004</v>
      </c>
      <c r="G122" s="512">
        <f>Ecrêtage!M116</f>
        <v>0</v>
      </c>
      <c r="H122" s="513">
        <f t="shared" si="3"/>
        <v>8685360.8525542356</v>
      </c>
      <c r="I122" s="325">
        <f t="shared" si="4"/>
        <v>11589107.377554236</v>
      </c>
    </row>
    <row r="123" spans="1:9" x14ac:dyDescent="0.25">
      <c r="A123" s="38">
        <f>Données!A117</f>
        <v>5592</v>
      </c>
      <c r="B123" s="171" t="str">
        <f>Données!B117</f>
        <v>Romanel-sur-Lausanne</v>
      </c>
      <c r="C123" s="31">
        <f>VPI!R117</f>
        <v>121107.61842839372</v>
      </c>
      <c r="D123" s="8">
        <f>Données!N117</f>
        <v>220475.4</v>
      </c>
      <c r="E123" s="239">
        <f>Données!O117+Données!P117+Données!R117</f>
        <v>413798.40000000002</v>
      </c>
      <c r="F123" s="512">
        <f t="shared" si="5"/>
        <v>273041.82</v>
      </c>
      <c r="G123" s="512">
        <f>Ecrêtage!M117</f>
        <v>0</v>
      </c>
      <c r="H123" s="513">
        <f t="shared" si="3"/>
        <v>1768199.7609071308</v>
      </c>
      <c r="I123" s="325">
        <f t="shared" si="4"/>
        <v>2041241.5809071308</v>
      </c>
    </row>
    <row r="124" spans="1:9" x14ac:dyDescent="0.25">
      <c r="A124" s="38">
        <f>Données!A118</f>
        <v>5601</v>
      </c>
      <c r="B124" s="171" t="str">
        <f>Données!B118</f>
        <v>Chexbres</v>
      </c>
      <c r="C124" s="31">
        <f>VPI!R118</f>
        <v>98052.639768384004</v>
      </c>
      <c r="D124" s="8">
        <f>Données!N118</f>
        <v>47732.35</v>
      </c>
      <c r="E124" s="239">
        <f>Données!O118+Données!P118+Données!R118</f>
        <v>1664855.35</v>
      </c>
      <c r="F124" s="512">
        <f t="shared" si="5"/>
        <v>846747.38</v>
      </c>
      <c r="G124" s="512">
        <f>Ecrêtage!M118</f>
        <v>0</v>
      </c>
      <c r="H124" s="513">
        <f t="shared" si="3"/>
        <v>1431591.6409278626</v>
      </c>
      <c r="I124" s="325">
        <f t="shared" si="4"/>
        <v>2278339.0209278627</v>
      </c>
    </row>
    <row r="125" spans="1:9" x14ac:dyDescent="0.25">
      <c r="A125" s="38">
        <f>Données!A119</f>
        <v>5604</v>
      </c>
      <c r="B125" s="171" t="str">
        <f>Données!B119</f>
        <v>Forel (Lavaux)</v>
      </c>
      <c r="C125" s="31">
        <f>VPI!R119</f>
        <v>71266.170275257027</v>
      </c>
      <c r="D125" s="8">
        <f>Données!N119</f>
        <v>105948.3</v>
      </c>
      <c r="E125" s="239">
        <f>Données!O119+Données!P119+Données!R119</f>
        <v>314505.45</v>
      </c>
      <c r="F125" s="512">
        <f t="shared" si="5"/>
        <v>189037.215</v>
      </c>
      <c r="G125" s="512">
        <f>Ecrêtage!M119</f>
        <v>0</v>
      </c>
      <c r="H125" s="513">
        <f t="shared" si="3"/>
        <v>1040502.8756798062</v>
      </c>
      <c r="I125" s="325">
        <f t="shared" si="4"/>
        <v>1229540.0906798062</v>
      </c>
    </row>
    <row r="126" spans="1:9" x14ac:dyDescent="0.25">
      <c r="A126" s="38">
        <f>Données!A120</f>
        <v>5606</v>
      </c>
      <c r="B126" s="171" t="str">
        <f>Données!B120</f>
        <v>Lutry</v>
      </c>
      <c r="C126" s="31">
        <f>VPI!R120</f>
        <v>874192.86279135477</v>
      </c>
      <c r="D126" s="8">
        <f>Données!N120</f>
        <v>149368.25</v>
      </c>
      <c r="E126" s="239">
        <f>Données!O120+Données!P120+Données!R120</f>
        <v>5531489.3499999996</v>
      </c>
      <c r="F126" s="512">
        <f t="shared" si="5"/>
        <v>2810555.15</v>
      </c>
      <c r="G126" s="512">
        <f>Ecrêtage!M120</f>
        <v>6631016.8724380117</v>
      </c>
      <c r="H126" s="513">
        <f t="shared" si="3"/>
        <v>12763421.748635367</v>
      </c>
      <c r="I126" s="325">
        <f t="shared" si="4"/>
        <v>22204993.771073379</v>
      </c>
    </row>
    <row r="127" spans="1:9" x14ac:dyDescent="0.25">
      <c r="A127" s="38">
        <f>Données!A121</f>
        <v>5607</v>
      </c>
      <c r="B127" s="171" t="str">
        <f>Données!B121</f>
        <v>Puidoux</v>
      </c>
      <c r="C127" s="31">
        <f>VPI!R121</f>
        <v>102748.27893179639</v>
      </c>
      <c r="D127" s="8">
        <f>Données!N121</f>
        <v>241469.15</v>
      </c>
      <c r="E127" s="239">
        <f>Données!O121+Données!P121+Données!R121</f>
        <v>1146275</v>
      </c>
      <c r="F127" s="512">
        <f t="shared" si="5"/>
        <v>645578.245</v>
      </c>
      <c r="G127" s="512">
        <f>Ecrêtage!M121</f>
        <v>0</v>
      </c>
      <c r="H127" s="513">
        <f t="shared" si="3"/>
        <v>1500149.0789635309</v>
      </c>
      <c r="I127" s="325">
        <f t="shared" si="4"/>
        <v>2145727.3239635308</v>
      </c>
    </row>
    <row r="128" spans="1:9" x14ac:dyDescent="0.25">
      <c r="A128" s="38">
        <f>Données!A122</f>
        <v>5609</v>
      </c>
      <c r="B128" s="171" t="str">
        <f>Données!B122</f>
        <v>Rivaz</v>
      </c>
      <c r="C128" s="31">
        <f>VPI!R122</f>
        <v>16045.690421494986</v>
      </c>
      <c r="D128" s="8">
        <f>Données!N122</f>
        <v>0</v>
      </c>
      <c r="E128" s="239">
        <f>Données!O122+Données!P122+Données!R122</f>
        <v>65444.15</v>
      </c>
      <c r="F128" s="512">
        <f t="shared" si="5"/>
        <v>32722.075000000001</v>
      </c>
      <c r="G128" s="512">
        <f>Ecrêtage!M122</f>
        <v>6024.4923043480121</v>
      </c>
      <c r="H128" s="513">
        <f t="shared" si="3"/>
        <v>234270.86037244255</v>
      </c>
      <c r="I128" s="325">
        <f t="shared" si="4"/>
        <v>273017.42767679057</v>
      </c>
    </row>
    <row r="129" spans="1:9" x14ac:dyDescent="0.25">
      <c r="A129" s="38">
        <f>Données!A123</f>
        <v>5610</v>
      </c>
      <c r="B129" s="171" t="str">
        <f>Données!B123</f>
        <v>St-Saphorin (Lavaux)</v>
      </c>
      <c r="C129" s="31">
        <f>VPI!R123</f>
        <v>19212.066388684874</v>
      </c>
      <c r="D129" s="8">
        <f>Données!N123</f>
        <v>1817.85</v>
      </c>
      <c r="E129" s="239">
        <f>Données!O123+Données!P123+Données!R123</f>
        <v>126757.29999999999</v>
      </c>
      <c r="F129" s="512">
        <f t="shared" si="5"/>
        <v>63924.004999999997</v>
      </c>
      <c r="G129" s="512">
        <f>Ecrêtage!M123</f>
        <v>18683.542662598029</v>
      </c>
      <c r="H129" s="513">
        <f t="shared" si="3"/>
        <v>280500.69546277251</v>
      </c>
      <c r="I129" s="325">
        <f t="shared" si="4"/>
        <v>363108.24312537053</v>
      </c>
    </row>
    <row r="130" spans="1:9" x14ac:dyDescent="0.25">
      <c r="A130" s="38">
        <f>Données!A124</f>
        <v>5611</v>
      </c>
      <c r="B130" s="171" t="str">
        <f>Données!B124</f>
        <v>Savigny</v>
      </c>
      <c r="C130" s="31">
        <f>VPI!R124</f>
        <v>136601.19868900886</v>
      </c>
      <c r="D130" s="8">
        <f>Données!N124</f>
        <v>108590.3</v>
      </c>
      <c r="E130" s="239">
        <f>Données!O124+Données!P124+Données!R124</f>
        <v>988792.60000000009</v>
      </c>
      <c r="F130" s="512">
        <f t="shared" si="5"/>
        <v>526973.39</v>
      </c>
      <c r="G130" s="512">
        <f>Ecrêtage!M124</f>
        <v>0</v>
      </c>
      <c r="H130" s="513">
        <f t="shared" si="3"/>
        <v>1994409.6828585991</v>
      </c>
      <c r="I130" s="325">
        <f t="shared" si="4"/>
        <v>2521383.072858599</v>
      </c>
    </row>
    <row r="131" spans="1:9" x14ac:dyDescent="0.25">
      <c r="A131" s="38">
        <f>Données!A125</f>
        <v>5613</v>
      </c>
      <c r="B131" s="171" t="str">
        <f>Données!B125</f>
        <v>Bourg-en-Lavaux</v>
      </c>
      <c r="C131" s="31">
        <f>VPI!R125</f>
        <v>343743.87305637199</v>
      </c>
      <c r="D131" s="8">
        <f>Données!N125</f>
        <v>31370.7</v>
      </c>
      <c r="E131" s="239">
        <f>Données!O125+Données!P125+Données!R125</f>
        <v>1691717.6</v>
      </c>
      <c r="F131" s="512">
        <f t="shared" si="5"/>
        <v>855270.01</v>
      </c>
      <c r="G131" s="512">
        <f>Ecrêtage!M125</f>
        <v>1468817.75275576</v>
      </c>
      <c r="H131" s="513">
        <f t="shared" si="3"/>
        <v>5018741.5295507731</v>
      </c>
      <c r="I131" s="325">
        <f t="shared" si="4"/>
        <v>7342829.2923065331</v>
      </c>
    </row>
    <row r="132" spans="1:9" x14ac:dyDescent="0.25">
      <c r="A132" s="38">
        <f>Données!A126</f>
        <v>5621</v>
      </c>
      <c r="B132" s="171" t="str">
        <f>Données!B126</f>
        <v>Aclens</v>
      </c>
      <c r="C132" s="31">
        <f>VPI!R126</f>
        <v>32263.209585065993</v>
      </c>
      <c r="D132" s="8">
        <f>Données!N126</f>
        <v>292461.5</v>
      </c>
      <c r="E132" s="239">
        <f>Données!O126+Données!P126+Données!R126</f>
        <v>116705.60000000001</v>
      </c>
      <c r="F132" s="512">
        <f t="shared" si="5"/>
        <v>146091.25</v>
      </c>
      <c r="G132" s="512">
        <f>Ecrêtage!M126</f>
        <v>116423.71066956887</v>
      </c>
      <c r="H132" s="513">
        <f t="shared" si="3"/>
        <v>471050.46086048265</v>
      </c>
      <c r="I132" s="325">
        <f t="shared" si="4"/>
        <v>733565.42153005151</v>
      </c>
    </row>
    <row r="133" spans="1:9" x14ac:dyDescent="0.25">
      <c r="A133" s="38">
        <f>Données!A127</f>
        <v>5622</v>
      </c>
      <c r="B133" s="171" t="str">
        <f>Données!B127</f>
        <v>Bremblens</v>
      </c>
      <c r="C133" s="31">
        <f>VPI!R127</f>
        <v>27798.843685819211</v>
      </c>
      <c r="D133" s="8">
        <f>Données!N127</f>
        <v>26810.25</v>
      </c>
      <c r="E133" s="239">
        <f>Données!O127+Données!P127+Données!R127</f>
        <v>94102.15</v>
      </c>
      <c r="F133" s="512">
        <f t="shared" si="5"/>
        <v>55094.149999999994</v>
      </c>
      <c r="G133" s="512">
        <f>Ecrêtage!M127</f>
        <v>11978.537535234831</v>
      </c>
      <c r="H133" s="513">
        <f t="shared" si="3"/>
        <v>405869.66696750832</v>
      </c>
      <c r="I133" s="325">
        <f t="shared" si="4"/>
        <v>472942.35450274311</v>
      </c>
    </row>
    <row r="134" spans="1:9" x14ac:dyDescent="0.25">
      <c r="A134" s="38">
        <f>Données!A128</f>
        <v>5623</v>
      </c>
      <c r="B134" s="171" t="str">
        <f>Données!B128</f>
        <v>Buchillon</v>
      </c>
      <c r="C134" s="31">
        <f>VPI!R128</f>
        <v>94505.231730769228</v>
      </c>
      <c r="D134" s="8">
        <f>Données!N128</f>
        <v>2588.25</v>
      </c>
      <c r="E134" s="239">
        <f>Données!O128+Données!P128+Données!R128</f>
        <v>248933.8</v>
      </c>
      <c r="F134" s="512">
        <f t="shared" si="5"/>
        <v>125243.375</v>
      </c>
      <c r="G134" s="512">
        <f>Ecrêtage!M128</f>
        <v>1353622.6351902753</v>
      </c>
      <c r="H134" s="513">
        <f t="shared" si="3"/>
        <v>1379798.6478416417</v>
      </c>
      <c r="I134" s="325">
        <f t="shared" si="4"/>
        <v>2858664.6580319172</v>
      </c>
    </row>
    <row r="135" spans="1:9" x14ac:dyDescent="0.25">
      <c r="A135" s="38">
        <f>Données!A129</f>
        <v>5624</v>
      </c>
      <c r="B135" s="171" t="str">
        <f>Données!B129</f>
        <v>Bussigny</v>
      </c>
      <c r="C135" s="31">
        <f>VPI!R129</f>
        <v>350915.44619957998</v>
      </c>
      <c r="D135" s="8">
        <f>Données!N129</f>
        <v>1067420.95</v>
      </c>
      <c r="E135" s="239">
        <f>Données!O129+Données!P129+Données!R129</f>
        <v>2760064.8499999996</v>
      </c>
      <c r="F135" s="512">
        <f t="shared" si="5"/>
        <v>1700258.7099999997</v>
      </c>
      <c r="G135" s="512">
        <f>Ecrêtage!M129</f>
        <v>0</v>
      </c>
      <c r="H135" s="513">
        <f t="shared" si="3"/>
        <v>5123448.1869989671</v>
      </c>
      <c r="I135" s="325">
        <f t="shared" si="4"/>
        <v>6823706.896998967</v>
      </c>
    </row>
    <row r="136" spans="1:9" x14ac:dyDescent="0.25">
      <c r="A136" s="38">
        <f>Données!A130</f>
        <v>5627</v>
      </c>
      <c r="B136" s="171" t="str">
        <f>Données!B130</f>
        <v>Chavannes-près-Renens</v>
      </c>
      <c r="C136" s="31">
        <f>VPI!R130</f>
        <v>162426.10008602153</v>
      </c>
      <c r="D136" s="8">
        <f>Données!N130</f>
        <v>351553.85</v>
      </c>
      <c r="E136" s="239">
        <f>Données!O130+Données!P130+Données!R130</f>
        <v>818714.29999999993</v>
      </c>
      <c r="F136" s="512">
        <f t="shared" si="5"/>
        <v>514823.30499999993</v>
      </c>
      <c r="G136" s="512">
        <f>Ecrêtage!M130</f>
        <v>0</v>
      </c>
      <c r="H136" s="513">
        <f t="shared" si="3"/>
        <v>2371459.3273666953</v>
      </c>
      <c r="I136" s="325">
        <f t="shared" si="4"/>
        <v>2886282.6323666954</v>
      </c>
    </row>
    <row r="137" spans="1:9" x14ac:dyDescent="0.25">
      <c r="A137" s="38">
        <f>Données!A131</f>
        <v>5628</v>
      </c>
      <c r="B137" s="171" t="str">
        <f>Données!B131</f>
        <v>Chigny</v>
      </c>
      <c r="C137" s="31">
        <f>VPI!R131</f>
        <v>24622.507795875023</v>
      </c>
      <c r="D137" s="8">
        <f>Données!N131</f>
        <v>9088.4500000000007</v>
      </c>
      <c r="E137" s="239">
        <f>Données!O131+Données!P131+Données!R131</f>
        <v>124073.8</v>
      </c>
      <c r="F137" s="512">
        <f t="shared" si="5"/>
        <v>64763.435000000005</v>
      </c>
      <c r="G137" s="512">
        <f>Ecrêtage!M131</f>
        <v>95224.654293781496</v>
      </c>
      <c r="H137" s="513">
        <f t="shared" si="3"/>
        <v>359494.41465849848</v>
      </c>
      <c r="I137" s="325">
        <f t="shared" si="4"/>
        <v>519482.50395227998</v>
      </c>
    </row>
    <row r="138" spans="1:9" x14ac:dyDescent="0.25">
      <c r="A138" s="38">
        <f>Données!A132</f>
        <v>5629</v>
      </c>
      <c r="B138" s="171" t="str">
        <f>Données!B132</f>
        <v>Clarmont</v>
      </c>
      <c r="C138" s="31">
        <f>VPI!R132</f>
        <v>8520.6241427524346</v>
      </c>
      <c r="D138" s="8">
        <f>Données!N132</f>
        <v>0</v>
      </c>
      <c r="E138" s="239">
        <f>Données!O132+Données!P132+Données!R132</f>
        <v>4065.85</v>
      </c>
      <c r="F138" s="512">
        <f t="shared" si="5"/>
        <v>2032.925</v>
      </c>
      <c r="G138" s="512">
        <f>Ecrêtage!M132</f>
        <v>0</v>
      </c>
      <c r="H138" s="513">
        <f t="shared" si="3"/>
        <v>124403.11986567902</v>
      </c>
      <c r="I138" s="325">
        <f t="shared" si="4"/>
        <v>126436.04486567902</v>
      </c>
    </row>
    <row r="139" spans="1:9" x14ac:dyDescent="0.25">
      <c r="A139" s="38">
        <f>Données!A133</f>
        <v>5631</v>
      </c>
      <c r="B139" s="171" t="str">
        <f>Données!B133</f>
        <v>Denens</v>
      </c>
      <c r="C139" s="31">
        <f>VPI!R133</f>
        <v>43443.742275876699</v>
      </c>
      <c r="D139" s="8">
        <f>Données!N133</f>
        <v>1561.75</v>
      </c>
      <c r="E139" s="239">
        <f>Données!O133+Données!P133+Données!R133</f>
        <v>380172.35</v>
      </c>
      <c r="F139" s="512">
        <f t="shared" si="5"/>
        <v>190554.69999999998</v>
      </c>
      <c r="G139" s="512">
        <f>Ecrêtage!M133</f>
        <v>140768.66064072979</v>
      </c>
      <c r="H139" s="513">
        <f t="shared" si="3"/>
        <v>634288.87217805593</v>
      </c>
      <c r="I139" s="325">
        <f t="shared" si="4"/>
        <v>965612.23281878571</v>
      </c>
    </row>
    <row r="140" spans="1:9" x14ac:dyDescent="0.25">
      <c r="A140" s="38">
        <f>Données!A134</f>
        <v>5632</v>
      </c>
      <c r="B140" s="171" t="str">
        <f>Données!B134</f>
        <v>Denges</v>
      </c>
      <c r="C140" s="31">
        <f>VPI!R134</f>
        <v>76401.256884060669</v>
      </c>
      <c r="D140" s="8">
        <f>Données!N134</f>
        <v>74620.800000000003</v>
      </c>
      <c r="E140" s="239">
        <f>Données!O134+Données!P134+Données!R134</f>
        <v>380200.7</v>
      </c>
      <c r="F140" s="512">
        <f t="shared" si="5"/>
        <v>212486.59</v>
      </c>
      <c r="G140" s="512">
        <f>Ecrêtage!M134</f>
        <v>0</v>
      </c>
      <c r="H140" s="513">
        <f t="shared" ref="H140:H203" si="6">$H$11*C140</f>
        <v>1115476.3499480048</v>
      </c>
      <c r="I140" s="325">
        <f t="shared" ref="I140:I203" si="7">F140+H140+G140</f>
        <v>1327962.9399480049</v>
      </c>
    </row>
    <row r="141" spans="1:9" x14ac:dyDescent="0.25">
      <c r="A141" s="38">
        <f>Données!A135</f>
        <v>5633</v>
      </c>
      <c r="B141" s="171" t="str">
        <f>Données!B135</f>
        <v>Echandens</v>
      </c>
      <c r="C141" s="31">
        <f>VPI!R135</f>
        <v>148314.25599471925</v>
      </c>
      <c r="D141" s="8">
        <f>Données!N135</f>
        <v>197742.25</v>
      </c>
      <c r="E141" s="239">
        <f>Données!O135+Données!P135+Données!R135</f>
        <v>1449712</v>
      </c>
      <c r="F141" s="512">
        <f t="shared" ref="F141:F204" si="8">D141*$D$11+E141*$E$11</f>
        <v>784178.67500000005</v>
      </c>
      <c r="G141" s="512">
        <f>Ecrêtage!M135</f>
        <v>262151.75805391761</v>
      </c>
      <c r="H141" s="513">
        <f t="shared" si="6"/>
        <v>2165423.0790116601</v>
      </c>
      <c r="I141" s="325">
        <f t="shared" si="7"/>
        <v>3211753.5120655773</v>
      </c>
    </row>
    <row r="142" spans="1:9" x14ac:dyDescent="0.25">
      <c r="A142" s="38">
        <f>Données!A136</f>
        <v>5634</v>
      </c>
      <c r="B142" s="171" t="str">
        <f>Données!B136</f>
        <v>Echichens</v>
      </c>
      <c r="C142" s="31">
        <f>VPI!R136</f>
        <v>164062.1340206177</v>
      </c>
      <c r="D142" s="8">
        <f>Données!N136</f>
        <v>34427.1</v>
      </c>
      <c r="E142" s="239">
        <f>Données!O136+Données!P136+Données!R136</f>
        <v>831030.4</v>
      </c>
      <c r="F142" s="512">
        <f t="shared" si="8"/>
        <v>425843.33</v>
      </c>
      <c r="G142" s="512">
        <f>Ecrêtage!M136</f>
        <v>259820.89328487602</v>
      </c>
      <c r="H142" s="513">
        <f t="shared" si="6"/>
        <v>2395345.8082465036</v>
      </c>
      <c r="I142" s="325">
        <f t="shared" si="7"/>
        <v>3081010.0315313796</v>
      </c>
    </row>
    <row r="143" spans="1:9" x14ac:dyDescent="0.25">
      <c r="A143" s="38">
        <f>Données!A137</f>
        <v>5635</v>
      </c>
      <c r="B143" s="171" t="str">
        <f>Données!B137</f>
        <v>Ecublens</v>
      </c>
      <c r="C143" s="31">
        <f>VPI!R137</f>
        <v>502164.08712629444</v>
      </c>
      <c r="D143" s="8">
        <f>Données!N137</f>
        <v>2487367.85</v>
      </c>
      <c r="E143" s="239">
        <f>Données!O137+Données!P137+Données!R137</f>
        <v>2912637.5</v>
      </c>
      <c r="F143" s="512">
        <f t="shared" si="8"/>
        <v>2202529.105</v>
      </c>
      <c r="G143" s="512">
        <f>Ecrêtage!M137</f>
        <v>0</v>
      </c>
      <c r="H143" s="513">
        <f t="shared" si="6"/>
        <v>7331713.9773321385</v>
      </c>
      <c r="I143" s="325">
        <f t="shared" si="7"/>
        <v>9534243.082332138</v>
      </c>
    </row>
    <row r="144" spans="1:9" x14ac:dyDescent="0.25">
      <c r="A144" s="38">
        <f>Données!A138</f>
        <v>5636</v>
      </c>
      <c r="B144" s="171" t="str">
        <f>Données!B138</f>
        <v>Etoy</v>
      </c>
      <c r="C144" s="31">
        <f>VPI!R138</f>
        <v>170184.11203181112</v>
      </c>
      <c r="D144" s="8">
        <f>Données!N138</f>
        <v>619311.94999999995</v>
      </c>
      <c r="E144" s="239">
        <f>Données!O138+Données!P138+Données!R138</f>
        <v>978414.45</v>
      </c>
      <c r="F144" s="512">
        <f t="shared" si="8"/>
        <v>675000.80999999994</v>
      </c>
      <c r="G144" s="512">
        <f>Ecrêtage!M138</f>
        <v>484498.37880642765</v>
      </c>
      <c r="H144" s="513">
        <f t="shared" si="6"/>
        <v>2484728.1294922247</v>
      </c>
      <c r="I144" s="325">
        <f t="shared" si="7"/>
        <v>3644227.3182986523</v>
      </c>
    </row>
    <row r="145" spans="1:9" x14ac:dyDescent="0.25">
      <c r="A145" s="38">
        <f>Données!A139</f>
        <v>5637</v>
      </c>
      <c r="B145" s="171" t="str">
        <f>Données!B139</f>
        <v>Lavigny</v>
      </c>
      <c r="C145" s="31">
        <f>VPI!R139</f>
        <v>41191.053632524527</v>
      </c>
      <c r="D145" s="8">
        <f>Données!N139</f>
        <v>222888.05</v>
      </c>
      <c r="E145" s="239">
        <f>Données!O139+Données!P139+Données!R139</f>
        <v>223965.40000000002</v>
      </c>
      <c r="F145" s="512">
        <f t="shared" si="8"/>
        <v>178849.11499999999</v>
      </c>
      <c r="G145" s="512">
        <f>Ecrêtage!M139</f>
        <v>0</v>
      </c>
      <c r="H145" s="513">
        <f t="shared" si="6"/>
        <v>601399.08727217373</v>
      </c>
      <c r="I145" s="325">
        <f t="shared" si="7"/>
        <v>780248.20227217372</v>
      </c>
    </row>
    <row r="146" spans="1:9" x14ac:dyDescent="0.25">
      <c r="A146" s="38">
        <f>Données!A140</f>
        <v>5638</v>
      </c>
      <c r="B146" s="171" t="str">
        <f>Données!B140</f>
        <v>Lonay</v>
      </c>
      <c r="C146" s="31">
        <f>VPI!R140</f>
        <v>145471.80629203771</v>
      </c>
      <c r="D146" s="8">
        <f>Données!N140</f>
        <v>290954.15000000002</v>
      </c>
      <c r="E146" s="239">
        <f>Données!O140+Données!P140+Données!R140</f>
        <v>2121164.7000000002</v>
      </c>
      <c r="F146" s="512">
        <f t="shared" si="8"/>
        <v>1147868.5950000002</v>
      </c>
      <c r="G146" s="512">
        <f>Ecrêtage!M140</f>
        <v>239557.67119671387</v>
      </c>
      <c r="H146" s="513">
        <f t="shared" si="6"/>
        <v>2123922.6436972315</v>
      </c>
      <c r="I146" s="325">
        <f t="shared" si="7"/>
        <v>3511348.9098939458</v>
      </c>
    </row>
    <row r="147" spans="1:9" x14ac:dyDescent="0.25">
      <c r="A147" s="38">
        <f>Données!A141</f>
        <v>5639</v>
      </c>
      <c r="B147" s="171" t="str">
        <f>Données!B141</f>
        <v>Lully</v>
      </c>
      <c r="C147" s="31">
        <f>VPI!R141</f>
        <v>45737.117540983607</v>
      </c>
      <c r="D147" s="8">
        <f>Données!N141</f>
        <v>15484.7</v>
      </c>
      <c r="E147" s="239">
        <f>Données!O141+Données!P141+Données!R141</f>
        <v>152351.6</v>
      </c>
      <c r="F147" s="512">
        <f t="shared" si="8"/>
        <v>80821.210000000006</v>
      </c>
      <c r="G147" s="512">
        <f>Ecrêtage!M141</f>
        <v>93441.084559169016</v>
      </c>
      <c r="H147" s="513">
        <f t="shared" si="6"/>
        <v>667772.69134695502</v>
      </c>
      <c r="I147" s="325">
        <f t="shared" si="7"/>
        <v>842034.985906124</v>
      </c>
    </row>
    <row r="148" spans="1:9" x14ac:dyDescent="0.25">
      <c r="A148" s="38">
        <f>Données!A142</f>
        <v>5640</v>
      </c>
      <c r="B148" s="171" t="str">
        <f>Données!B142</f>
        <v>Lussy-sur-Morges</v>
      </c>
      <c r="C148" s="31">
        <f>VPI!R142</f>
        <v>57022.810752581783</v>
      </c>
      <c r="D148" s="8">
        <f>Données!N142</f>
        <v>14468.85</v>
      </c>
      <c r="E148" s="239">
        <f>Données!O142+Données!P142+Données!R142</f>
        <v>343334.80000000005</v>
      </c>
      <c r="F148" s="512">
        <f t="shared" si="8"/>
        <v>176008.05500000002</v>
      </c>
      <c r="G148" s="512">
        <f>Ecrêtage!M142</f>
        <v>471321.73337622627</v>
      </c>
      <c r="H148" s="513">
        <f t="shared" si="6"/>
        <v>832546.47104288684</v>
      </c>
      <c r="I148" s="325">
        <f t="shared" si="7"/>
        <v>1479876.2594191132</v>
      </c>
    </row>
    <row r="149" spans="1:9" x14ac:dyDescent="0.25">
      <c r="A149" s="38">
        <f>Données!A143</f>
        <v>5642</v>
      </c>
      <c r="B149" s="171" t="str">
        <f>Données!B143</f>
        <v>Morges</v>
      </c>
      <c r="C149" s="31">
        <f>VPI!R143</f>
        <v>872528.88072343986</v>
      </c>
      <c r="D149" s="8">
        <f>Données!N143</f>
        <v>1316828.75</v>
      </c>
      <c r="E149" s="239">
        <f>Données!O143+Données!P143+Données!R143</f>
        <v>5437092.1500000004</v>
      </c>
      <c r="F149" s="512">
        <f t="shared" si="8"/>
        <v>3113594.7</v>
      </c>
      <c r="G149" s="512">
        <f>Ecrêtage!M143</f>
        <v>1733909.8717392168</v>
      </c>
      <c r="H149" s="513">
        <f t="shared" si="6"/>
        <v>12739127.21842478</v>
      </c>
      <c r="I149" s="325">
        <f t="shared" si="7"/>
        <v>17586631.790163998</v>
      </c>
    </row>
    <row r="150" spans="1:9" x14ac:dyDescent="0.25">
      <c r="A150" s="38">
        <f>Données!A144</f>
        <v>5643</v>
      </c>
      <c r="B150" s="171" t="str">
        <f>Données!B144</f>
        <v>Préverenges</v>
      </c>
      <c r="C150" s="31">
        <f>VPI!R144</f>
        <v>262179.27559609117</v>
      </c>
      <c r="D150" s="8">
        <f>Données!N144</f>
        <v>212698.65</v>
      </c>
      <c r="E150" s="239">
        <f>Données!O144+Données!P144+Données!R144</f>
        <v>809628</v>
      </c>
      <c r="F150" s="512">
        <f t="shared" si="8"/>
        <v>468623.59499999997</v>
      </c>
      <c r="G150" s="512">
        <f>Ecrêtage!M144</f>
        <v>252421.07076119041</v>
      </c>
      <c r="H150" s="513">
        <f t="shared" si="6"/>
        <v>3827879.1907539112</v>
      </c>
      <c r="I150" s="325">
        <f t="shared" si="7"/>
        <v>4548923.8565151021</v>
      </c>
    </row>
    <row r="151" spans="1:9" x14ac:dyDescent="0.25">
      <c r="A151" s="38">
        <f>Données!A145</f>
        <v>5645</v>
      </c>
      <c r="B151" s="171" t="str">
        <f>Données!B145</f>
        <v>Romanel-sur-Morges</v>
      </c>
      <c r="C151" s="31">
        <f>VPI!R145</f>
        <v>27311.487285492814</v>
      </c>
      <c r="D151" s="8">
        <f>Données!N145</f>
        <v>37607.800000000003</v>
      </c>
      <c r="E151" s="239">
        <f>Données!O145+Données!P145+Données!R145</f>
        <v>178461.90000000002</v>
      </c>
      <c r="F151" s="512">
        <f t="shared" si="8"/>
        <v>100513.29000000001</v>
      </c>
      <c r="G151" s="512">
        <f>Ecrêtage!M145</f>
        <v>73266.509467517724</v>
      </c>
      <c r="H151" s="513">
        <f t="shared" si="6"/>
        <v>398754.14870601095</v>
      </c>
      <c r="I151" s="325">
        <f t="shared" si="7"/>
        <v>572533.94817352865</v>
      </c>
    </row>
    <row r="152" spans="1:9" x14ac:dyDescent="0.25">
      <c r="A152" s="38">
        <f>Données!A146</f>
        <v>5646</v>
      </c>
      <c r="B152" s="171" t="str">
        <f>Données!B146</f>
        <v>Saint-Prex</v>
      </c>
      <c r="C152" s="31">
        <f>VPI!R146</f>
        <v>536854.93998205999</v>
      </c>
      <c r="D152" s="8">
        <f>Données!N146</f>
        <v>1057317.55</v>
      </c>
      <c r="E152" s="239">
        <f>Données!O146+Données!P146+Données!R146</f>
        <v>2294144.7000000002</v>
      </c>
      <c r="F152" s="512">
        <f t="shared" si="8"/>
        <v>1464267.6150000002</v>
      </c>
      <c r="G152" s="512">
        <f>Ecrêtage!M146</f>
        <v>4810714.0819192789</v>
      </c>
      <c r="H152" s="513">
        <f t="shared" si="6"/>
        <v>7838208.6018754924</v>
      </c>
      <c r="I152" s="325">
        <f t="shared" si="7"/>
        <v>14113190.298794772</v>
      </c>
    </row>
    <row r="153" spans="1:9" x14ac:dyDescent="0.25">
      <c r="A153" s="38">
        <f>Données!A147</f>
        <v>5648</v>
      </c>
      <c r="B153" s="171" t="str">
        <f>Données!B147</f>
        <v>Saint-Sulpice</v>
      </c>
      <c r="C153" s="31">
        <f>VPI!R147</f>
        <v>395932.06546066038</v>
      </c>
      <c r="D153" s="8">
        <f>Données!N147</f>
        <v>85040.6</v>
      </c>
      <c r="E153" s="239">
        <f>Données!O147+Données!P147+Données!R147</f>
        <v>1670020.2000000002</v>
      </c>
      <c r="F153" s="512">
        <f t="shared" si="8"/>
        <v>860522.28000000014</v>
      </c>
      <c r="G153" s="512">
        <f>Ecrêtage!M147</f>
        <v>2851432.2295563915</v>
      </c>
      <c r="H153" s="513">
        <f t="shared" si="6"/>
        <v>5780701.4337164983</v>
      </c>
      <c r="I153" s="325">
        <f t="shared" si="7"/>
        <v>9492655.9432728905</v>
      </c>
    </row>
    <row r="154" spans="1:9" x14ac:dyDescent="0.25">
      <c r="A154" s="38">
        <f>Données!A148</f>
        <v>5649</v>
      </c>
      <c r="B154" s="171" t="str">
        <f>Données!B148</f>
        <v>Tolochenaz</v>
      </c>
      <c r="C154" s="31">
        <f>VPI!R148</f>
        <v>197599.65546190951</v>
      </c>
      <c r="D154" s="8">
        <f>Données!N148</f>
        <v>588474.4</v>
      </c>
      <c r="E154" s="239">
        <f>Données!O148+Données!P148+Données!R148</f>
        <v>359762.45</v>
      </c>
      <c r="F154" s="512">
        <f t="shared" si="8"/>
        <v>356423.54500000004</v>
      </c>
      <c r="G154" s="512">
        <f>Ecrêtage!M148</f>
        <v>2623634.58722312</v>
      </c>
      <c r="H154" s="513">
        <f t="shared" si="6"/>
        <v>2885001.5224241577</v>
      </c>
      <c r="I154" s="325">
        <f t="shared" si="7"/>
        <v>5865059.6546472777</v>
      </c>
    </row>
    <row r="155" spans="1:9" x14ac:dyDescent="0.25">
      <c r="A155" s="38">
        <f>Données!A149</f>
        <v>5650</v>
      </c>
      <c r="B155" s="171" t="str">
        <f>Données!B149</f>
        <v>Vaux-sur-Morges</v>
      </c>
      <c r="C155" s="31">
        <f>VPI!R149</f>
        <v>63000.299031725983</v>
      </c>
      <c r="D155" s="8">
        <f>Données!N149</f>
        <v>46.25</v>
      </c>
      <c r="E155" s="239">
        <f>Données!O149+Données!P149+Données!R149</f>
        <v>38653.800000000003</v>
      </c>
      <c r="F155" s="512">
        <f t="shared" si="8"/>
        <v>19340.775000000001</v>
      </c>
      <c r="G155" s="512">
        <f>Ecrêtage!M149</f>
        <v>1630249.5617601566</v>
      </c>
      <c r="H155" s="513">
        <f t="shared" si="6"/>
        <v>919819.20816022379</v>
      </c>
      <c r="I155" s="325">
        <f t="shared" si="7"/>
        <v>2569409.5449203802</v>
      </c>
    </row>
    <row r="156" spans="1:9" x14ac:dyDescent="0.25">
      <c r="A156" s="38">
        <f>Données!A150</f>
        <v>5651</v>
      </c>
      <c r="B156" s="171" t="str">
        <f>Données!B150</f>
        <v>Villars-Sainte-Croix</v>
      </c>
      <c r="C156" s="31">
        <f>VPI!R150</f>
        <v>55609.921242717981</v>
      </c>
      <c r="D156" s="8">
        <f>Données!N150</f>
        <v>170466.25</v>
      </c>
      <c r="E156" s="239">
        <f>Données!O150+Données!P150+Données!R150</f>
        <v>291361.34999999998</v>
      </c>
      <c r="F156" s="512">
        <f t="shared" si="8"/>
        <v>196820.55</v>
      </c>
      <c r="G156" s="512">
        <f>Ecrêtage!M150</f>
        <v>152980.11668063444</v>
      </c>
      <c r="H156" s="513">
        <f t="shared" si="6"/>
        <v>811917.95133496693</v>
      </c>
      <c r="I156" s="325">
        <f t="shared" si="7"/>
        <v>1161718.6180156013</v>
      </c>
    </row>
    <row r="157" spans="1:9" x14ac:dyDescent="0.25">
      <c r="A157" s="38">
        <f>Données!A151</f>
        <v>5652</v>
      </c>
      <c r="B157" s="171" t="str">
        <f>Données!B151</f>
        <v>Villars-sous-Yens</v>
      </c>
      <c r="C157" s="31">
        <f>VPI!R151</f>
        <v>25655.145757874605</v>
      </c>
      <c r="D157" s="8">
        <f>Données!N151</f>
        <v>3228.45</v>
      </c>
      <c r="E157" s="239">
        <f>Données!O151+Données!P151+Données!R151</f>
        <v>167207.84999999998</v>
      </c>
      <c r="F157" s="512">
        <f t="shared" si="8"/>
        <v>84572.459999999992</v>
      </c>
      <c r="G157" s="512">
        <f>Ecrêtage!M151</f>
        <v>0</v>
      </c>
      <c r="H157" s="513">
        <f t="shared" si="6"/>
        <v>374571.17218379717</v>
      </c>
      <c r="I157" s="325">
        <f t="shared" si="7"/>
        <v>459143.63218379719</v>
      </c>
    </row>
    <row r="158" spans="1:9" x14ac:dyDescent="0.25">
      <c r="A158" s="38">
        <f>Données!A152</f>
        <v>5653</v>
      </c>
      <c r="B158" s="171" t="str">
        <f>Données!B152</f>
        <v>Vufflens-le-Château</v>
      </c>
      <c r="C158" s="31">
        <f>VPI!R152</f>
        <v>68766.939221326931</v>
      </c>
      <c r="D158" s="8">
        <f>Données!N152</f>
        <v>6135.7</v>
      </c>
      <c r="E158" s="239">
        <f>Données!O152+Données!P152+Données!R152</f>
        <v>356637.8</v>
      </c>
      <c r="F158" s="512">
        <f t="shared" si="8"/>
        <v>180159.61</v>
      </c>
      <c r="G158" s="512">
        <f>Ecrêtage!M152</f>
        <v>504690.62470075511</v>
      </c>
      <c r="H158" s="513">
        <f t="shared" si="6"/>
        <v>1004013.5134963384</v>
      </c>
      <c r="I158" s="325">
        <f t="shared" si="7"/>
        <v>1688863.7481970934</v>
      </c>
    </row>
    <row r="159" spans="1:9" x14ac:dyDescent="0.25">
      <c r="A159" s="38">
        <f>Données!A153</f>
        <v>5654</v>
      </c>
      <c r="B159" s="171" t="str">
        <f>Données!B153</f>
        <v>Vullierens</v>
      </c>
      <c r="C159" s="31">
        <f>VPI!R153</f>
        <v>19265.305994004091</v>
      </c>
      <c r="D159" s="8">
        <f>Données!N153</f>
        <v>6506.75</v>
      </c>
      <c r="E159" s="239">
        <f>Données!O153+Données!P153+Données!R153</f>
        <v>158104.95000000001</v>
      </c>
      <c r="F159" s="512">
        <f t="shared" si="8"/>
        <v>81004.5</v>
      </c>
      <c r="G159" s="512">
        <f>Ecrêtage!M153</f>
        <v>0</v>
      </c>
      <c r="H159" s="513">
        <f t="shared" si="6"/>
        <v>281278.00624319946</v>
      </c>
      <c r="I159" s="325">
        <f t="shared" si="7"/>
        <v>362282.50624319946</v>
      </c>
    </row>
    <row r="160" spans="1:9" x14ac:dyDescent="0.25">
      <c r="A160" s="38">
        <f>Données!A154</f>
        <v>5655</v>
      </c>
      <c r="B160" s="171" t="str">
        <f>Données!B154</f>
        <v>Yens</v>
      </c>
      <c r="C160" s="31">
        <f>VPI!R154</f>
        <v>90850.412022589255</v>
      </c>
      <c r="D160" s="8">
        <f>Données!N154</f>
        <v>104127.75</v>
      </c>
      <c r="E160" s="239">
        <f>Données!O154+Données!P154+Données!R154</f>
        <v>406618.35</v>
      </c>
      <c r="F160" s="512">
        <f t="shared" si="8"/>
        <v>234547.5</v>
      </c>
      <c r="G160" s="512">
        <f>Ecrêtage!M154</f>
        <v>385258.63599146978</v>
      </c>
      <c r="H160" s="513">
        <f t="shared" si="6"/>
        <v>1326437.4190599569</v>
      </c>
      <c r="I160" s="325">
        <f t="shared" si="7"/>
        <v>1946243.5550514266</v>
      </c>
    </row>
    <row r="161" spans="1:9" x14ac:dyDescent="0.25">
      <c r="A161" s="38">
        <f>Données!A155</f>
        <v>5656</v>
      </c>
      <c r="B161" s="171" t="str">
        <f>Données!B155</f>
        <v>Hautemorges</v>
      </c>
      <c r="C161" s="31">
        <f>VPI!R155</f>
        <v>160995.06048587704</v>
      </c>
      <c r="D161" s="8">
        <f>Données!N155</f>
        <v>67676.899999999994</v>
      </c>
      <c r="E161" s="239">
        <f>Données!O155+Données!P155+Données!R155</f>
        <v>627472.4</v>
      </c>
      <c r="F161" s="512">
        <f t="shared" si="8"/>
        <v>334039.27</v>
      </c>
      <c r="G161" s="512">
        <f>Ecrêtage!M155</f>
        <v>0</v>
      </c>
      <c r="H161" s="513">
        <f t="shared" si="6"/>
        <v>2350565.8120646812</v>
      </c>
      <c r="I161" s="325">
        <f t="shared" si="7"/>
        <v>2684605.0820646812</v>
      </c>
    </row>
    <row r="162" spans="1:9" x14ac:dyDescent="0.25">
      <c r="A162" s="38">
        <f>Données!A156</f>
        <v>5661</v>
      </c>
      <c r="B162" s="171" t="str">
        <f>Données!B156</f>
        <v>Boulens</v>
      </c>
      <c r="C162" s="31">
        <f>VPI!R156</f>
        <v>10163.82569082424</v>
      </c>
      <c r="D162" s="8">
        <f>Données!N156</f>
        <v>18651.95</v>
      </c>
      <c r="E162" s="239">
        <f>Données!O156+Données!P156+Données!R156</f>
        <v>23098.15</v>
      </c>
      <c r="F162" s="512">
        <f t="shared" si="8"/>
        <v>17144.66</v>
      </c>
      <c r="G162" s="512">
        <f>Ecrêtage!M156</f>
        <v>0</v>
      </c>
      <c r="H162" s="513">
        <f t="shared" si="6"/>
        <v>148394.24959085573</v>
      </c>
      <c r="I162" s="325">
        <f t="shared" si="7"/>
        <v>165538.90959085574</v>
      </c>
    </row>
    <row r="163" spans="1:9" x14ac:dyDescent="0.25">
      <c r="A163" s="38">
        <f>Données!A157</f>
        <v>5663</v>
      </c>
      <c r="B163" s="171" t="str">
        <f>Données!B157</f>
        <v>Bussy-sur-Moudon</v>
      </c>
      <c r="C163" s="31">
        <f>VPI!R157</f>
        <v>5406.7758852371026</v>
      </c>
      <c r="D163" s="8">
        <f>Données!N157</f>
        <v>0</v>
      </c>
      <c r="E163" s="239">
        <f>Données!O157+Données!P157+Données!R157</f>
        <v>21202.75</v>
      </c>
      <c r="F163" s="512">
        <f t="shared" si="8"/>
        <v>10601.375</v>
      </c>
      <c r="G163" s="512">
        <f>Ecrêtage!M157</f>
        <v>0</v>
      </c>
      <c r="H163" s="513">
        <f t="shared" si="6"/>
        <v>78940.201711647896</v>
      </c>
      <c r="I163" s="325">
        <f t="shared" si="7"/>
        <v>89541.576711647896</v>
      </c>
    </row>
    <row r="164" spans="1:9" x14ac:dyDescent="0.25">
      <c r="A164" s="38">
        <f>Données!A158</f>
        <v>5665</v>
      </c>
      <c r="B164" s="171" t="str">
        <f>Données!B158</f>
        <v>Chavannes-sur-Moudon</v>
      </c>
      <c r="C164" s="31">
        <f>VPI!R158</f>
        <v>6834.7640808977276</v>
      </c>
      <c r="D164" s="8">
        <f>Données!N158</f>
        <v>0</v>
      </c>
      <c r="E164" s="239">
        <f>Données!O158+Données!P158+Données!R158</f>
        <v>52937.9</v>
      </c>
      <c r="F164" s="512">
        <f t="shared" si="8"/>
        <v>26468.95</v>
      </c>
      <c r="G164" s="512">
        <f>Ecrêtage!M158</f>
        <v>0</v>
      </c>
      <c r="H164" s="513">
        <f t="shared" si="6"/>
        <v>99789.1657893144</v>
      </c>
      <c r="I164" s="325">
        <f t="shared" si="7"/>
        <v>126258.1157893144</v>
      </c>
    </row>
    <row r="165" spans="1:9" x14ac:dyDescent="0.25">
      <c r="A165" s="38">
        <f>Données!A159</f>
        <v>5669</v>
      </c>
      <c r="B165" s="171" t="str">
        <f>Données!B159</f>
        <v>Curtilles</v>
      </c>
      <c r="C165" s="31">
        <f>VPI!R159</f>
        <v>10284.99372876246</v>
      </c>
      <c r="D165" s="8">
        <f>Données!N159</f>
        <v>0</v>
      </c>
      <c r="E165" s="239">
        <f>Données!O159+Données!P159+Données!R159</f>
        <v>32314.799999999996</v>
      </c>
      <c r="F165" s="512">
        <f t="shared" si="8"/>
        <v>16157.399999999998</v>
      </c>
      <c r="G165" s="512">
        <f>Ecrêtage!M159</f>
        <v>0</v>
      </c>
      <c r="H165" s="513">
        <f t="shared" si="6"/>
        <v>150163.33149084059</v>
      </c>
      <c r="I165" s="325">
        <f t="shared" si="7"/>
        <v>166320.73149084058</v>
      </c>
    </row>
    <row r="166" spans="1:9" x14ac:dyDescent="0.25">
      <c r="A166" s="38">
        <f>Données!A160</f>
        <v>5671</v>
      </c>
      <c r="B166" s="171" t="str">
        <f>Données!B160</f>
        <v>Dompierre</v>
      </c>
      <c r="C166" s="31">
        <f>VPI!R160</f>
        <v>6033.0922485669453</v>
      </c>
      <c r="D166" s="8">
        <f>Données!N160</f>
        <v>0</v>
      </c>
      <c r="E166" s="239">
        <f>Données!O160+Données!P160+Données!R160</f>
        <v>58300.65</v>
      </c>
      <c r="F166" s="512">
        <f t="shared" si="8"/>
        <v>29150.325000000001</v>
      </c>
      <c r="G166" s="512">
        <f>Ecrêtage!M160</f>
        <v>0</v>
      </c>
      <c r="H166" s="513">
        <f t="shared" si="6"/>
        <v>88084.568170698083</v>
      </c>
      <c r="I166" s="325">
        <f t="shared" si="7"/>
        <v>117234.89317069808</v>
      </c>
    </row>
    <row r="167" spans="1:9" x14ac:dyDescent="0.25">
      <c r="A167" s="38">
        <f>Données!A161</f>
        <v>5673</v>
      </c>
      <c r="B167" s="171" t="str">
        <f>Données!B161</f>
        <v>Hermenches</v>
      </c>
      <c r="C167" s="31">
        <f>VPI!R161</f>
        <v>10638.00475305371</v>
      </c>
      <c r="D167" s="8">
        <f>Données!N161</f>
        <v>14893.5</v>
      </c>
      <c r="E167" s="239">
        <f>Données!O161+Données!P161+Données!R161</f>
        <v>19240.55</v>
      </c>
      <c r="F167" s="512">
        <f t="shared" si="8"/>
        <v>14088.325000000001</v>
      </c>
      <c r="G167" s="512">
        <f>Ecrêtage!M161</f>
        <v>0</v>
      </c>
      <c r="H167" s="513">
        <f t="shared" si="6"/>
        <v>155317.3756116771</v>
      </c>
      <c r="I167" s="325">
        <f t="shared" si="7"/>
        <v>169405.70061167711</v>
      </c>
    </row>
    <row r="168" spans="1:9" x14ac:dyDescent="0.25">
      <c r="A168" s="38">
        <f>Données!A162</f>
        <v>5674</v>
      </c>
      <c r="B168" s="171" t="str">
        <f>Données!B162</f>
        <v>Lovatens</v>
      </c>
      <c r="C168" s="31">
        <f>VPI!R162</f>
        <v>3430.6671539886806</v>
      </c>
      <c r="D168" s="8">
        <f>Données!N162</f>
        <v>0</v>
      </c>
      <c r="E168" s="239">
        <f>Données!O162+Données!P162+Données!R162</f>
        <v>75528.399999999994</v>
      </c>
      <c r="F168" s="512">
        <f t="shared" si="8"/>
        <v>37764.199999999997</v>
      </c>
      <c r="G168" s="512">
        <f>Ecrêtage!M162</f>
        <v>0</v>
      </c>
      <c r="H168" s="513">
        <f t="shared" si="6"/>
        <v>50088.548682190354</v>
      </c>
      <c r="I168" s="325">
        <f t="shared" si="7"/>
        <v>87852.748682190344</v>
      </c>
    </row>
    <row r="169" spans="1:9" x14ac:dyDescent="0.25">
      <c r="A169" s="38">
        <f>Données!A163</f>
        <v>5675</v>
      </c>
      <c r="B169" s="171" t="str">
        <f>Données!B163</f>
        <v>Lucens</v>
      </c>
      <c r="C169" s="31">
        <f>VPI!R163</f>
        <v>96952.062979645387</v>
      </c>
      <c r="D169" s="8">
        <f>Données!N163</f>
        <v>47289.1</v>
      </c>
      <c r="E169" s="239">
        <f>Données!O163+Données!P163+Données!R163</f>
        <v>491285.4</v>
      </c>
      <c r="F169" s="512">
        <f t="shared" si="8"/>
        <v>259829.43000000002</v>
      </c>
      <c r="G169" s="512">
        <f>Ecrêtage!M163</f>
        <v>0</v>
      </c>
      <c r="H169" s="513">
        <f t="shared" si="6"/>
        <v>1415522.9605264049</v>
      </c>
      <c r="I169" s="325">
        <f t="shared" si="7"/>
        <v>1675352.3905264048</v>
      </c>
    </row>
    <row r="170" spans="1:9" x14ac:dyDescent="0.25">
      <c r="A170" s="38">
        <f>Données!A164</f>
        <v>5678</v>
      </c>
      <c r="B170" s="171" t="str">
        <f>Données!B164</f>
        <v>Moudon</v>
      </c>
      <c r="C170" s="31">
        <f>VPI!R164</f>
        <v>124861.70956096463</v>
      </c>
      <c r="D170" s="8">
        <f>Données!N164</f>
        <v>194976.2</v>
      </c>
      <c r="E170" s="239">
        <f>Données!O164+Données!P164+Données!R164</f>
        <v>1199773.75</v>
      </c>
      <c r="F170" s="512">
        <f t="shared" si="8"/>
        <v>658379.73499999999</v>
      </c>
      <c r="G170" s="512">
        <f>Ecrêtage!M164</f>
        <v>0</v>
      </c>
      <c r="H170" s="513">
        <f t="shared" si="6"/>
        <v>1823010.3758723675</v>
      </c>
      <c r="I170" s="325">
        <f t="shared" si="7"/>
        <v>2481390.1108723674</v>
      </c>
    </row>
    <row r="171" spans="1:9" x14ac:dyDescent="0.25">
      <c r="A171" s="38">
        <f>Données!A165</f>
        <v>5680</v>
      </c>
      <c r="B171" s="171" t="str">
        <f>Données!B165</f>
        <v>Ogens</v>
      </c>
      <c r="C171" s="31">
        <f>VPI!R165</f>
        <v>8674.1647445530853</v>
      </c>
      <c r="D171" s="8">
        <f>Données!N165</f>
        <v>0</v>
      </c>
      <c r="E171" s="239">
        <f>Données!O165+Données!P165+Données!R165</f>
        <v>102907.79999999999</v>
      </c>
      <c r="F171" s="512">
        <f t="shared" si="8"/>
        <v>51453.899999999994</v>
      </c>
      <c r="G171" s="512">
        <f>Ecrêtage!M165</f>
        <v>0</v>
      </c>
      <c r="H171" s="513">
        <f t="shared" si="6"/>
        <v>126644.84882473679</v>
      </c>
      <c r="I171" s="325">
        <f t="shared" si="7"/>
        <v>178098.7488247368</v>
      </c>
    </row>
    <row r="172" spans="1:9" x14ac:dyDescent="0.25">
      <c r="A172" s="38">
        <f>Données!A166</f>
        <v>5683</v>
      </c>
      <c r="B172" s="171" t="str">
        <f>Données!B166</f>
        <v>Prévonloup</v>
      </c>
      <c r="C172" s="31">
        <f>VPI!R166</f>
        <v>5010.6526896551723</v>
      </c>
      <c r="D172" s="8">
        <f>Données!N166</f>
        <v>0</v>
      </c>
      <c r="E172" s="239">
        <f>Données!O166+Données!P166+Données!R166</f>
        <v>4367.1000000000004</v>
      </c>
      <c r="F172" s="512">
        <f t="shared" si="8"/>
        <v>2183.5500000000002</v>
      </c>
      <c r="G172" s="512">
        <f>Ecrêtage!M166</f>
        <v>0</v>
      </c>
      <c r="H172" s="513">
        <f t="shared" si="6"/>
        <v>73156.709733132331</v>
      </c>
      <c r="I172" s="325">
        <f t="shared" si="7"/>
        <v>75340.259733132334</v>
      </c>
    </row>
    <row r="173" spans="1:9" x14ac:dyDescent="0.25">
      <c r="A173" s="38">
        <f>Données!A167</f>
        <v>5684</v>
      </c>
      <c r="B173" s="171" t="str">
        <f>Données!B167</f>
        <v>Rossenges</v>
      </c>
      <c r="C173" s="31">
        <f>VPI!R167</f>
        <v>4335.3702000000012</v>
      </c>
      <c r="D173" s="8">
        <f>Données!N167</f>
        <v>0</v>
      </c>
      <c r="E173" s="239">
        <f>Données!O167+Données!P167+Données!R167</f>
        <v>0</v>
      </c>
      <c r="F173" s="512">
        <f t="shared" si="8"/>
        <v>0</v>
      </c>
      <c r="G173" s="512">
        <f>Ecrêtage!M167</f>
        <v>6854.2806629752386</v>
      </c>
      <c r="H173" s="513">
        <f t="shared" si="6"/>
        <v>63297.426293758683</v>
      </c>
      <c r="I173" s="325">
        <f t="shared" si="7"/>
        <v>70151.70695673392</v>
      </c>
    </row>
    <row r="174" spans="1:9" x14ac:dyDescent="0.25">
      <c r="A174" s="38">
        <f>Données!A168</f>
        <v>5688</v>
      </c>
      <c r="B174" s="171" t="str">
        <f>Données!B168</f>
        <v>Syens</v>
      </c>
      <c r="C174" s="31">
        <f>VPI!R168</f>
        <v>5090.9474673292525</v>
      </c>
      <c r="D174" s="8">
        <f>Données!N168</f>
        <v>0</v>
      </c>
      <c r="E174" s="239">
        <f>Données!O168+Données!P168+Données!R168</f>
        <v>40.65</v>
      </c>
      <c r="F174" s="512">
        <f t="shared" si="8"/>
        <v>20.324999999999999</v>
      </c>
      <c r="G174" s="512">
        <f>Ecrêtage!M168</f>
        <v>0</v>
      </c>
      <c r="H174" s="513">
        <f t="shared" si="6"/>
        <v>74329.032403892692</v>
      </c>
      <c r="I174" s="325">
        <f t="shared" si="7"/>
        <v>74349.357403892689</v>
      </c>
    </row>
    <row r="175" spans="1:9" x14ac:dyDescent="0.25">
      <c r="A175" s="38">
        <f>Données!A169</f>
        <v>5690</v>
      </c>
      <c r="B175" s="171" t="str">
        <f>Données!B169</f>
        <v>Villars-le-Comte</v>
      </c>
      <c r="C175" s="31">
        <f>VPI!R169</f>
        <v>3483.6555381452017</v>
      </c>
      <c r="D175" s="8">
        <f>Données!N169</f>
        <v>0</v>
      </c>
      <c r="E175" s="239">
        <f>Données!O169+Données!P169+Données!R169</f>
        <v>35554.399999999994</v>
      </c>
      <c r="F175" s="512">
        <f t="shared" si="8"/>
        <v>17777.199999999997</v>
      </c>
      <c r="G175" s="512">
        <f>Ecrêtage!M169</f>
        <v>0</v>
      </c>
      <c r="H175" s="513">
        <f t="shared" si="6"/>
        <v>50862.19157445657</v>
      </c>
      <c r="I175" s="325">
        <f t="shared" si="7"/>
        <v>68639.39157445656</v>
      </c>
    </row>
    <row r="176" spans="1:9" x14ac:dyDescent="0.25">
      <c r="A176" s="38">
        <f>Données!A170</f>
        <v>5692</v>
      </c>
      <c r="B176" s="171" t="str">
        <f>Données!B170</f>
        <v>Vucherens</v>
      </c>
      <c r="C176" s="31">
        <f>VPI!R170</f>
        <v>18080.765402288005</v>
      </c>
      <c r="D176" s="8">
        <f>Données!N170</f>
        <v>13335.05</v>
      </c>
      <c r="E176" s="239">
        <f>Données!O170+Données!P170+Données!R170</f>
        <v>100319.45</v>
      </c>
      <c r="F176" s="512">
        <f t="shared" si="8"/>
        <v>54160.24</v>
      </c>
      <c r="G176" s="512">
        <f>Ecrêtage!M170</f>
        <v>0</v>
      </c>
      <c r="H176" s="513">
        <f t="shared" si="6"/>
        <v>263983.43453716289</v>
      </c>
      <c r="I176" s="325">
        <f t="shared" si="7"/>
        <v>318143.67453716288</v>
      </c>
    </row>
    <row r="177" spans="1:9" x14ac:dyDescent="0.25">
      <c r="A177" s="38">
        <f>Données!A171</f>
        <v>5693</v>
      </c>
      <c r="B177" s="171" t="str">
        <f>Données!B171</f>
        <v>Montanaire</v>
      </c>
      <c r="C177" s="31">
        <f>VPI!R171</f>
        <v>71109.274307717249</v>
      </c>
      <c r="D177" s="8">
        <f>Données!N171</f>
        <v>48251.05</v>
      </c>
      <c r="E177" s="239">
        <f>Données!O171+Données!P171+Données!R171</f>
        <v>487103.2</v>
      </c>
      <c r="F177" s="512">
        <f t="shared" si="8"/>
        <v>258026.91500000001</v>
      </c>
      <c r="G177" s="512">
        <f>Ecrêtage!M171</f>
        <v>0</v>
      </c>
      <c r="H177" s="513">
        <f t="shared" si="6"/>
        <v>1038212.1575904635</v>
      </c>
      <c r="I177" s="325">
        <f t="shared" si="7"/>
        <v>1296239.0725904636</v>
      </c>
    </row>
    <row r="178" spans="1:9" x14ac:dyDescent="0.25">
      <c r="A178" s="38">
        <f>Données!A172</f>
        <v>5701</v>
      </c>
      <c r="B178" s="171" t="str">
        <f>Données!B172</f>
        <v>Arnex-sur-Nyon</v>
      </c>
      <c r="C178" s="31">
        <f>VPI!R172</f>
        <v>12577.692288260665</v>
      </c>
      <c r="D178" s="8">
        <f>Données!N172</f>
        <v>0</v>
      </c>
      <c r="E178" s="239">
        <f>Données!O172+Données!P172+Données!R172</f>
        <v>154966.85</v>
      </c>
      <c r="F178" s="512">
        <f t="shared" si="8"/>
        <v>77483.425000000003</v>
      </c>
      <c r="G178" s="512">
        <f>Ecrêtage!M172</f>
        <v>20950.965803583236</v>
      </c>
      <c r="H178" s="513">
        <f t="shared" si="6"/>
        <v>183637.27059842693</v>
      </c>
      <c r="I178" s="325">
        <f t="shared" si="7"/>
        <v>282071.66140201013</v>
      </c>
    </row>
    <row r="179" spans="1:9" x14ac:dyDescent="0.25">
      <c r="A179" s="38">
        <f>Données!A173</f>
        <v>5702</v>
      </c>
      <c r="B179" s="171" t="str">
        <f>Données!B173</f>
        <v>Arzier-Le Muids</v>
      </c>
      <c r="C179" s="31">
        <f>VPI!R173</f>
        <v>167718.32276638702</v>
      </c>
      <c r="D179" s="8">
        <f>Données!N173</f>
        <v>74885.100000000006</v>
      </c>
      <c r="E179" s="239">
        <f>Données!O173+Données!P173+Données!R173</f>
        <v>942039.65</v>
      </c>
      <c r="F179" s="512">
        <f t="shared" si="8"/>
        <v>493485.35500000004</v>
      </c>
      <c r="G179" s="512">
        <f>Ecrêtage!M173</f>
        <v>466618.33097961248</v>
      </c>
      <c r="H179" s="513">
        <f t="shared" si="6"/>
        <v>2448727.0252995254</v>
      </c>
      <c r="I179" s="325">
        <f t="shared" si="7"/>
        <v>3408830.711279138</v>
      </c>
    </row>
    <row r="180" spans="1:9" x14ac:dyDescent="0.25">
      <c r="A180" s="38">
        <f>Données!A174</f>
        <v>5703</v>
      </c>
      <c r="B180" s="171" t="str">
        <f>Données!B174</f>
        <v>Bassins</v>
      </c>
      <c r="C180" s="31">
        <f>VPI!R174</f>
        <v>66886.981709814791</v>
      </c>
      <c r="D180" s="8">
        <f>Données!N174</f>
        <v>30174.35</v>
      </c>
      <c r="E180" s="239">
        <f>Données!O174+Données!P174+Données!R174</f>
        <v>508253.25</v>
      </c>
      <c r="F180" s="512">
        <f t="shared" si="8"/>
        <v>263178.93</v>
      </c>
      <c r="G180" s="512">
        <f>Ecrêtage!M174</f>
        <v>0</v>
      </c>
      <c r="H180" s="513">
        <f t="shared" si="6"/>
        <v>976565.69092738279</v>
      </c>
      <c r="I180" s="325">
        <f t="shared" si="7"/>
        <v>1239744.6209273827</v>
      </c>
    </row>
    <row r="181" spans="1:9" x14ac:dyDescent="0.25">
      <c r="A181" s="38">
        <f>Données!A175</f>
        <v>5704</v>
      </c>
      <c r="B181" s="171" t="str">
        <f>Données!B175</f>
        <v>Begnins</v>
      </c>
      <c r="C181" s="31">
        <f>VPI!R175</f>
        <v>141530.02646227158</v>
      </c>
      <c r="D181" s="8">
        <f>Données!N175</f>
        <v>30752.45</v>
      </c>
      <c r="E181" s="239">
        <f>Données!O175+Données!P175+Données!R175</f>
        <v>413390.10000000003</v>
      </c>
      <c r="F181" s="512">
        <f t="shared" si="8"/>
        <v>215920.78500000003</v>
      </c>
      <c r="G181" s="512">
        <f>Ecrêtage!M175</f>
        <v>923319.56329694937</v>
      </c>
      <c r="H181" s="513">
        <f t="shared" si="6"/>
        <v>2066371.729535196</v>
      </c>
      <c r="I181" s="325">
        <f t="shared" si="7"/>
        <v>3205612.0778321456</v>
      </c>
    </row>
    <row r="182" spans="1:9" x14ac:dyDescent="0.25">
      <c r="A182" s="38">
        <f>Données!A176</f>
        <v>5705</v>
      </c>
      <c r="B182" s="171" t="str">
        <f>Données!B176</f>
        <v>Bogis-Bossey</v>
      </c>
      <c r="C182" s="31">
        <f>VPI!R176</f>
        <v>56143.373517355147</v>
      </c>
      <c r="D182" s="8">
        <f>Données!N176</f>
        <v>37516</v>
      </c>
      <c r="E182" s="239">
        <f>Données!O176+Données!P176+Données!R176</f>
        <v>390555.9</v>
      </c>
      <c r="F182" s="512">
        <f t="shared" si="8"/>
        <v>206532.75</v>
      </c>
      <c r="G182" s="512">
        <f>Ecrêtage!M176</f>
        <v>335693.16981943493</v>
      </c>
      <c r="H182" s="513">
        <f t="shared" si="6"/>
        <v>819706.48022117</v>
      </c>
      <c r="I182" s="325">
        <f t="shared" si="7"/>
        <v>1361932.4000406049</v>
      </c>
    </row>
    <row r="183" spans="1:9" x14ac:dyDescent="0.25">
      <c r="A183" s="38">
        <f>Données!A177</f>
        <v>5706</v>
      </c>
      <c r="B183" s="171" t="str">
        <f>Données!B177</f>
        <v>Borex</v>
      </c>
      <c r="C183" s="31">
        <f>VPI!R177</f>
        <v>84061.533508771914</v>
      </c>
      <c r="D183" s="8">
        <f>Données!N177</f>
        <v>15345.4</v>
      </c>
      <c r="E183" s="239">
        <f>Données!O177+Données!P177+Données!R177</f>
        <v>252898.7</v>
      </c>
      <c r="F183" s="512">
        <f t="shared" si="8"/>
        <v>131052.97</v>
      </c>
      <c r="G183" s="512">
        <f>Ecrêtage!M177</f>
        <v>485465.27935984865</v>
      </c>
      <c r="H183" s="513">
        <f t="shared" si="6"/>
        <v>1227318.1933602381</v>
      </c>
      <c r="I183" s="325">
        <f t="shared" si="7"/>
        <v>1843836.4427200868</v>
      </c>
    </row>
    <row r="184" spans="1:9" x14ac:dyDescent="0.25">
      <c r="A184" s="38">
        <f>Données!A178</f>
        <v>5707</v>
      </c>
      <c r="B184" s="171" t="str">
        <f>Données!B178</f>
        <v>Chavannes-de-Bogis</v>
      </c>
      <c r="C184" s="31">
        <f>VPI!R178</f>
        <v>81740.650607161704</v>
      </c>
      <c r="D184" s="8">
        <f>Données!N178</f>
        <v>787653.25</v>
      </c>
      <c r="E184" s="239">
        <f>Données!O178+Données!P178+Données!R178</f>
        <v>368880</v>
      </c>
      <c r="F184" s="512">
        <f t="shared" si="8"/>
        <v>420735.97499999998</v>
      </c>
      <c r="G184" s="512">
        <f>Ecrêtage!M178</f>
        <v>283406.45090555481</v>
      </c>
      <c r="H184" s="513">
        <f t="shared" si="6"/>
        <v>1193432.7562178422</v>
      </c>
      <c r="I184" s="325">
        <f t="shared" si="7"/>
        <v>1897575.182123397</v>
      </c>
    </row>
    <row r="185" spans="1:9" x14ac:dyDescent="0.25">
      <c r="A185" s="38">
        <f>Données!A179</f>
        <v>5708</v>
      </c>
      <c r="B185" s="171" t="str">
        <f>Données!B179</f>
        <v>Chavannes-des-Bois</v>
      </c>
      <c r="C185" s="31">
        <f>VPI!R179</f>
        <v>67246.19149969735</v>
      </c>
      <c r="D185" s="8">
        <f>Données!N179</f>
        <v>8131.3</v>
      </c>
      <c r="E185" s="239">
        <f>Données!O179+Données!P179+Données!R179</f>
        <v>303407.90000000002</v>
      </c>
      <c r="F185" s="512">
        <f t="shared" si="8"/>
        <v>154143.34000000003</v>
      </c>
      <c r="G185" s="512">
        <f>Ecrêtage!M179</f>
        <v>354066.28280624119</v>
      </c>
      <c r="H185" s="513">
        <f t="shared" si="6"/>
        <v>981810.23848622513</v>
      </c>
      <c r="I185" s="325">
        <f t="shared" si="7"/>
        <v>1490019.8612924663</v>
      </c>
    </row>
    <row r="186" spans="1:9" x14ac:dyDescent="0.25">
      <c r="A186" s="38">
        <f>Données!A180</f>
        <v>5709</v>
      </c>
      <c r="B186" s="171" t="str">
        <f>Données!B180</f>
        <v>Chéserex</v>
      </c>
      <c r="C186" s="31">
        <f>VPI!R180</f>
        <v>97363.543103732183</v>
      </c>
      <c r="D186" s="8">
        <f>Données!N180</f>
        <v>40941</v>
      </c>
      <c r="E186" s="239">
        <f>Données!O180+Données!P180+Données!R180</f>
        <v>449715.15</v>
      </c>
      <c r="F186" s="512">
        <f t="shared" si="8"/>
        <v>237139.875</v>
      </c>
      <c r="G186" s="512">
        <f>Ecrêtage!M180</f>
        <v>676189.70719818922</v>
      </c>
      <c r="H186" s="513">
        <f t="shared" si="6"/>
        <v>1421530.6672790442</v>
      </c>
      <c r="I186" s="325">
        <f t="shared" si="7"/>
        <v>2334860.2494772333</v>
      </c>
    </row>
    <row r="187" spans="1:9" x14ac:dyDescent="0.25">
      <c r="A187" s="38">
        <f>Données!A181</f>
        <v>5710</v>
      </c>
      <c r="B187" s="171" t="str">
        <f>Données!B181</f>
        <v>Coinsins</v>
      </c>
      <c r="C187" s="31">
        <f>VPI!R181</f>
        <v>41089.8274990719</v>
      </c>
      <c r="D187" s="8">
        <f>Données!N181</f>
        <v>29012.95</v>
      </c>
      <c r="E187" s="239">
        <f>Données!O181+Données!P181+Données!R181</f>
        <v>70805.95</v>
      </c>
      <c r="F187" s="512">
        <f t="shared" si="8"/>
        <v>44106.86</v>
      </c>
      <c r="G187" s="512">
        <f>Ecrêtage!M181</f>
        <v>274904.71019494894</v>
      </c>
      <c r="H187" s="513">
        <f t="shared" si="6"/>
        <v>599921.16187580978</v>
      </c>
      <c r="I187" s="325">
        <f t="shared" si="7"/>
        <v>918932.73207075871</v>
      </c>
    </row>
    <row r="188" spans="1:9" x14ac:dyDescent="0.25">
      <c r="A188" s="38">
        <f>Données!A182</f>
        <v>5711</v>
      </c>
      <c r="B188" s="171" t="str">
        <f>Données!B182</f>
        <v>Commugny</v>
      </c>
      <c r="C188" s="31">
        <f>VPI!R182</f>
        <v>252751.28311656581</v>
      </c>
      <c r="D188" s="8">
        <f>Données!N182</f>
        <v>40394.75</v>
      </c>
      <c r="E188" s="239">
        <f>Données!O182+Données!P182+Données!R182</f>
        <v>1259811.1000000001</v>
      </c>
      <c r="F188" s="512">
        <f t="shared" si="8"/>
        <v>642023.97500000009</v>
      </c>
      <c r="G188" s="512">
        <f>Ecrêtage!M182</f>
        <v>2001529.5903130469</v>
      </c>
      <c r="H188" s="513">
        <f t="shared" si="6"/>
        <v>3690228.279403626</v>
      </c>
      <c r="I188" s="325">
        <f t="shared" si="7"/>
        <v>6333781.8447166737</v>
      </c>
    </row>
    <row r="189" spans="1:9" x14ac:dyDescent="0.25">
      <c r="A189" s="38">
        <f>Données!A183</f>
        <v>5712</v>
      </c>
      <c r="B189" s="171" t="str">
        <f>Données!B183</f>
        <v>Coppet</v>
      </c>
      <c r="C189" s="31">
        <f>VPI!R183</f>
        <v>381936.87435905024</v>
      </c>
      <c r="D189" s="8">
        <f>Données!N183</f>
        <v>122896.1</v>
      </c>
      <c r="E189" s="239">
        <f>Données!O183+Données!P183+Données!R183</f>
        <v>1617576.5499999998</v>
      </c>
      <c r="F189" s="512">
        <f t="shared" si="8"/>
        <v>845657.10499999986</v>
      </c>
      <c r="G189" s="512">
        <f>Ecrêtage!M183</f>
        <v>4797691.7487345738</v>
      </c>
      <c r="H189" s="513">
        <f t="shared" si="6"/>
        <v>5576368.3464933503</v>
      </c>
      <c r="I189" s="325">
        <f t="shared" si="7"/>
        <v>11219717.200227924</v>
      </c>
    </row>
    <row r="190" spans="1:9" x14ac:dyDescent="0.25">
      <c r="A190" s="38">
        <f>Données!A184</f>
        <v>5713</v>
      </c>
      <c r="B190" s="171" t="str">
        <f>Données!B184</f>
        <v>Crans-près-Céligny</v>
      </c>
      <c r="C190" s="31">
        <f>VPI!R184</f>
        <v>308655.70549910824</v>
      </c>
      <c r="D190" s="8">
        <f>Données!N184</f>
        <v>47661.35</v>
      </c>
      <c r="E190" s="239">
        <f>Données!O184+Données!P184+Données!R184</f>
        <v>1944186.35</v>
      </c>
      <c r="F190" s="512">
        <f t="shared" si="8"/>
        <v>986391.58000000007</v>
      </c>
      <c r="G190" s="512">
        <f>Ecrêtage!M184</f>
        <v>4588637.0975311436</v>
      </c>
      <c r="H190" s="513">
        <f t="shared" si="6"/>
        <v>4506446.016761818</v>
      </c>
      <c r="I190" s="325">
        <f t="shared" si="7"/>
        <v>10081474.694292963</v>
      </c>
    </row>
    <row r="191" spans="1:9" x14ac:dyDescent="0.25">
      <c r="A191" s="38">
        <f>Données!A185</f>
        <v>5714</v>
      </c>
      <c r="B191" s="171" t="str">
        <f>Données!B185</f>
        <v>Crassier</v>
      </c>
      <c r="C191" s="31">
        <f>VPI!R185</f>
        <v>53565.625441176468</v>
      </c>
      <c r="D191" s="8">
        <f>Données!N185</f>
        <v>130763.45</v>
      </c>
      <c r="E191" s="239">
        <f>Données!O185+Données!P185+Données!R185</f>
        <v>248309.75</v>
      </c>
      <c r="F191" s="512">
        <f t="shared" si="8"/>
        <v>163383.91</v>
      </c>
      <c r="G191" s="512">
        <f>Ecrêtage!M185</f>
        <v>0</v>
      </c>
      <c r="H191" s="513">
        <f t="shared" si="6"/>
        <v>782070.75101497711</v>
      </c>
      <c r="I191" s="325">
        <f t="shared" si="7"/>
        <v>945454.66101497714</v>
      </c>
    </row>
    <row r="192" spans="1:9" x14ac:dyDescent="0.25">
      <c r="A192" s="38">
        <f>Données!A186</f>
        <v>5715</v>
      </c>
      <c r="B192" s="171" t="str">
        <f>Données!B186</f>
        <v>Duillier</v>
      </c>
      <c r="C192" s="31">
        <f>VPI!R186</f>
        <v>61562.138656601084</v>
      </c>
      <c r="D192" s="8">
        <f>Données!N186</f>
        <v>89546.35</v>
      </c>
      <c r="E192" s="239">
        <f>Données!O186+Données!P186+Données!R186</f>
        <v>422319.6</v>
      </c>
      <c r="F192" s="512">
        <f t="shared" si="8"/>
        <v>238023.70499999999</v>
      </c>
      <c r="G192" s="512">
        <f>Ecrêtage!M186</f>
        <v>125142.90916446438</v>
      </c>
      <c r="H192" s="513">
        <f t="shared" si="6"/>
        <v>898821.72786590597</v>
      </c>
      <c r="I192" s="325">
        <f t="shared" si="7"/>
        <v>1261988.3420303704</v>
      </c>
    </row>
    <row r="193" spans="1:9" x14ac:dyDescent="0.25">
      <c r="A193" s="38">
        <f>Données!A187</f>
        <v>5716</v>
      </c>
      <c r="B193" s="171" t="str">
        <f>Données!B187</f>
        <v>Eysins</v>
      </c>
      <c r="C193" s="31">
        <f>VPI!R187</f>
        <v>307549.31539081637</v>
      </c>
      <c r="D193" s="8">
        <f>Données!N187</f>
        <v>574592.4</v>
      </c>
      <c r="E193" s="239">
        <f>Données!O187+Données!P187+Données!R187</f>
        <v>1337686.3499999999</v>
      </c>
      <c r="F193" s="512">
        <f t="shared" si="8"/>
        <v>841220.8949999999</v>
      </c>
      <c r="G193" s="512">
        <f>Ecrêtage!M187</f>
        <v>6342764.6937373746</v>
      </c>
      <c r="H193" s="513">
        <f t="shared" si="6"/>
        <v>4490292.4605253171</v>
      </c>
      <c r="I193" s="325">
        <f t="shared" si="7"/>
        <v>11674278.049262691</v>
      </c>
    </row>
    <row r="194" spans="1:9" x14ac:dyDescent="0.25">
      <c r="A194" s="38">
        <f>Données!A188</f>
        <v>5717</v>
      </c>
      <c r="B194" s="171" t="str">
        <f>Données!B188</f>
        <v>Founex</v>
      </c>
      <c r="C194" s="31">
        <f>VPI!R188</f>
        <v>386760.37149934971</v>
      </c>
      <c r="D194" s="8">
        <f>Données!N188</f>
        <v>222193.9</v>
      </c>
      <c r="E194" s="239">
        <f>Données!O188+Données!P188+Données!R188</f>
        <v>2178651.9</v>
      </c>
      <c r="F194" s="512">
        <f t="shared" si="8"/>
        <v>1155984.1199999999</v>
      </c>
      <c r="G194" s="512">
        <f>Ecrêtage!M188</f>
        <v>4262197.1300549237</v>
      </c>
      <c r="H194" s="513">
        <f t="shared" si="6"/>
        <v>5646792.5411137454</v>
      </c>
      <c r="I194" s="325">
        <f t="shared" si="7"/>
        <v>11064973.791168669</v>
      </c>
    </row>
    <row r="195" spans="1:9" x14ac:dyDescent="0.25">
      <c r="A195" s="38">
        <f>Données!A189</f>
        <v>5718</v>
      </c>
      <c r="B195" s="171" t="str">
        <f>Données!B189</f>
        <v>Genolier</v>
      </c>
      <c r="C195" s="31">
        <f>VPI!R189</f>
        <v>244955.25679243167</v>
      </c>
      <c r="D195" s="8">
        <f>Données!N189</f>
        <v>269907.05</v>
      </c>
      <c r="E195" s="239">
        <f>Données!O189+Données!P189+Données!R189</f>
        <v>824139.8</v>
      </c>
      <c r="F195" s="512">
        <f t="shared" si="8"/>
        <v>493042.01500000001</v>
      </c>
      <c r="G195" s="512">
        <f>Ecrêtage!M189</f>
        <v>3340225.046953578</v>
      </c>
      <c r="H195" s="513">
        <f t="shared" si="6"/>
        <v>3576404.4583984246</v>
      </c>
      <c r="I195" s="325">
        <f t="shared" si="7"/>
        <v>7409671.5203520022</v>
      </c>
    </row>
    <row r="196" spans="1:9" x14ac:dyDescent="0.25">
      <c r="A196" s="38">
        <f>Données!A190</f>
        <v>5719</v>
      </c>
      <c r="B196" s="171" t="str">
        <f>Données!B190</f>
        <v>Gingins</v>
      </c>
      <c r="C196" s="31">
        <f>VPI!R190</f>
        <v>145581.00922504449</v>
      </c>
      <c r="D196" s="8">
        <f>Données!N190</f>
        <v>52212.85</v>
      </c>
      <c r="E196" s="239">
        <f>Données!O190+Données!P190+Données!R190</f>
        <v>413047.9</v>
      </c>
      <c r="F196" s="512">
        <f t="shared" si="8"/>
        <v>222187.80500000002</v>
      </c>
      <c r="G196" s="512">
        <f>Ecrêtage!M190</f>
        <v>1932596.8076974365</v>
      </c>
      <c r="H196" s="513">
        <f t="shared" si="6"/>
        <v>2125517.0322463475</v>
      </c>
      <c r="I196" s="325">
        <f t="shared" si="7"/>
        <v>4280301.644943784</v>
      </c>
    </row>
    <row r="197" spans="1:9" x14ac:dyDescent="0.25">
      <c r="A197" s="38">
        <f>Données!A191</f>
        <v>5720</v>
      </c>
      <c r="B197" s="171" t="str">
        <f>Données!B191</f>
        <v>Givrins</v>
      </c>
      <c r="C197" s="31">
        <f>VPI!R191</f>
        <v>84157.481732617845</v>
      </c>
      <c r="D197" s="8">
        <f>Données!N191</f>
        <v>9872.7000000000007</v>
      </c>
      <c r="E197" s="239">
        <f>Données!O191+Données!P191+Données!R191</f>
        <v>560279.10000000009</v>
      </c>
      <c r="F197" s="512">
        <f t="shared" si="8"/>
        <v>283101.36000000004</v>
      </c>
      <c r="G197" s="512">
        <f>Ecrêtage!M191</f>
        <v>756403.12060432439</v>
      </c>
      <c r="H197" s="513">
        <f t="shared" si="6"/>
        <v>1228719.060032917</v>
      </c>
      <c r="I197" s="325">
        <f t="shared" si="7"/>
        <v>2268223.5406372417</v>
      </c>
    </row>
    <row r="198" spans="1:9" x14ac:dyDescent="0.25">
      <c r="A198" s="38">
        <f>Données!A192</f>
        <v>5721</v>
      </c>
      <c r="B198" s="171" t="str">
        <f>Données!B192</f>
        <v>Gland</v>
      </c>
      <c r="C198" s="31">
        <f>VPI!R192</f>
        <v>649754.37436659122</v>
      </c>
      <c r="D198" s="8">
        <f>Données!N192</f>
        <v>2223465.7000000002</v>
      </c>
      <c r="E198" s="239">
        <f>Données!O192+Données!P192+Données!R192</f>
        <v>3077561.8</v>
      </c>
      <c r="F198" s="512">
        <f t="shared" si="8"/>
        <v>2205820.61</v>
      </c>
      <c r="G198" s="512">
        <f>Ecrêtage!M192</f>
        <v>467300.0580482271</v>
      </c>
      <c r="H198" s="513">
        <f t="shared" si="6"/>
        <v>9486566.9419687819</v>
      </c>
      <c r="I198" s="325">
        <f t="shared" si="7"/>
        <v>12159687.610017009</v>
      </c>
    </row>
    <row r="199" spans="1:9" x14ac:dyDescent="0.25">
      <c r="A199" s="38">
        <f>Données!A193</f>
        <v>5722</v>
      </c>
      <c r="B199" s="171" t="str">
        <f>Données!B193</f>
        <v>Grens</v>
      </c>
      <c r="C199" s="31">
        <f>VPI!R193</f>
        <v>25522.027975307101</v>
      </c>
      <c r="D199" s="8">
        <f>Données!N193</f>
        <v>22755.3</v>
      </c>
      <c r="E199" s="239">
        <f>Données!O193+Données!P193+Données!R193</f>
        <v>14213.45</v>
      </c>
      <c r="F199" s="512">
        <f t="shared" si="8"/>
        <v>13933.314999999999</v>
      </c>
      <c r="G199" s="512">
        <f>Ecrêtage!M193</f>
        <v>103711.32075145689</v>
      </c>
      <c r="H199" s="513">
        <f t="shared" si="6"/>
        <v>372627.62119697366</v>
      </c>
      <c r="I199" s="325">
        <f t="shared" si="7"/>
        <v>490272.25694843056</v>
      </c>
    </row>
    <row r="200" spans="1:9" x14ac:dyDescent="0.25">
      <c r="A200" s="38">
        <f>Données!A194</f>
        <v>5723</v>
      </c>
      <c r="B200" s="171" t="str">
        <f>Données!B194</f>
        <v>Mies</v>
      </c>
      <c r="C200" s="31">
        <f>VPI!R194</f>
        <v>197671.04481157771</v>
      </c>
      <c r="D200" s="8">
        <f>Données!N194</f>
        <v>92665.45</v>
      </c>
      <c r="E200" s="239">
        <f>Données!O194+Données!P194+Données!R194</f>
        <v>1235029.55</v>
      </c>
      <c r="F200" s="512">
        <f t="shared" si="8"/>
        <v>645314.41</v>
      </c>
      <c r="G200" s="512">
        <f>Ecrêtage!M194</f>
        <v>1660596.9191193276</v>
      </c>
      <c r="H200" s="513">
        <f t="shared" si="6"/>
        <v>2886043.8237479944</v>
      </c>
      <c r="I200" s="325">
        <f t="shared" si="7"/>
        <v>5191955.1528673219</v>
      </c>
    </row>
    <row r="201" spans="1:9" x14ac:dyDescent="0.25">
      <c r="A201" s="38">
        <f>Données!A195</f>
        <v>5724</v>
      </c>
      <c r="B201" s="171" t="str">
        <f>Données!B195</f>
        <v>Nyon</v>
      </c>
      <c r="C201" s="31">
        <f>VPI!R195</f>
        <v>1412863.5932076953</v>
      </c>
      <c r="D201" s="8">
        <f>Données!N195</f>
        <v>4660553.0999999996</v>
      </c>
      <c r="E201" s="239">
        <f>Données!O195+Données!P195+Données!R195</f>
        <v>13228631.25</v>
      </c>
      <c r="F201" s="512">
        <f t="shared" si="8"/>
        <v>8012481.5549999997</v>
      </c>
      <c r="G201" s="512">
        <f>Ecrêtage!M195</f>
        <v>6259079.1703396281</v>
      </c>
      <c r="H201" s="513">
        <f t="shared" si="6"/>
        <v>20628141.318635054</v>
      </c>
      <c r="I201" s="325">
        <f t="shared" si="7"/>
        <v>34899702.043974683</v>
      </c>
    </row>
    <row r="202" spans="1:9" x14ac:dyDescent="0.25">
      <c r="A202" s="38">
        <f>Données!A196</f>
        <v>5725</v>
      </c>
      <c r="B202" s="171" t="str">
        <f>Données!B196</f>
        <v>Prangins</v>
      </c>
      <c r="C202" s="31">
        <f>VPI!R196</f>
        <v>312426.41305318987</v>
      </c>
      <c r="D202" s="8">
        <f>Données!N196</f>
        <v>1101910.6000000001</v>
      </c>
      <c r="E202" s="239">
        <f>Données!O196+Données!P196+Données!R196</f>
        <v>1145008.8999999999</v>
      </c>
      <c r="F202" s="512">
        <f t="shared" si="8"/>
        <v>903077.62999999989</v>
      </c>
      <c r="G202" s="512">
        <f>Ecrêtage!M196</f>
        <v>1978685.785361063</v>
      </c>
      <c r="H202" s="513">
        <f t="shared" si="6"/>
        <v>4561499.2353957882</v>
      </c>
      <c r="I202" s="325">
        <f t="shared" si="7"/>
        <v>7443262.6507568508</v>
      </c>
    </row>
    <row r="203" spans="1:9" x14ac:dyDescent="0.25">
      <c r="A203" s="38">
        <f>Données!A197</f>
        <v>5726</v>
      </c>
      <c r="B203" s="171" t="str">
        <f>Données!B197</f>
        <v>La Rippe</v>
      </c>
      <c r="C203" s="31">
        <f>VPI!R197</f>
        <v>66314.954154633349</v>
      </c>
      <c r="D203" s="8">
        <f>Données!N197</f>
        <v>38077.35</v>
      </c>
      <c r="E203" s="239">
        <f>Données!O197+Données!P197+Données!R197</f>
        <v>529163.75</v>
      </c>
      <c r="F203" s="512">
        <f t="shared" si="8"/>
        <v>276005.08</v>
      </c>
      <c r="G203" s="512">
        <f>Ecrêtage!M197</f>
        <v>206962.89849627056</v>
      </c>
      <c r="H203" s="513">
        <f t="shared" si="6"/>
        <v>968213.9538572483</v>
      </c>
      <c r="I203" s="325">
        <f t="shared" si="7"/>
        <v>1451181.9323535189</v>
      </c>
    </row>
    <row r="204" spans="1:9" x14ac:dyDescent="0.25">
      <c r="A204" s="38">
        <f>Données!A198</f>
        <v>5727</v>
      </c>
      <c r="B204" s="171" t="str">
        <f>Données!B198</f>
        <v>Saint-Cergue</v>
      </c>
      <c r="C204" s="31">
        <f>VPI!R198</f>
        <v>105108.96305797539</v>
      </c>
      <c r="D204" s="8">
        <f>Données!N198</f>
        <v>191922.4</v>
      </c>
      <c r="E204" s="239">
        <f>Données!O198+Données!P198+Données!R198</f>
        <v>649415.94999999995</v>
      </c>
      <c r="F204" s="512">
        <f t="shared" si="8"/>
        <v>382284.69499999995</v>
      </c>
      <c r="G204" s="512">
        <f>Ecrêtage!M198</f>
        <v>0</v>
      </c>
      <c r="H204" s="513">
        <f t="shared" ref="H204:H267" si="9">$H$11*C204</f>
        <v>1534615.6233614373</v>
      </c>
      <c r="I204" s="325">
        <f t="shared" ref="I204:I267" si="10">F204+H204+G204</f>
        <v>1916900.3183614374</v>
      </c>
    </row>
    <row r="205" spans="1:9" x14ac:dyDescent="0.25">
      <c r="A205" s="38">
        <f>Données!A199</f>
        <v>5728</v>
      </c>
      <c r="B205" s="171" t="str">
        <f>Données!B199</f>
        <v>Signy-Avenex</v>
      </c>
      <c r="C205" s="31">
        <f>VPI!R199</f>
        <v>49029.515425987986</v>
      </c>
      <c r="D205" s="8">
        <f>Données!N199</f>
        <v>219621.1</v>
      </c>
      <c r="E205" s="239">
        <f>Données!O199+Données!P199+Données!R199</f>
        <v>110248.5</v>
      </c>
      <c r="F205" s="512">
        <f t="shared" ref="F205:F268" si="11">D205*$D$11+E205*$E$11</f>
        <v>121010.58</v>
      </c>
      <c r="G205" s="512">
        <f>Ecrêtage!M199</f>
        <v>406215.47863677959</v>
      </c>
      <c r="H205" s="513">
        <f t="shared" si="9"/>
        <v>715842.47612699331</v>
      </c>
      <c r="I205" s="325">
        <f t="shared" si="10"/>
        <v>1243068.534763773</v>
      </c>
    </row>
    <row r="206" spans="1:9" x14ac:dyDescent="0.25">
      <c r="A206" s="38">
        <f>Données!A200</f>
        <v>5729</v>
      </c>
      <c r="B206" s="171" t="str">
        <f>Données!B200</f>
        <v>Tannay</v>
      </c>
      <c r="C206" s="31">
        <f>VPI!R200</f>
        <v>130705.91189021352</v>
      </c>
      <c r="D206" s="8">
        <f>Données!N200</f>
        <v>15293.7</v>
      </c>
      <c r="E206" s="239">
        <f>Données!O200+Données!P200+Données!R200</f>
        <v>1122654.8500000001</v>
      </c>
      <c r="F206" s="512">
        <f t="shared" si="11"/>
        <v>565915.53500000003</v>
      </c>
      <c r="G206" s="512">
        <f>Ecrêtage!M200</f>
        <v>1015193.8541036447</v>
      </c>
      <c r="H206" s="513">
        <f t="shared" si="9"/>
        <v>1908337.1067202762</v>
      </c>
      <c r="I206" s="325">
        <f t="shared" si="10"/>
        <v>3489446.4958239212</v>
      </c>
    </row>
    <row r="207" spans="1:9" x14ac:dyDescent="0.25">
      <c r="A207" s="38">
        <f>Données!A201</f>
        <v>5730</v>
      </c>
      <c r="B207" s="171" t="str">
        <f>Données!B201</f>
        <v>Trélex</v>
      </c>
      <c r="C207" s="31">
        <f>VPI!R201</f>
        <v>111635.7900900901</v>
      </c>
      <c r="D207" s="8">
        <f>Données!N201</f>
        <v>7297.75</v>
      </c>
      <c r="E207" s="239">
        <f>Données!O201+Données!P201+Données!R201</f>
        <v>811179.3</v>
      </c>
      <c r="F207" s="512">
        <f t="shared" si="11"/>
        <v>407778.97500000003</v>
      </c>
      <c r="G207" s="512">
        <f>Ecrêtage!M201</f>
        <v>737974.81591125729</v>
      </c>
      <c r="H207" s="513">
        <f t="shared" si="9"/>
        <v>1629908.835691354</v>
      </c>
      <c r="I207" s="325">
        <f t="shared" si="10"/>
        <v>2775662.6266026115</v>
      </c>
    </row>
    <row r="208" spans="1:9" x14ac:dyDescent="0.25">
      <c r="A208" s="38">
        <f>Données!A202</f>
        <v>5731</v>
      </c>
      <c r="B208" s="171" t="str">
        <f>Données!B202</f>
        <v>Le Vaud</v>
      </c>
      <c r="C208" s="31">
        <f>VPI!R202</f>
        <v>63939.29295717035</v>
      </c>
      <c r="D208" s="8">
        <f>Données!N202</f>
        <v>25723.95</v>
      </c>
      <c r="E208" s="239">
        <f>Données!O202+Données!P202+Données!R202</f>
        <v>288999.15000000002</v>
      </c>
      <c r="F208" s="512">
        <f t="shared" si="11"/>
        <v>152216.76</v>
      </c>
      <c r="G208" s="512">
        <f>Ecrêtage!M202</f>
        <v>12858.628954087342</v>
      </c>
      <c r="H208" s="513">
        <f t="shared" si="9"/>
        <v>933528.74069013365</v>
      </c>
      <c r="I208" s="325">
        <f t="shared" si="10"/>
        <v>1098604.1296442212</v>
      </c>
    </row>
    <row r="209" spans="1:9" x14ac:dyDescent="0.25">
      <c r="A209" s="38">
        <f>Données!A203</f>
        <v>5732</v>
      </c>
      <c r="B209" s="171" t="str">
        <f>Données!B203</f>
        <v>Vich</v>
      </c>
      <c r="C209" s="31">
        <f>VPI!R203</f>
        <v>70997.378198271268</v>
      </c>
      <c r="D209" s="8">
        <f>Données!N203</f>
        <v>118685.7</v>
      </c>
      <c r="E209" s="239">
        <f>Données!O203+Données!P203+Données!R203</f>
        <v>531177.55000000005</v>
      </c>
      <c r="F209" s="512">
        <f t="shared" si="11"/>
        <v>301194.48500000004</v>
      </c>
      <c r="G209" s="512">
        <f>Ecrêtage!M203</f>
        <v>265822.11480171658</v>
      </c>
      <c r="H209" s="513">
        <f t="shared" si="9"/>
        <v>1036578.4480308474</v>
      </c>
      <c r="I209" s="325">
        <f t="shared" si="10"/>
        <v>1603595.047832564</v>
      </c>
    </row>
    <row r="210" spans="1:9" x14ac:dyDescent="0.25">
      <c r="A210" s="38">
        <f>Données!A204</f>
        <v>5741</v>
      </c>
      <c r="B210" s="171" t="str">
        <f>Données!B204</f>
        <v>L'Abergement</v>
      </c>
      <c r="C210" s="31">
        <f>VPI!R204</f>
        <v>7367.4577774246782</v>
      </c>
      <c r="D210" s="8">
        <f>Données!N204</f>
        <v>10634.3</v>
      </c>
      <c r="E210" s="239">
        <f>Données!O204+Données!P204+Données!R204</f>
        <v>44124.7</v>
      </c>
      <c r="F210" s="512">
        <f t="shared" si="11"/>
        <v>25252.639999999999</v>
      </c>
      <c r="G210" s="512">
        <f>Ecrêtage!M204</f>
        <v>0</v>
      </c>
      <c r="H210" s="513">
        <f t="shared" si="9"/>
        <v>107566.6192563942</v>
      </c>
      <c r="I210" s="325">
        <f t="shared" si="10"/>
        <v>132819.2592563942</v>
      </c>
    </row>
    <row r="211" spans="1:9" x14ac:dyDescent="0.25">
      <c r="A211" s="38">
        <f>Données!A205</f>
        <v>5742</v>
      </c>
      <c r="B211" s="171" t="str">
        <f>Données!B205</f>
        <v>Agiez</v>
      </c>
      <c r="C211" s="31">
        <f>VPI!R205</f>
        <v>8959.2362433179314</v>
      </c>
      <c r="D211" s="8">
        <f>Données!N205</f>
        <v>0</v>
      </c>
      <c r="E211" s="239">
        <f>Données!O205+Données!P205+Données!R205</f>
        <v>31930.2</v>
      </c>
      <c r="F211" s="512">
        <f t="shared" si="11"/>
        <v>15965.1</v>
      </c>
      <c r="G211" s="512">
        <f>Ecrêtage!M205</f>
        <v>0</v>
      </c>
      <c r="H211" s="513">
        <f t="shared" si="9"/>
        <v>130806.95986695394</v>
      </c>
      <c r="I211" s="325">
        <f t="shared" si="10"/>
        <v>146772.05986695393</v>
      </c>
    </row>
    <row r="212" spans="1:9" x14ac:dyDescent="0.25">
      <c r="A212" s="38">
        <f>Données!A206</f>
        <v>5743</v>
      </c>
      <c r="B212" s="171" t="str">
        <f>Données!B206</f>
        <v>Arnex-sur-Orbe</v>
      </c>
      <c r="C212" s="31">
        <f>VPI!R206</f>
        <v>20545.993510231569</v>
      </c>
      <c r="D212" s="8">
        <f>Données!N206</f>
        <v>24432.05</v>
      </c>
      <c r="E212" s="239">
        <f>Données!O206+Données!P206+Données!R206</f>
        <v>51433.249999999993</v>
      </c>
      <c r="F212" s="512">
        <f t="shared" si="11"/>
        <v>33046.239999999998</v>
      </c>
      <c r="G212" s="512">
        <f>Ecrêtage!M206</f>
        <v>0</v>
      </c>
      <c r="H212" s="513">
        <f t="shared" si="9"/>
        <v>299976.34569844266</v>
      </c>
      <c r="I212" s="325">
        <f t="shared" si="10"/>
        <v>333022.58569844265</v>
      </c>
    </row>
    <row r="213" spans="1:9" x14ac:dyDescent="0.25">
      <c r="A213" s="38">
        <f>Données!A207</f>
        <v>5744</v>
      </c>
      <c r="B213" s="171" t="str">
        <f>Données!B207</f>
        <v>Ballaigues</v>
      </c>
      <c r="C213" s="31">
        <f>VPI!R207</f>
        <v>40192.729547040028</v>
      </c>
      <c r="D213" s="8">
        <f>Données!N207</f>
        <v>1275736.1499999999</v>
      </c>
      <c r="E213" s="239">
        <f>Données!O207+Données!P207+Données!R207</f>
        <v>157398.70000000001</v>
      </c>
      <c r="F213" s="512">
        <f t="shared" si="11"/>
        <v>461420.19499999995</v>
      </c>
      <c r="G213" s="512">
        <f>Ecrêtage!M207</f>
        <v>0</v>
      </c>
      <c r="H213" s="513">
        <f t="shared" si="9"/>
        <v>586823.32042803231</v>
      </c>
      <c r="I213" s="325">
        <f t="shared" si="10"/>
        <v>1048243.5154280323</v>
      </c>
    </row>
    <row r="214" spans="1:9" x14ac:dyDescent="0.25">
      <c r="A214" s="38">
        <f>Données!A208</f>
        <v>5745</v>
      </c>
      <c r="B214" s="171" t="str">
        <f>Données!B208</f>
        <v>Baulmes</v>
      </c>
      <c r="C214" s="31">
        <f>VPI!R208</f>
        <v>26823.608187065354</v>
      </c>
      <c r="D214" s="8">
        <f>Données!N208</f>
        <v>205276.15</v>
      </c>
      <c r="E214" s="239">
        <f>Données!O208+Données!P208+Données!R208</f>
        <v>88572.75</v>
      </c>
      <c r="F214" s="512">
        <f t="shared" si="11"/>
        <v>105869.22</v>
      </c>
      <c r="G214" s="512">
        <f>Ecrêtage!M208</f>
        <v>0</v>
      </c>
      <c r="H214" s="513">
        <f t="shared" si="9"/>
        <v>391630.99892909511</v>
      </c>
      <c r="I214" s="325">
        <f t="shared" si="10"/>
        <v>497500.21892909508</v>
      </c>
    </row>
    <row r="215" spans="1:9" x14ac:dyDescent="0.25">
      <c r="A215" s="38">
        <f>Données!A209</f>
        <v>5746</v>
      </c>
      <c r="B215" s="171" t="str">
        <f>Données!B209</f>
        <v>Bavois</v>
      </c>
      <c r="C215" s="31">
        <f>VPI!R209</f>
        <v>30464.573561146077</v>
      </c>
      <c r="D215" s="8">
        <f>Données!N209</f>
        <v>22104.3</v>
      </c>
      <c r="E215" s="239">
        <f>Données!O209+Données!P209+Données!R209</f>
        <v>396814.10000000003</v>
      </c>
      <c r="F215" s="512">
        <f t="shared" si="11"/>
        <v>205038.34000000003</v>
      </c>
      <c r="G215" s="512">
        <f>Ecrêtage!M209</f>
        <v>0</v>
      </c>
      <c r="H215" s="513">
        <f t="shared" si="9"/>
        <v>444789.95116897579</v>
      </c>
      <c r="I215" s="325">
        <f t="shared" si="10"/>
        <v>649828.29116897588</v>
      </c>
    </row>
    <row r="216" spans="1:9" x14ac:dyDescent="0.25">
      <c r="A216" s="38">
        <f>Données!A210</f>
        <v>5747</v>
      </c>
      <c r="B216" s="171" t="str">
        <f>Données!B210</f>
        <v>Bofflens</v>
      </c>
      <c r="C216" s="31">
        <f>VPI!R210</f>
        <v>5602.2513601016635</v>
      </c>
      <c r="D216" s="8">
        <f>Données!N210</f>
        <v>0</v>
      </c>
      <c r="E216" s="239">
        <f>Données!O210+Données!P210+Données!R210</f>
        <v>48767.7</v>
      </c>
      <c r="F216" s="512">
        <f t="shared" si="11"/>
        <v>24383.85</v>
      </c>
      <c r="G216" s="512">
        <f>Ecrêtage!M210</f>
        <v>0</v>
      </c>
      <c r="H216" s="513">
        <f t="shared" si="9"/>
        <v>81794.189696913149</v>
      </c>
      <c r="I216" s="325">
        <f t="shared" si="10"/>
        <v>106178.03969691315</v>
      </c>
    </row>
    <row r="217" spans="1:9" x14ac:dyDescent="0.25">
      <c r="A217" s="38">
        <f>Données!A211</f>
        <v>5748</v>
      </c>
      <c r="B217" s="171" t="str">
        <f>Données!B211</f>
        <v>Bretonnières</v>
      </c>
      <c r="C217" s="31">
        <f>VPI!R211</f>
        <v>5788.8837637987526</v>
      </c>
      <c r="D217" s="8">
        <f>Données!N211</f>
        <v>0</v>
      </c>
      <c r="E217" s="239">
        <f>Données!O211+Données!P211+Données!R211</f>
        <v>28791.05</v>
      </c>
      <c r="F217" s="512">
        <f t="shared" si="11"/>
        <v>14395.525</v>
      </c>
      <c r="G217" s="512">
        <f>Ecrêtage!M211</f>
        <v>0</v>
      </c>
      <c r="H217" s="513">
        <f t="shared" si="9"/>
        <v>84519.066759786234</v>
      </c>
      <c r="I217" s="325">
        <f t="shared" si="10"/>
        <v>98914.591759786228</v>
      </c>
    </row>
    <row r="218" spans="1:9" x14ac:dyDescent="0.25">
      <c r="A218" s="38">
        <f>Données!A212</f>
        <v>5749</v>
      </c>
      <c r="B218" s="171" t="str">
        <f>Données!B212</f>
        <v>Chavornay</v>
      </c>
      <c r="C218" s="31">
        <f>VPI!R212</f>
        <v>140636.14212812972</v>
      </c>
      <c r="D218" s="8">
        <f>Données!N212</f>
        <v>712723.2</v>
      </c>
      <c r="E218" s="239">
        <f>Données!O212+Données!P212+Données!R212</f>
        <v>746649.59999999998</v>
      </c>
      <c r="F218" s="512">
        <f t="shared" si="11"/>
        <v>587141.76</v>
      </c>
      <c r="G218" s="512">
        <f>Ecrêtage!M212</f>
        <v>0</v>
      </c>
      <c r="H218" s="513">
        <f t="shared" si="9"/>
        <v>2053320.807665712</v>
      </c>
      <c r="I218" s="325">
        <f t="shared" si="10"/>
        <v>2640462.567665712</v>
      </c>
    </row>
    <row r="219" spans="1:9" x14ac:dyDescent="0.25">
      <c r="A219" s="38">
        <f>Données!A213</f>
        <v>5750</v>
      </c>
      <c r="B219" s="171" t="str">
        <f>Données!B213</f>
        <v>Les Clées</v>
      </c>
      <c r="C219" s="31">
        <f>VPI!R213</f>
        <v>6038.046875</v>
      </c>
      <c r="D219" s="8">
        <f>Données!N213</f>
        <v>7784.9</v>
      </c>
      <c r="E219" s="239">
        <f>Données!O213+Données!P213+Données!R213</f>
        <v>1096.6500000000001</v>
      </c>
      <c r="F219" s="512">
        <f t="shared" si="11"/>
        <v>2883.7950000000001</v>
      </c>
      <c r="G219" s="512">
        <f>Ecrêtage!M213</f>
        <v>0</v>
      </c>
      <c r="H219" s="513">
        <f t="shared" si="9"/>
        <v>88156.906883885575</v>
      </c>
      <c r="I219" s="325">
        <f t="shared" si="10"/>
        <v>91040.701883885573</v>
      </c>
    </row>
    <row r="220" spans="1:9" x14ac:dyDescent="0.25">
      <c r="A220" s="38">
        <f>Données!A214</f>
        <v>5752</v>
      </c>
      <c r="B220" s="171" t="str">
        <f>Données!B214</f>
        <v>Croy</v>
      </c>
      <c r="C220" s="31">
        <f>VPI!R214</f>
        <v>9413.4881132598912</v>
      </c>
      <c r="D220" s="8">
        <f>Données!N214</f>
        <v>34854.65</v>
      </c>
      <c r="E220" s="239">
        <f>Données!O214+Données!P214+Données!R214</f>
        <v>47338.299999999996</v>
      </c>
      <c r="F220" s="512">
        <f t="shared" si="11"/>
        <v>34125.544999999998</v>
      </c>
      <c r="G220" s="512">
        <f>Ecrêtage!M214</f>
        <v>0</v>
      </c>
      <c r="H220" s="513">
        <f t="shared" si="9"/>
        <v>137439.1441857125</v>
      </c>
      <c r="I220" s="325">
        <f t="shared" si="10"/>
        <v>171564.68918571249</v>
      </c>
    </row>
    <row r="221" spans="1:9" x14ac:dyDescent="0.25">
      <c r="A221" s="38">
        <f>Données!A215</f>
        <v>5754</v>
      </c>
      <c r="B221" s="171" t="str">
        <f>Données!B215</f>
        <v>Juriens</v>
      </c>
      <c r="C221" s="31">
        <f>VPI!R215</f>
        <v>8043.2571951290693</v>
      </c>
      <c r="D221" s="8">
        <f>Données!N215</f>
        <v>0</v>
      </c>
      <c r="E221" s="239">
        <f>Données!O215+Données!P215+Données!R215</f>
        <v>24410.15</v>
      </c>
      <c r="F221" s="512">
        <f t="shared" si="11"/>
        <v>12205.075000000001</v>
      </c>
      <c r="G221" s="512">
        <f>Ecrêtage!M215</f>
        <v>0</v>
      </c>
      <c r="H221" s="513">
        <f t="shared" si="9"/>
        <v>117433.44996707002</v>
      </c>
      <c r="I221" s="325">
        <f t="shared" si="10"/>
        <v>129638.52496707001</v>
      </c>
    </row>
    <row r="222" spans="1:9" x14ac:dyDescent="0.25">
      <c r="A222" s="38">
        <f>Données!A216</f>
        <v>5755</v>
      </c>
      <c r="B222" s="171" t="str">
        <f>Données!B216</f>
        <v>Lignerolle</v>
      </c>
      <c r="C222" s="31">
        <f>VPI!R216</f>
        <v>9053.1652859085789</v>
      </c>
      <c r="D222" s="8">
        <f>Données!N216</f>
        <v>23527.15</v>
      </c>
      <c r="E222" s="239">
        <f>Données!O216+Données!P216+Données!R216</f>
        <v>271555.5</v>
      </c>
      <c r="F222" s="512">
        <f t="shared" si="11"/>
        <v>142835.89499999999</v>
      </c>
      <c r="G222" s="512">
        <f>Ecrêtage!M216</f>
        <v>0</v>
      </c>
      <c r="H222" s="513">
        <f t="shared" si="9"/>
        <v>132178.34601760487</v>
      </c>
      <c r="I222" s="325">
        <f t="shared" si="10"/>
        <v>275014.24101760483</v>
      </c>
    </row>
    <row r="223" spans="1:9" x14ac:dyDescent="0.25">
      <c r="A223" s="38">
        <f>Données!A217</f>
        <v>5756</v>
      </c>
      <c r="B223" s="171" t="str">
        <f>Données!B217</f>
        <v>Montcherand</v>
      </c>
      <c r="C223" s="31">
        <f>VPI!R217</f>
        <v>15753.043205801514</v>
      </c>
      <c r="D223" s="8">
        <f>Données!N217</f>
        <v>34587.5</v>
      </c>
      <c r="E223" s="239">
        <f>Données!O217+Données!P217+Données!R217</f>
        <v>87924.25</v>
      </c>
      <c r="F223" s="512">
        <f t="shared" si="11"/>
        <v>54338.375</v>
      </c>
      <c r="G223" s="512">
        <f>Ecrêtage!M217</f>
        <v>0</v>
      </c>
      <c r="H223" s="513">
        <f t="shared" si="9"/>
        <v>229998.1420782975</v>
      </c>
      <c r="I223" s="325">
        <f t="shared" si="10"/>
        <v>284336.5170782975</v>
      </c>
    </row>
    <row r="224" spans="1:9" x14ac:dyDescent="0.25">
      <c r="A224" s="38">
        <f>Données!A218</f>
        <v>5757</v>
      </c>
      <c r="B224" s="171" t="str">
        <f>Données!B218</f>
        <v>Orbe</v>
      </c>
      <c r="C224" s="31">
        <f>VPI!R218</f>
        <v>203477.21355711605</v>
      </c>
      <c r="D224" s="8">
        <f>Données!N218</f>
        <v>2913726.35</v>
      </c>
      <c r="E224" s="239">
        <f>Données!O218+Données!P218+Données!R218</f>
        <v>1206584.2</v>
      </c>
      <c r="F224" s="512">
        <f t="shared" si="11"/>
        <v>1477410.0049999999</v>
      </c>
      <c r="G224" s="512">
        <f>Ecrêtage!M218</f>
        <v>0</v>
      </c>
      <c r="H224" s="513">
        <f t="shared" si="9"/>
        <v>2970815.2553133629</v>
      </c>
      <c r="I224" s="325">
        <f t="shared" si="10"/>
        <v>4448225.2603133628</v>
      </c>
    </row>
    <row r="225" spans="1:9" x14ac:dyDescent="0.25">
      <c r="A225" s="38">
        <f>Données!A219</f>
        <v>5758</v>
      </c>
      <c r="B225" s="171" t="str">
        <f>Données!B219</f>
        <v>La Praz</v>
      </c>
      <c r="C225" s="31">
        <f>VPI!R219</f>
        <v>4311.7430790337894</v>
      </c>
      <c r="D225" s="8">
        <f>Données!N219</f>
        <v>6425.4</v>
      </c>
      <c r="E225" s="239">
        <f>Données!O219+Données!P219+Données!R219</f>
        <v>20933.949999999997</v>
      </c>
      <c r="F225" s="512">
        <f t="shared" si="11"/>
        <v>12394.594999999998</v>
      </c>
      <c r="G225" s="512">
        <f>Ecrêtage!M219</f>
        <v>0</v>
      </c>
      <c r="H225" s="513">
        <f t="shared" si="9"/>
        <v>62952.464761317344</v>
      </c>
      <c r="I225" s="325">
        <f t="shared" si="10"/>
        <v>75347.059761317345</v>
      </c>
    </row>
    <row r="226" spans="1:9" x14ac:dyDescent="0.25">
      <c r="A226" s="38">
        <f>Données!A220</f>
        <v>5759</v>
      </c>
      <c r="B226" s="171" t="str">
        <f>Données!B220</f>
        <v>Premier</v>
      </c>
      <c r="C226" s="31">
        <f>VPI!R220</f>
        <v>5307.2435849357244</v>
      </c>
      <c r="D226" s="8">
        <f>Données!N220</f>
        <v>1530.1</v>
      </c>
      <c r="E226" s="239">
        <f>Données!O220+Données!P220+Données!R220</f>
        <v>40153.65</v>
      </c>
      <c r="F226" s="512">
        <f t="shared" si="11"/>
        <v>20535.855</v>
      </c>
      <c r="G226" s="512">
        <f>Ecrêtage!M220</f>
        <v>0</v>
      </c>
      <c r="H226" s="513">
        <f t="shared" si="9"/>
        <v>77487.006678343765</v>
      </c>
      <c r="I226" s="325">
        <f t="shared" si="10"/>
        <v>98022.861678343761</v>
      </c>
    </row>
    <row r="227" spans="1:9" x14ac:dyDescent="0.25">
      <c r="A227" s="38">
        <f>Données!A221</f>
        <v>5760</v>
      </c>
      <c r="B227" s="171" t="str">
        <f>Données!B221</f>
        <v>Rances</v>
      </c>
      <c r="C227" s="31">
        <f>VPI!R221</f>
        <v>12825.206275823581</v>
      </c>
      <c r="D227" s="8">
        <f>Données!N221</f>
        <v>22152.05</v>
      </c>
      <c r="E227" s="239">
        <f>Données!O221+Données!P221+Données!R221</f>
        <v>95651.900000000009</v>
      </c>
      <c r="F227" s="512">
        <f t="shared" si="11"/>
        <v>54471.565000000002</v>
      </c>
      <c r="G227" s="512">
        <f>Ecrêtage!M221</f>
        <v>0</v>
      </c>
      <c r="H227" s="513">
        <f t="shared" si="9"/>
        <v>187251.03312888808</v>
      </c>
      <c r="I227" s="325">
        <f t="shared" si="10"/>
        <v>241722.59812888809</v>
      </c>
    </row>
    <row r="228" spans="1:9" x14ac:dyDescent="0.25">
      <c r="A228" s="38">
        <f>Données!A222</f>
        <v>5761</v>
      </c>
      <c r="B228" s="171" t="str">
        <f>Données!B222</f>
        <v>Romainmôtier-Envy</v>
      </c>
      <c r="C228" s="31">
        <f>VPI!R222</f>
        <v>12133.770909516334</v>
      </c>
      <c r="D228" s="8">
        <f>Données!N222</f>
        <v>62764.25</v>
      </c>
      <c r="E228" s="239">
        <f>Données!O222+Données!P222+Données!R222</f>
        <v>134457.95000000001</v>
      </c>
      <c r="F228" s="512">
        <f t="shared" si="11"/>
        <v>86058.25</v>
      </c>
      <c r="G228" s="512">
        <f>Ecrêtage!M222</f>
        <v>0</v>
      </c>
      <c r="H228" s="513">
        <f t="shared" si="9"/>
        <v>177155.91388492342</v>
      </c>
      <c r="I228" s="325">
        <f t="shared" si="10"/>
        <v>263214.16388492344</v>
      </c>
    </row>
    <row r="229" spans="1:9" x14ac:dyDescent="0.25">
      <c r="A229" s="38">
        <f>Données!A223</f>
        <v>5762</v>
      </c>
      <c r="B229" s="171" t="str">
        <f>Données!B223</f>
        <v>Sergey</v>
      </c>
      <c r="C229" s="31">
        <f>VPI!R223</f>
        <v>3771.973692411721</v>
      </c>
      <c r="D229" s="8">
        <f>Données!N223</f>
        <v>0</v>
      </c>
      <c r="E229" s="239">
        <f>Données!O223+Données!P223+Données!R223</f>
        <v>0</v>
      </c>
      <c r="F229" s="512">
        <f t="shared" si="11"/>
        <v>0</v>
      </c>
      <c r="G229" s="512">
        <f>Ecrêtage!M223</f>
        <v>0</v>
      </c>
      <c r="H229" s="513">
        <f t="shared" si="9"/>
        <v>55071.704551880626</v>
      </c>
      <c r="I229" s="325">
        <f t="shared" si="10"/>
        <v>55071.704551880626</v>
      </c>
    </row>
    <row r="230" spans="1:9" x14ac:dyDescent="0.25">
      <c r="A230" s="38">
        <f>Données!A224</f>
        <v>5763</v>
      </c>
      <c r="B230" s="171" t="str">
        <f>Données!B224</f>
        <v>Valeyres-sous-Rances</v>
      </c>
      <c r="C230" s="31">
        <f>VPI!R224</f>
        <v>20450.878825889598</v>
      </c>
      <c r="D230" s="8">
        <f>Données!N224</f>
        <v>40842.1</v>
      </c>
      <c r="E230" s="239">
        <f>Données!O224+Données!P224+Données!R224</f>
        <v>30107.199999999997</v>
      </c>
      <c r="F230" s="512">
        <f t="shared" si="11"/>
        <v>27306.229999999996</v>
      </c>
      <c r="G230" s="512">
        <f>Ecrêtage!M224</f>
        <v>0</v>
      </c>
      <c r="H230" s="513">
        <f t="shared" si="9"/>
        <v>298587.648898896</v>
      </c>
      <c r="I230" s="325">
        <f t="shared" si="10"/>
        <v>325893.87889889599</v>
      </c>
    </row>
    <row r="231" spans="1:9" x14ac:dyDescent="0.25">
      <c r="A231" s="38">
        <f>Données!A225</f>
        <v>5764</v>
      </c>
      <c r="B231" s="171" t="str">
        <f>Données!B225</f>
        <v>Vallorbe</v>
      </c>
      <c r="C231" s="31">
        <f>VPI!R225</f>
        <v>84208.757632819674</v>
      </c>
      <c r="D231" s="8">
        <f>Données!N225</f>
        <v>2315164.4</v>
      </c>
      <c r="E231" s="239">
        <f>Données!O225+Données!P225+Données!R225</f>
        <v>354462.89999999997</v>
      </c>
      <c r="F231" s="512">
        <f t="shared" si="11"/>
        <v>871780.7699999999</v>
      </c>
      <c r="G231" s="512">
        <f>Ecrêtage!M225</f>
        <v>0</v>
      </c>
      <c r="H231" s="513">
        <f t="shared" si="9"/>
        <v>1229467.7002559991</v>
      </c>
      <c r="I231" s="325">
        <f t="shared" si="10"/>
        <v>2101248.4702559989</v>
      </c>
    </row>
    <row r="232" spans="1:9" x14ac:dyDescent="0.25">
      <c r="A232" s="38">
        <f>Données!A226</f>
        <v>5765</v>
      </c>
      <c r="B232" s="171" t="str">
        <f>Données!B226</f>
        <v>Vaulion</v>
      </c>
      <c r="C232" s="31">
        <f>VPI!R226</f>
        <v>11314.093434772476</v>
      </c>
      <c r="D232" s="8">
        <f>Données!N226</f>
        <v>53317.25</v>
      </c>
      <c r="E232" s="239">
        <f>Données!O226+Données!P226+Données!R226</f>
        <v>98327</v>
      </c>
      <c r="F232" s="512">
        <f t="shared" si="11"/>
        <v>65158.675000000003</v>
      </c>
      <c r="G232" s="512">
        <f>Ecrêtage!M226</f>
        <v>0</v>
      </c>
      <c r="H232" s="513">
        <f t="shared" si="9"/>
        <v>165188.42964511074</v>
      </c>
      <c r="I232" s="325">
        <f t="shared" si="10"/>
        <v>230347.10464511072</v>
      </c>
    </row>
    <row r="233" spans="1:9" x14ac:dyDescent="0.25">
      <c r="A233" s="38">
        <f>Données!A227</f>
        <v>5766</v>
      </c>
      <c r="B233" s="171" t="str">
        <f>Données!B227</f>
        <v>Vuiteboeuf</v>
      </c>
      <c r="C233" s="31">
        <f>VPI!R227</f>
        <v>15990.410165272326</v>
      </c>
      <c r="D233" s="8">
        <f>Données!N227</f>
        <v>27786</v>
      </c>
      <c r="E233" s="239">
        <f>Données!O227+Données!P227+Données!R227</f>
        <v>39615.85</v>
      </c>
      <c r="F233" s="512">
        <f t="shared" si="11"/>
        <v>28143.724999999999</v>
      </c>
      <c r="G233" s="512">
        <f>Ecrêtage!M227</f>
        <v>0</v>
      </c>
      <c r="H233" s="513">
        <f t="shared" si="9"/>
        <v>233463.75560806651</v>
      </c>
      <c r="I233" s="325">
        <f t="shared" si="10"/>
        <v>261607.48060806651</v>
      </c>
    </row>
    <row r="234" spans="1:9" x14ac:dyDescent="0.25">
      <c r="A234" s="38">
        <f>Données!A228</f>
        <v>5785</v>
      </c>
      <c r="B234" s="171" t="str">
        <f>Données!B228</f>
        <v>Corcelles-le-Jorat</v>
      </c>
      <c r="C234" s="31">
        <f>VPI!R228</f>
        <v>17505.983698727712</v>
      </c>
      <c r="D234" s="8">
        <f>Données!N228</f>
        <v>0</v>
      </c>
      <c r="E234" s="239">
        <f>Données!O228+Données!P228+Données!R228</f>
        <v>132795.4</v>
      </c>
      <c r="F234" s="512">
        <f t="shared" si="11"/>
        <v>66397.7</v>
      </c>
      <c r="G234" s="512">
        <f>Ecrêtage!M228</f>
        <v>0</v>
      </c>
      <c r="H234" s="513">
        <f t="shared" si="9"/>
        <v>255591.48625184491</v>
      </c>
      <c r="I234" s="325">
        <f t="shared" si="10"/>
        <v>321989.18625184492</v>
      </c>
    </row>
    <row r="235" spans="1:9" x14ac:dyDescent="0.25">
      <c r="A235" s="38">
        <f>Données!A229</f>
        <v>5790</v>
      </c>
      <c r="B235" s="171" t="str">
        <f>Données!B229</f>
        <v>Maracon</v>
      </c>
      <c r="C235" s="31">
        <f>VPI!R229</f>
        <v>13395.718975615504</v>
      </c>
      <c r="D235" s="8">
        <f>Données!N229</f>
        <v>8885.9</v>
      </c>
      <c r="E235" s="239">
        <f>Données!O229+Données!P229+Données!R229</f>
        <v>56031.8</v>
      </c>
      <c r="F235" s="512">
        <f t="shared" si="11"/>
        <v>30681.670000000002</v>
      </c>
      <c r="G235" s="512">
        <f>Ecrêtage!M229</f>
        <v>0</v>
      </c>
      <c r="H235" s="513">
        <f t="shared" si="9"/>
        <v>195580.65295344943</v>
      </c>
      <c r="I235" s="325">
        <f t="shared" si="10"/>
        <v>226262.32295344945</v>
      </c>
    </row>
    <row r="236" spans="1:9" x14ac:dyDescent="0.25">
      <c r="A236" s="38">
        <f>Données!A230</f>
        <v>5792</v>
      </c>
      <c r="B236" s="171" t="str">
        <f>Données!B230</f>
        <v>Montpreveyres</v>
      </c>
      <c r="C236" s="31">
        <f>VPI!R230</f>
        <v>17608.366503920086</v>
      </c>
      <c r="D236" s="8">
        <f>Données!N230</f>
        <v>116.15</v>
      </c>
      <c r="E236" s="239">
        <f>Données!O230+Données!P230+Données!R230</f>
        <v>111877.05</v>
      </c>
      <c r="F236" s="512">
        <f t="shared" si="11"/>
        <v>55973.37</v>
      </c>
      <c r="G236" s="512">
        <f>Ecrêtage!M230</f>
        <v>0</v>
      </c>
      <c r="H236" s="513">
        <f t="shared" si="9"/>
        <v>257086.29932811059</v>
      </c>
      <c r="I236" s="325">
        <f t="shared" si="10"/>
        <v>313059.66932811058</v>
      </c>
    </row>
    <row r="237" spans="1:9" x14ac:dyDescent="0.25">
      <c r="A237" s="38">
        <f>Données!A231</f>
        <v>5798</v>
      </c>
      <c r="B237" s="171" t="str">
        <f>Données!B231</f>
        <v>Ropraz</v>
      </c>
      <c r="C237" s="31">
        <f>VPI!R231</f>
        <v>15757.055763710458</v>
      </c>
      <c r="D237" s="8">
        <f>Données!N231</f>
        <v>21843.25</v>
      </c>
      <c r="E237" s="239">
        <f>Données!O231+Données!P231+Données!R231</f>
        <v>68975.649999999994</v>
      </c>
      <c r="F237" s="512">
        <f t="shared" si="11"/>
        <v>41040.799999999996</v>
      </c>
      <c r="G237" s="512">
        <f>Ecrêtage!M231</f>
        <v>0</v>
      </c>
      <c r="H237" s="513">
        <f t="shared" si="9"/>
        <v>230056.7263690902</v>
      </c>
      <c r="I237" s="325">
        <f t="shared" si="10"/>
        <v>271097.52636909019</v>
      </c>
    </row>
    <row r="238" spans="1:9" x14ac:dyDescent="0.25">
      <c r="A238" s="38">
        <f>Données!A232</f>
        <v>5799</v>
      </c>
      <c r="B238" s="171" t="str">
        <f>Données!B232</f>
        <v>Servion</v>
      </c>
      <c r="C238" s="31">
        <f>VPI!R232</f>
        <v>69379.10406939665</v>
      </c>
      <c r="D238" s="8">
        <f>Données!N232</f>
        <v>26847.85</v>
      </c>
      <c r="E238" s="239">
        <f>Données!O232+Données!P232+Données!R232</f>
        <v>574275.5</v>
      </c>
      <c r="F238" s="512">
        <f t="shared" si="11"/>
        <v>295192.10499999998</v>
      </c>
      <c r="G238" s="512">
        <f>Ecrêtage!M232</f>
        <v>0</v>
      </c>
      <c r="H238" s="513">
        <f t="shared" si="9"/>
        <v>1012951.2644986226</v>
      </c>
      <c r="I238" s="325">
        <f t="shared" si="10"/>
        <v>1308143.3694986226</v>
      </c>
    </row>
    <row r="239" spans="1:9" x14ac:dyDescent="0.25">
      <c r="A239" s="38">
        <f>Données!A233</f>
        <v>5803</v>
      </c>
      <c r="B239" s="171" t="str">
        <f>Données!B233</f>
        <v>Vulliens</v>
      </c>
      <c r="C239" s="31">
        <f>VPI!R233</f>
        <v>18878.281315789478</v>
      </c>
      <c r="D239" s="8">
        <f>Données!N233</f>
        <v>959.9</v>
      </c>
      <c r="E239" s="239">
        <f>Données!O233+Données!P233+Données!R233</f>
        <v>63872.75</v>
      </c>
      <c r="F239" s="512">
        <f t="shared" si="11"/>
        <v>32224.345000000001</v>
      </c>
      <c r="G239" s="512">
        <f>Ecrêtage!M233</f>
        <v>0</v>
      </c>
      <c r="H239" s="513">
        <f t="shared" si="9"/>
        <v>275627.35476177465</v>
      </c>
      <c r="I239" s="325">
        <f t="shared" si="10"/>
        <v>307851.69976177462</v>
      </c>
    </row>
    <row r="240" spans="1:9" x14ac:dyDescent="0.25">
      <c r="A240" s="38">
        <f>Données!A234</f>
        <v>5804</v>
      </c>
      <c r="B240" s="171" t="str">
        <f>Données!B234</f>
        <v>Jorat-Menthue</v>
      </c>
      <c r="C240" s="31">
        <f>VPI!R234</f>
        <v>46675.442411362579</v>
      </c>
      <c r="D240" s="8">
        <f>Données!N234</f>
        <v>8222.75</v>
      </c>
      <c r="E240" s="239">
        <f>Données!O234+Données!P234+Données!R234</f>
        <v>392275.20000000001</v>
      </c>
      <c r="F240" s="512">
        <f t="shared" si="11"/>
        <v>198604.42500000002</v>
      </c>
      <c r="G240" s="512">
        <f>Ecrêtage!M234</f>
        <v>0</v>
      </c>
      <c r="H240" s="513">
        <f t="shared" si="9"/>
        <v>681472.45551528677</v>
      </c>
      <c r="I240" s="325">
        <f t="shared" si="10"/>
        <v>880076.88051528682</v>
      </c>
    </row>
    <row r="241" spans="1:9" x14ac:dyDescent="0.25">
      <c r="A241" s="38">
        <f>Données!A235</f>
        <v>5805</v>
      </c>
      <c r="B241" s="171" t="str">
        <f>Données!B235</f>
        <v>Oron</v>
      </c>
      <c r="C241" s="31">
        <f>VPI!R235</f>
        <v>172360.6832516081</v>
      </c>
      <c r="D241" s="8">
        <f>Données!N235</f>
        <v>124700.70000000001</v>
      </c>
      <c r="E241" s="239">
        <f>Données!O235+Données!P235+Données!R235</f>
        <v>712223.14000000013</v>
      </c>
      <c r="F241" s="512">
        <f t="shared" si="11"/>
        <v>393521.78000000009</v>
      </c>
      <c r="G241" s="512">
        <f>Ecrêtage!M235</f>
        <v>0</v>
      </c>
      <c r="H241" s="513">
        <f t="shared" si="9"/>
        <v>2516506.582081629</v>
      </c>
      <c r="I241" s="325">
        <f t="shared" si="10"/>
        <v>2910028.3620816292</v>
      </c>
    </row>
    <row r="242" spans="1:9" x14ac:dyDescent="0.25">
      <c r="A242" s="38">
        <f>Données!A236</f>
        <v>5806</v>
      </c>
      <c r="B242" s="171" t="str">
        <f>Données!B236</f>
        <v>Jorat-Mézières</v>
      </c>
      <c r="C242" s="31">
        <f>VPI!R236</f>
        <v>91040.343063115521</v>
      </c>
      <c r="D242" s="8">
        <f>Données!N236</f>
        <v>30186.6</v>
      </c>
      <c r="E242" s="239">
        <f>Données!O236+Données!P236+Données!R236</f>
        <v>527331.60000000009</v>
      </c>
      <c r="F242" s="512">
        <f t="shared" si="11"/>
        <v>272721.78000000003</v>
      </c>
      <c r="G242" s="512">
        <f>Ecrêtage!M236</f>
        <v>0</v>
      </c>
      <c r="H242" s="513">
        <f t="shared" si="9"/>
        <v>1329210.4569976649</v>
      </c>
      <c r="I242" s="325">
        <f t="shared" si="10"/>
        <v>1601932.2369976649</v>
      </c>
    </row>
    <row r="243" spans="1:9" x14ac:dyDescent="0.25">
      <c r="A243" s="38">
        <f>Données!A237</f>
        <v>5812</v>
      </c>
      <c r="B243" s="171" t="str">
        <f>Données!B237</f>
        <v>Champtauroz</v>
      </c>
      <c r="C243" s="31">
        <f>VPI!R237</f>
        <v>2509.107922077922</v>
      </c>
      <c r="D243" s="8">
        <f>Données!N237</f>
        <v>0</v>
      </c>
      <c r="E243" s="239">
        <f>Données!O237+Données!P237+Données!R237</f>
        <v>26734.95</v>
      </c>
      <c r="F243" s="512">
        <f t="shared" si="11"/>
        <v>13367.475</v>
      </c>
      <c r="G243" s="512">
        <f>Ecrêtage!M237</f>
        <v>0</v>
      </c>
      <c r="H243" s="513">
        <f t="shared" si="9"/>
        <v>36633.566785326249</v>
      </c>
      <c r="I243" s="325">
        <f t="shared" si="10"/>
        <v>50001.041785326248</v>
      </c>
    </row>
    <row r="244" spans="1:9" x14ac:dyDescent="0.25">
      <c r="A244" s="38">
        <f>Données!A238</f>
        <v>5813</v>
      </c>
      <c r="B244" s="171" t="str">
        <f>Données!B238</f>
        <v>Chevroux</v>
      </c>
      <c r="C244" s="31">
        <f>VPI!R238</f>
        <v>15173.187804567502</v>
      </c>
      <c r="D244" s="8">
        <f>Données!N238</f>
        <v>0</v>
      </c>
      <c r="E244" s="239">
        <f>Données!O238+Données!P238+Données!R238</f>
        <v>53196.850000000006</v>
      </c>
      <c r="F244" s="512">
        <f t="shared" si="11"/>
        <v>26598.425000000003</v>
      </c>
      <c r="G244" s="512">
        <f>Ecrêtage!M238</f>
        <v>0</v>
      </c>
      <c r="H244" s="513">
        <f t="shared" si="9"/>
        <v>221532.11661162623</v>
      </c>
      <c r="I244" s="325">
        <f t="shared" si="10"/>
        <v>248130.54161162622</v>
      </c>
    </row>
    <row r="245" spans="1:9" x14ac:dyDescent="0.25">
      <c r="A245" s="38">
        <f>Données!A239</f>
        <v>5816</v>
      </c>
      <c r="B245" s="171" t="str">
        <f>Données!B239</f>
        <v>Corcelles-près-Payerne</v>
      </c>
      <c r="C245" s="31">
        <f>VPI!R239</f>
        <v>60494.301475743108</v>
      </c>
      <c r="D245" s="8">
        <f>Données!N239</f>
        <v>21017.599999999999</v>
      </c>
      <c r="E245" s="239">
        <f>Données!O239+Données!P239+Données!R239</f>
        <v>343196.85</v>
      </c>
      <c r="F245" s="512">
        <f t="shared" si="11"/>
        <v>177903.70499999999</v>
      </c>
      <c r="G245" s="512">
        <f>Ecrêtage!M239</f>
        <v>0</v>
      </c>
      <c r="H245" s="513">
        <f t="shared" si="9"/>
        <v>883231.05345265917</v>
      </c>
      <c r="I245" s="325">
        <f t="shared" si="10"/>
        <v>1061134.7584526592</v>
      </c>
    </row>
    <row r="246" spans="1:9" x14ac:dyDescent="0.25">
      <c r="A246" s="38">
        <f>Données!A240</f>
        <v>5817</v>
      </c>
      <c r="B246" s="171" t="str">
        <f>Données!B240</f>
        <v>Grandcour</v>
      </c>
      <c r="C246" s="31">
        <f>VPI!R240</f>
        <v>21852.23221700843</v>
      </c>
      <c r="D246" s="8">
        <f>Données!N240</f>
        <v>597.70000000000005</v>
      </c>
      <c r="E246" s="239">
        <f>Données!O240+Données!P240+Données!R240</f>
        <v>54235.199999999997</v>
      </c>
      <c r="F246" s="512">
        <f t="shared" si="11"/>
        <v>27296.91</v>
      </c>
      <c r="G246" s="512">
        <f>Ecrêtage!M240</f>
        <v>0</v>
      </c>
      <c r="H246" s="513">
        <f t="shared" si="9"/>
        <v>319047.7385553348</v>
      </c>
      <c r="I246" s="325">
        <f t="shared" si="10"/>
        <v>346344.64855533477</v>
      </c>
    </row>
    <row r="247" spans="1:9" x14ac:dyDescent="0.25">
      <c r="A247" s="38">
        <f>Données!A241</f>
        <v>5819</v>
      </c>
      <c r="B247" s="171" t="str">
        <f>Données!B241</f>
        <v>Henniez</v>
      </c>
      <c r="C247" s="31">
        <f>VPI!R241</f>
        <v>11442.507547725303</v>
      </c>
      <c r="D247" s="8">
        <f>Données!N241</f>
        <v>4251.7</v>
      </c>
      <c r="E247" s="239">
        <f>Données!O241+Données!P241+Données!R241</f>
        <v>39162.699999999997</v>
      </c>
      <c r="F247" s="512">
        <f t="shared" si="11"/>
        <v>20856.859999999997</v>
      </c>
      <c r="G247" s="512">
        <f>Ecrêtage!M241</f>
        <v>0</v>
      </c>
      <c r="H247" s="513">
        <f t="shared" si="9"/>
        <v>167063.30594741818</v>
      </c>
      <c r="I247" s="325">
        <f t="shared" si="10"/>
        <v>187920.16594741817</v>
      </c>
    </row>
    <row r="248" spans="1:9" x14ac:dyDescent="0.25">
      <c r="A248" s="38">
        <f>Données!A242</f>
        <v>5821</v>
      </c>
      <c r="B248" s="171" t="str">
        <f>Données!B242</f>
        <v>Missy</v>
      </c>
      <c r="C248" s="31">
        <f>VPI!R242</f>
        <v>7871.5501639965696</v>
      </c>
      <c r="D248" s="8">
        <f>Données!N242</f>
        <v>0</v>
      </c>
      <c r="E248" s="239">
        <f>Données!O242+Données!P242+Données!R242</f>
        <v>32040.300000000003</v>
      </c>
      <c r="F248" s="512">
        <f t="shared" si="11"/>
        <v>16020.150000000001</v>
      </c>
      <c r="G248" s="512">
        <f>Ecrêtage!M242</f>
        <v>0</v>
      </c>
      <c r="H248" s="513">
        <f t="shared" si="9"/>
        <v>114926.48685992186</v>
      </c>
      <c r="I248" s="325">
        <f t="shared" si="10"/>
        <v>130946.63685992185</v>
      </c>
    </row>
    <row r="249" spans="1:9" x14ac:dyDescent="0.25">
      <c r="A249" s="38">
        <f>Données!A243</f>
        <v>5822</v>
      </c>
      <c r="B249" s="171" t="str">
        <f>Données!B243</f>
        <v>Payerne</v>
      </c>
      <c r="C249" s="31">
        <f>VPI!R243</f>
        <v>237529.8930471511</v>
      </c>
      <c r="D249" s="8">
        <f>Données!N243</f>
        <v>57956.25</v>
      </c>
      <c r="E249" s="239">
        <f>Données!O243+Données!P243+Données!R243</f>
        <v>1617981.45</v>
      </c>
      <c r="F249" s="512">
        <f t="shared" si="11"/>
        <v>826377.6</v>
      </c>
      <c r="G249" s="512">
        <f>Ecrêtage!M243</f>
        <v>0</v>
      </c>
      <c r="H249" s="513">
        <f t="shared" si="9"/>
        <v>3467992.3983692154</v>
      </c>
      <c r="I249" s="325">
        <f t="shared" si="10"/>
        <v>4294369.9983692151</v>
      </c>
    </row>
    <row r="250" spans="1:9" x14ac:dyDescent="0.25">
      <c r="A250" s="38">
        <f>Données!A244</f>
        <v>5827</v>
      </c>
      <c r="B250" s="171" t="str">
        <f>Données!B244</f>
        <v>Trey</v>
      </c>
      <c r="C250" s="31">
        <f>VPI!R244</f>
        <v>6158.3041346806722</v>
      </c>
      <c r="D250" s="8">
        <f>Données!N244</f>
        <v>0</v>
      </c>
      <c r="E250" s="239">
        <f>Données!O244+Données!P244+Données!R244</f>
        <v>25929.449999999997</v>
      </c>
      <c r="F250" s="512">
        <f t="shared" si="11"/>
        <v>12964.724999999999</v>
      </c>
      <c r="G250" s="512">
        <f>Ecrêtage!M244</f>
        <v>0</v>
      </c>
      <c r="H250" s="513">
        <f t="shared" si="9"/>
        <v>89912.691206739182</v>
      </c>
      <c r="I250" s="325">
        <f t="shared" si="10"/>
        <v>102877.41620673917</v>
      </c>
    </row>
    <row r="251" spans="1:9" x14ac:dyDescent="0.25">
      <c r="A251" s="38">
        <f>Données!A245</f>
        <v>5828</v>
      </c>
      <c r="B251" s="171" t="str">
        <f>Données!B245</f>
        <v>Treytorrens (Payerne)</v>
      </c>
      <c r="C251" s="31">
        <f>VPI!R245</f>
        <v>2288.504365079365</v>
      </c>
      <c r="D251" s="8">
        <f>Données!N245</f>
        <v>0</v>
      </c>
      <c r="E251" s="239">
        <f>Données!O245+Données!P245+Données!R245</f>
        <v>6049.1</v>
      </c>
      <c r="F251" s="512">
        <f t="shared" si="11"/>
        <v>3024.55</v>
      </c>
      <c r="G251" s="512">
        <f>Ecrêtage!M245</f>
        <v>0</v>
      </c>
      <c r="H251" s="513">
        <f t="shared" si="9"/>
        <v>33412.702880957222</v>
      </c>
      <c r="I251" s="325">
        <f t="shared" si="10"/>
        <v>36437.252880957225</v>
      </c>
    </row>
    <row r="252" spans="1:9" x14ac:dyDescent="0.25">
      <c r="A252" s="38">
        <f>Données!A246</f>
        <v>5830</v>
      </c>
      <c r="B252" s="171" t="str">
        <f>Données!B246</f>
        <v>Villarzel</v>
      </c>
      <c r="C252" s="31">
        <f>VPI!R246</f>
        <v>12469.37329599799</v>
      </c>
      <c r="D252" s="8">
        <f>Données!N246</f>
        <v>6516</v>
      </c>
      <c r="E252" s="239">
        <f>Données!O246+Données!P246+Données!R246</f>
        <v>77863.95</v>
      </c>
      <c r="F252" s="512">
        <f t="shared" si="11"/>
        <v>40886.775000000001</v>
      </c>
      <c r="G252" s="512">
        <f>Ecrêtage!M246</f>
        <v>0</v>
      </c>
      <c r="H252" s="513">
        <f t="shared" si="9"/>
        <v>182055.78779242319</v>
      </c>
      <c r="I252" s="325">
        <f t="shared" si="10"/>
        <v>222942.56279242318</v>
      </c>
    </row>
    <row r="253" spans="1:9" x14ac:dyDescent="0.25">
      <c r="A253" s="38">
        <f>Données!A247</f>
        <v>5831</v>
      </c>
      <c r="B253" s="171" t="str">
        <f>Données!B247</f>
        <v>Valbroye</v>
      </c>
      <c r="C253" s="31">
        <f>VPI!R247</f>
        <v>83737.262655956278</v>
      </c>
      <c r="D253" s="8">
        <f>Données!N247</f>
        <v>22474.9</v>
      </c>
      <c r="E253" s="239">
        <f>Données!O247+Données!P247+Données!R247</f>
        <v>493001.35</v>
      </c>
      <c r="F253" s="512">
        <f t="shared" si="11"/>
        <v>253243.14499999999</v>
      </c>
      <c r="G253" s="512">
        <f>Ecrêtage!M247</f>
        <v>0</v>
      </c>
      <c r="H253" s="513">
        <f t="shared" si="9"/>
        <v>1222583.7625138685</v>
      </c>
      <c r="I253" s="325">
        <f t="shared" si="10"/>
        <v>1475826.9075138685</v>
      </c>
    </row>
    <row r="254" spans="1:9" x14ac:dyDescent="0.25">
      <c r="A254" s="38">
        <f>Données!A248</f>
        <v>5841</v>
      </c>
      <c r="B254" s="171" t="str">
        <f>Données!B248</f>
        <v>Château-d'Oex</v>
      </c>
      <c r="C254" s="31">
        <f>VPI!R248</f>
        <v>108627.58984858803</v>
      </c>
      <c r="D254" s="8">
        <f>Données!N248</f>
        <v>7425.55</v>
      </c>
      <c r="E254" s="239">
        <f>Données!O248+Données!P248+Données!R248</f>
        <v>1627092.5</v>
      </c>
      <c r="F254" s="512">
        <f t="shared" si="11"/>
        <v>815773.91500000004</v>
      </c>
      <c r="G254" s="512">
        <f>Ecrêtage!M248</f>
        <v>0</v>
      </c>
      <c r="H254" s="513">
        <f t="shared" si="9"/>
        <v>1585988.4034608274</v>
      </c>
      <c r="I254" s="325">
        <f t="shared" si="10"/>
        <v>2401762.3184608277</v>
      </c>
    </row>
    <row r="255" spans="1:9" x14ac:dyDescent="0.25">
      <c r="A255" s="38">
        <f>Données!A249</f>
        <v>5842</v>
      </c>
      <c r="B255" s="171" t="str">
        <f>Données!B249</f>
        <v>Rossinière</v>
      </c>
      <c r="C255" s="31">
        <f>VPI!R249</f>
        <v>14504.788146274859</v>
      </c>
      <c r="D255" s="8">
        <f>Données!N249</f>
        <v>0</v>
      </c>
      <c r="E255" s="239">
        <f>Données!O249+Données!P249+Données!R249</f>
        <v>72217.05</v>
      </c>
      <c r="F255" s="512">
        <f t="shared" si="11"/>
        <v>36108.525000000001</v>
      </c>
      <c r="G255" s="512">
        <f>Ecrêtage!M249</f>
        <v>0</v>
      </c>
      <c r="H255" s="513">
        <f t="shared" si="9"/>
        <v>211773.32413167792</v>
      </c>
      <c r="I255" s="325">
        <f t="shared" si="10"/>
        <v>247881.84913167791</v>
      </c>
    </row>
    <row r="256" spans="1:9" x14ac:dyDescent="0.25">
      <c r="A256" s="38">
        <f>Données!A250</f>
        <v>5843</v>
      </c>
      <c r="B256" s="171" t="str">
        <f>Données!B250</f>
        <v>Rougemont</v>
      </c>
      <c r="C256" s="31">
        <f>VPI!R250</f>
        <v>100453.05146272083</v>
      </c>
      <c r="D256" s="8">
        <f>Données!N250</f>
        <v>0</v>
      </c>
      <c r="E256" s="239">
        <f>Données!O250+Données!P250+Données!R250</f>
        <v>1273630.7</v>
      </c>
      <c r="F256" s="512">
        <f t="shared" si="11"/>
        <v>636815.35</v>
      </c>
      <c r="G256" s="512">
        <f>Ecrêtage!M250</f>
        <v>1741191.8091434159</v>
      </c>
      <c r="H256" s="513">
        <f t="shared" si="9"/>
        <v>1466638.217180327</v>
      </c>
      <c r="I256" s="325">
        <f t="shared" si="10"/>
        <v>3844645.3763237428</v>
      </c>
    </row>
    <row r="257" spans="1:9" x14ac:dyDescent="0.25">
      <c r="A257" s="38">
        <f>Données!A251</f>
        <v>5851</v>
      </c>
      <c r="B257" s="171" t="str">
        <f>Données!B251</f>
        <v>Allaman</v>
      </c>
      <c r="C257" s="31">
        <f>VPI!R251</f>
        <v>24279.81507965273</v>
      </c>
      <c r="D257" s="8">
        <f>Données!N251</f>
        <v>73719.45</v>
      </c>
      <c r="E257" s="239">
        <f>Données!O251+Données!P251+Données!R251</f>
        <v>207.65</v>
      </c>
      <c r="F257" s="512">
        <f t="shared" si="11"/>
        <v>22219.66</v>
      </c>
      <c r="G257" s="512">
        <f>Ecrêtage!M251</f>
        <v>45909.317667242503</v>
      </c>
      <c r="H257" s="513">
        <f t="shared" si="9"/>
        <v>354491.02026636823</v>
      </c>
      <c r="I257" s="325">
        <f t="shared" si="10"/>
        <v>422619.99793361069</v>
      </c>
    </row>
    <row r="258" spans="1:9" x14ac:dyDescent="0.25">
      <c r="A258" s="38">
        <f>Données!A252</f>
        <v>5852</v>
      </c>
      <c r="B258" s="171" t="str">
        <f>Données!B252</f>
        <v>Bursinel</v>
      </c>
      <c r="C258" s="31">
        <f>VPI!R252</f>
        <v>40701.690718752099</v>
      </c>
      <c r="D258" s="8">
        <f>Données!N252</f>
        <v>8183.75</v>
      </c>
      <c r="E258" s="239">
        <f>Données!O252+Données!P252+Données!R252</f>
        <v>75253.3</v>
      </c>
      <c r="F258" s="512">
        <f t="shared" si="11"/>
        <v>40081.775000000001</v>
      </c>
      <c r="G258" s="512">
        <f>Ecrêtage!M252</f>
        <v>368479.80234511755</v>
      </c>
      <c r="H258" s="513">
        <f t="shared" si="9"/>
        <v>594254.27344164799</v>
      </c>
      <c r="I258" s="325">
        <f t="shared" si="10"/>
        <v>1002815.8507867656</v>
      </c>
    </row>
    <row r="259" spans="1:9" x14ac:dyDescent="0.25">
      <c r="A259" s="38">
        <f>Données!A253</f>
        <v>5853</v>
      </c>
      <c r="B259" s="171" t="str">
        <f>Données!B253</f>
        <v>Bursins</v>
      </c>
      <c r="C259" s="31">
        <f>VPI!R253</f>
        <v>41997.209489150475</v>
      </c>
      <c r="D259" s="8">
        <f>Données!N253</f>
        <v>65850.05</v>
      </c>
      <c r="E259" s="239">
        <f>Données!O253+Données!P253+Données!R253</f>
        <v>626665.20000000019</v>
      </c>
      <c r="F259" s="512">
        <f t="shared" si="11"/>
        <v>333087.61500000011</v>
      </c>
      <c r="G259" s="512">
        <f>Ecrêtage!M253</f>
        <v>89552.699401027028</v>
      </c>
      <c r="H259" s="513">
        <f t="shared" si="9"/>
        <v>613169.15270189487</v>
      </c>
      <c r="I259" s="325">
        <f t="shared" si="10"/>
        <v>1035809.467102922</v>
      </c>
    </row>
    <row r="260" spans="1:9" x14ac:dyDescent="0.25">
      <c r="A260" s="38">
        <f>Données!A254</f>
        <v>5854</v>
      </c>
      <c r="B260" s="171" t="str">
        <f>Données!B254</f>
        <v>Burtigny</v>
      </c>
      <c r="C260" s="31">
        <f>VPI!R254</f>
        <v>10782.892174980714</v>
      </c>
      <c r="D260" s="8">
        <f>Données!N254</f>
        <v>24487.9</v>
      </c>
      <c r="E260" s="239">
        <f>Données!O254+Données!P254+Données!R254</f>
        <v>106125.35</v>
      </c>
      <c r="F260" s="512">
        <f t="shared" si="11"/>
        <v>60409.045000000006</v>
      </c>
      <c r="G260" s="512">
        <f>Ecrêtage!M254</f>
        <v>0</v>
      </c>
      <c r="H260" s="513">
        <f t="shared" si="9"/>
        <v>157432.76610596917</v>
      </c>
      <c r="I260" s="325">
        <f t="shared" si="10"/>
        <v>217841.81110596919</v>
      </c>
    </row>
    <row r="261" spans="1:9" x14ac:dyDescent="0.25">
      <c r="A261" s="38">
        <f>Données!A255</f>
        <v>5855</v>
      </c>
      <c r="B261" s="171" t="str">
        <f>Données!B255</f>
        <v>Dully</v>
      </c>
      <c r="C261" s="31">
        <f>VPI!R255</f>
        <v>98130.783845823462</v>
      </c>
      <c r="D261" s="8">
        <f>Données!N255</f>
        <v>1221.55</v>
      </c>
      <c r="E261" s="239">
        <f>Données!O255+Données!P255+Données!R255</f>
        <v>541088.1</v>
      </c>
      <c r="F261" s="512">
        <f t="shared" si="11"/>
        <v>270910.51500000001</v>
      </c>
      <c r="G261" s="512">
        <f>Ecrêtage!M255</f>
        <v>1506875.0095241314</v>
      </c>
      <c r="H261" s="513">
        <f t="shared" si="9"/>
        <v>1432732.5628685122</v>
      </c>
      <c r="I261" s="325">
        <f t="shared" si="10"/>
        <v>3210518.087392644</v>
      </c>
    </row>
    <row r="262" spans="1:9" x14ac:dyDescent="0.25">
      <c r="A262" s="38">
        <f>Données!A256</f>
        <v>5856</v>
      </c>
      <c r="B262" s="171" t="str">
        <f>Données!B256</f>
        <v>Essertines-sur-Rolle</v>
      </c>
      <c r="C262" s="31">
        <f>VPI!R256</f>
        <v>35711.178597082457</v>
      </c>
      <c r="D262" s="8">
        <f>Données!N256</f>
        <v>7661.75</v>
      </c>
      <c r="E262" s="239">
        <f>Données!O256+Données!P256+Données!R256</f>
        <v>275081</v>
      </c>
      <c r="F262" s="512">
        <f t="shared" si="11"/>
        <v>139839.02499999999</v>
      </c>
      <c r="G262" s="512">
        <f>Ecrêtage!M256</f>
        <v>20537.348086436465</v>
      </c>
      <c r="H262" s="513">
        <f t="shared" si="9"/>
        <v>521391.62074603891</v>
      </c>
      <c r="I262" s="325">
        <f t="shared" si="10"/>
        <v>681767.99383247539</v>
      </c>
    </row>
    <row r="263" spans="1:9" x14ac:dyDescent="0.25">
      <c r="A263" s="38">
        <f>Données!A257</f>
        <v>5857</v>
      </c>
      <c r="B263" s="171" t="str">
        <f>Données!B257</f>
        <v>Gilly</v>
      </c>
      <c r="C263" s="31">
        <f>VPI!R257</f>
        <v>82138.568992248052</v>
      </c>
      <c r="D263" s="8">
        <f>Données!N257</f>
        <v>83818.8</v>
      </c>
      <c r="E263" s="239">
        <f>Données!O257+Données!P257+Données!R257</f>
        <v>230342.7</v>
      </c>
      <c r="F263" s="512">
        <f t="shared" si="11"/>
        <v>140316.99</v>
      </c>
      <c r="G263" s="512">
        <f>Ecrêtage!M257</f>
        <v>228521.9474923161</v>
      </c>
      <c r="H263" s="513">
        <f t="shared" si="9"/>
        <v>1199242.4583860526</v>
      </c>
      <c r="I263" s="325">
        <f t="shared" si="10"/>
        <v>1568081.3958783688</v>
      </c>
    </row>
    <row r="264" spans="1:9" x14ac:dyDescent="0.25">
      <c r="A264" s="38">
        <f>Données!A258</f>
        <v>5858</v>
      </c>
      <c r="B264" s="171" t="str">
        <f>Données!B258</f>
        <v>Luins</v>
      </c>
      <c r="C264" s="31">
        <f>VPI!R258</f>
        <v>40277.440146315326</v>
      </c>
      <c r="D264" s="8">
        <f>Données!N258</f>
        <v>4072.3</v>
      </c>
      <c r="E264" s="239">
        <f>Données!O258+Données!P258+Données!R258</f>
        <v>114680.54999999999</v>
      </c>
      <c r="F264" s="512">
        <f t="shared" si="11"/>
        <v>58561.964999999997</v>
      </c>
      <c r="G264" s="512">
        <f>Ecrêtage!M258</f>
        <v>171846.83057236159</v>
      </c>
      <c r="H264" s="513">
        <f t="shared" si="9"/>
        <v>588060.11513449776</v>
      </c>
      <c r="I264" s="325">
        <f t="shared" si="10"/>
        <v>818468.91070685931</v>
      </c>
    </row>
    <row r="265" spans="1:9" x14ac:dyDescent="0.25">
      <c r="A265" s="38">
        <f>Données!A259</f>
        <v>5859</v>
      </c>
      <c r="B265" s="171" t="str">
        <f>Données!B259</f>
        <v>Mont-sur-Rolle</v>
      </c>
      <c r="C265" s="31">
        <f>VPI!R259</f>
        <v>146440.66164065379</v>
      </c>
      <c r="D265" s="8">
        <f>Données!N259</f>
        <v>117869.3</v>
      </c>
      <c r="E265" s="239">
        <f>Données!O259+Données!P259+Données!R259</f>
        <v>652470.69999999995</v>
      </c>
      <c r="F265" s="512">
        <f t="shared" si="11"/>
        <v>361596.13999999996</v>
      </c>
      <c r="G265" s="512">
        <f>Ecrêtage!M259</f>
        <v>308235.21960785234</v>
      </c>
      <c r="H265" s="513">
        <f t="shared" si="9"/>
        <v>2138068.160040528</v>
      </c>
      <c r="I265" s="325">
        <f t="shared" si="10"/>
        <v>2807899.5196483806</v>
      </c>
    </row>
    <row r="266" spans="1:9" x14ac:dyDescent="0.25">
      <c r="A266" s="38">
        <f>Données!A260</f>
        <v>5860</v>
      </c>
      <c r="B266" s="171" t="str">
        <f>Données!B260</f>
        <v>Perroy</v>
      </c>
      <c r="C266" s="31">
        <f>VPI!R260</f>
        <v>110194.28576674461</v>
      </c>
      <c r="D266" s="8">
        <f>Données!N260</f>
        <v>22451.35</v>
      </c>
      <c r="E266" s="239">
        <f>Données!O260+Données!P260+Données!R260</f>
        <v>719481.05</v>
      </c>
      <c r="F266" s="512">
        <f t="shared" si="11"/>
        <v>366475.93000000005</v>
      </c>
      <c r="G266" s="512">
        <f>Ecrêtage!M260</f>
        <v>651461.42122590216</v>
      </c>
      <c r="H266" s="513">
        <f t="shared" si="9"/>
        <v>1608862.5329652117</v>
      </c>
      <c r="I266" s="325">
        <f t="shared" si="10"/>
        <v>2626799.884191114</v>
      </c>
    </row>
    <row r="267" spans="1:9" x14ac:dyDescent="0.25">
      <c r="A267" s="38">
        <f>Données!A261</f>
        <v>5861</v>
      </c>
      <c r="B267" s="171" t="str">
        <f>Données!B261</f>
        <v>Rolle</v>
      </c>
      <c r="C267" s="31">
        <f>VPI!R261</f>
        <v>663825.23287759279</v>
      </c>
      <c r="D267" s="8">
        <f>Données!N261</f>
        <v>582154.1</v>
      </c>
      <c r="E267" s="239">
        <f>Données!O261+Données!P261+Données!R261</f>
        <v>1726447.9</v>
      </c>
      <c r="F267" s="512">
        <f t="shared" si="11"/>
        <v>1037870.1799999999</v>
      </c>
      <c r="G267" s="512">
        <f>Ecrêtage!M261</f>
        <v>8228281.1318049971</v>
      </c>
      <c r="H267" s="513">
        <f t="shared" si="9"/>
        <v>9692004.7911955975</v>
      </c>
      <c r="I267" s="325">
        <f t="shared" si="10"/>
        <v>18958156.103000596</v>
      </c>
    </row>
    <row r="268" spans="1:9" x14ac:dyDescent="0.25">
      <c r="A268" s="38">
        <f>Données!A262</f>
        <v>5862</v>
      </c>
      <c r="B268" s="171" t="str">
        <f>Données!B262</f>
        <v>Tartegnin</v>
      </c>
      <c r="C268" s="31">
        <f>VPI!R262</f>
        <v>8093.970937390457</v>
      </c>
      <c r="D268" s="8">
        <f>Données!N262</f>
        <v>11024.15</v>
      </c>
      <c r="E268" s="239">
        <f>Données!O262+Données!P262+Données!R262</f>
        <v>-1975.7000000000003</v>
      </c>
      <c r="F268" s="512">
        <f t="shared" si="11"/>
        <v>2319.3949999999995</v>
      </c>
      <c r="G268" s="512">
        <f>Ecrêtage!M262</f>
        <v>0</v>
      </c>
      <c r="H268" s="513">
        <f t="shared" ref="H268:H311" si="12">$H$11*C268</f>
        <v>118173.88255178236</v>
      </c>
      <c r="I268" s="325">
        <f t="shared" ref="I268:I311" si="13">F268+H268+G268</f>
        <v>120493.27755178236</v>
      </c>
    </row>
    <row r="269" spans="1:9" x14ac:dyDescent="0.25">
      <c r="A269" s="38">
        <f>Données!A263</f>
        <v>5863</v>
      </c>
      <c r="B269" s="171" t="str">
        <f>Données!B263</f>
        <v>Vinzel</v>
      </c>
      <c r="C269" s="31">
        <f>VPI!R263</f>
        <v>21922.221840386148</v>
      </c>
      <c r="D269" s="8">
        <f>Données!N263</f>
        <v>23922.95</v>
      </c>
      <c r="E269" s="239">
        <f>Données!O263+Données!P263+Données!R263</f>
        <v>100625.9</v>
      </c>
      <c r="F269" s="512">
        <f t="shared" ref="F269:F312" si="14">D269*$D$11+E269*$E$11</f>
        <v>57489.834999999999</v>
      </c>
      <c r="G269" s="512">
        <f>Ecrêtage!M263</f>
        <v>59517.434881652567</v>
      </c>
      <c r="H269" s="513">
        <f t="shared" si="12"/>
        <v>320069.60354556772</v>
      </c>
      <c r="I269" s="325">
        <f t="shared" si="13"/>
        <v>437076.87342722033</v>
      </c>
    </row>
    <row r="270" spans="1:9" x14ac:dyDescent="0.25">
      <c r="A270" s="38">
        <f>Données!A264</f>
        <v>5871</v>
      </c>
      <c r="B270" s="171" t="str">
        <f>Données!B264</f>
        <v>L'Abbaye</v>
      </c>
      <c r="C270" s="31">
        <f>VPI!R264</f>
        <v>49484.284679945325</v>
      </c>
      <c r="D270" s="8">
        <f>Données!N264</f>
        <v>757257.95</v>
      </c>
      <c r="E270" s="239">
        <f>Données!O264+Données!P264+Données!R264</f>
        <v>266679.7</v>
      </c>
      <c r="F270" s="512">
        <f t="shared" si="14"/>
        <v>360517.23499999999</v>
      </c>
      <c r="G270" s="512">
        <f>Ecrêtage!M264</f>
        <v>0</v>
      </c>
      <c r="H270" s="513">
        <f t="shared" si="12"/>
        <v>722482.21437426738</v>
      </c>
      <c r="I270" s="325">
        <f t="shared" si="13"/>
        <v>1082999.4493742674</v>
      </c>
    </row>
    <row r="271" spans="1:9" x14ac:dyDescent="0.25">
      <c r="A271" s="38">
        <f>Données!A265</f>
        <v>5872</v>
      </c>
      <c r="B271" s="171" t="str">
        <f>Données!B265</f>
        <v>Le Chenit</v>
      </c>
      <c r="C271" s="31">
        <f>VPI!R265</f>
        <v>234098.82523259622</v>
      </c>
      <c r="D271" s="8">
        <f>Données!N265</f>
        <v>6124106.2999999998</v>
      </c>
      <c r="E271" s="239">
        <f>Données!O265+Données!P265+Données!R265</f>
        <v>3941071.3000000003</v>
      </c>
      <c r="F271" s="512">
        <f t="shared" si="14"/>
        <v>3807767.54</v>
      </c>
      <c r="G271" s="512">
        <f>Ecrêtage!M265</f>
        <v>290686.98547819001</v>
      </c>
      <c r="H271" s="513">
        <f t="shared" si="12"/>
        <v>3417897.999948367</v>
      </c>
      <c r="I271" s="325">
        <f t="shared" si="13"/>
        <v>7516352.5254265564</v>
      </c>
    </row>
    <row r="272" spans="1:9" x14ac:dyDescent="0.25">
      <c r="A272" s="38">
        <f>Données!A266</f>
        <v>5873</v>
      </c>
      <c r="B272" s="171" t="str">
        <f>Données!B266</f>
        <v>Le Lieu</v>
      </c>
      <c r="C272" s="31">
        <f>VPI!R266</f>
        <v>30412.639654224466</v>
      </c>
      <c r="D272" s="8">
        <f>Données!N266</f>
        <v>1061298.2</v>
      </c>
      <c r="E272" s="239">
        <f>Données!O266+Données!P266+Données!R266</f>
        <v>103630.05</v>
      </c>
      <c r="F272" s="512">
        <f t="shared" si="14"/>
        <v>370204.48499999999</v>
      </c>
      <c r="G272" s="512">
        <f>Ecrêtage!M266</f>
        <v>0</v>
      </c>
      <c r="H272" s="513">
        <f t="shared" si="12"/>
        <v>444031.70389276452</v>
      </c>
      <c r="I272" s="325">
        <f t="shared" si="13"/>
        <v>814236.1888927645</v>
      </c>
    </row>
    <row r="273" spans="1:9" x14ac:dyDescent="0.25">
      <c r="A273" s="38">
        <f>Données!A267</f>
        <v>5882</v>
      </c>
      <c r="B273" s="171" t="str">
        <f>Données!B267</f>
        <v>Chardonne</v>
      </c>
      <c r="C273" s="31">
        <f>VPI!R267</f>
        <v>178990.25503852809</v>
      </c>
      <c r="D273" s="8">
        <f>Données!N267</f>
        <v>11194.95</v>
      </c>
      <c r="E273" s="239">
        <f>Données!O267+Données!P267+Données!R267</f>
        <v>1235928.6499999999</v>
      </c>
      <c r="F273" s="512">
        <f t="shared" si="14"/>
        <v>621322.80999999994</v>
      </c>
      <c r="G273" s="512">
        <f>Ecrêtage!M267</f>
        <v>543879.60202091932</v>
      </c>
      <c r="H273" s="513">
        <f t="shared" si="12"/>
        <v>2613299.8920374317</v>
      </c>
      <c r="I273" s="325">
        <f t="shared" si="13"/>
        <v>3778502.3040583511</v>
      </c>
    </row>
    <row r="274" spans="1:9" x14ac:dyDescent="0.25">
      <c r="A274" s="38">
        <f>Données!A268</f>
        <v>5883</v>
      </c>
      <c r="B274" s="171" t="str">
        <f>Données!B268</f>
        <v>Corseaux</v>
      </c>
      <c r="C274" s="31">
        <f>VPI!R268</f>
        <v>167834.94979180559</v>
      </c>
      <c r="D274" s="8">
        <f>Données!N268</f>
        <v>0</v>
      </c>
      <c r="E274" s="239">
        <f>Données!O268+Données!P268+Données!R268</f>
        <v>855951.4</v>
      </c>
      <c r="F274" s="512">
        <f t="shared" si="14"/>
        <v>427975.7</v>
      </c>
      <c r="G274" s="512">
        <f>Ecrêtage!M268</f>
        <v>1146401.4091480612</v>
      </c>
      <c r="H274" s="513">
        <f t="shared" si="12"/>
        <v>2450429.8073469023</v>
      </c>
      <c r="I274" s="325">
        <f t="shared" si="13"/>
        <v>4024806.9164949637</v>
      </c>
    </row>
    <row r="275" spans="1:9" x14ac:dyDescent="0.25">
      <c r="A275" s="38">
        <f>Données!A269</f>
        <v>5884</v>
      </c>
      <c r="B275" s="171" t="str">
        <f>Données!B269</f>
        <v>Corsier-sur-Vevey</v>
      </c>
      <c r="C275" s="31">
        <f>VPI!R269</f>
        <v>122060.78000997694</v>
      </c>
      <c r="D275" s="8">
        <f>Données!N269</f>
        <v>471954.75</v>
      </c>
      <c r="E275" s="239">
        <f>Données!O269+Données!P269+Données!R269</f>
        <v>526763.94999999995</v>
      </c>
      <c r="F275" s="512">
        <f t="shared" si="14"/>
        <v>404968.39999999997</v>
      </c>
      <c r="G275" s="512">
        <f>Ecrêtage!M269</f>
        <v>0</v>
      </c>
      <c r="H275" s="513">
        <f t="shared" si="12"/>
        <v>1782116.1445544388</v>
      </c>
      <c r="I275" s="325">
        <f t="shared" si="13"/>
        <v>2187084.5445544389</v>
      </c>
    </row>
    <row r="276" spans="1:9" x14ac:dyDescent="0.25">
      <c r="A276" s="38">
        <f>Données!A270</f>
        <v>5885</v>
      </c>
      <c r="B276" s="171" t="str">
        <f>Données!B270</f>
        <v>Jongny</v>
      </c>
      <c r="C276" s="31">
        <f>VPI!R270</f>
        <v>85101.147065913159</v>
      </c>
      <c r="D276" s="8">
        <f>Données!N270</f>
        <v>2144.65</v>
      </c>
      <c r="E276" s="239">
        <f>Données!O270+Données!P270+Données!R270</f>
        <v>677743.3</v>
      </c>
      <c r="F276" s="512">
        <f t="shared" si="14"/>
        <v>339515.04500000004</v>
      </c>
      <c r="G276" s="512">
        <f>Ecrêtage!M270</f>
        <v>111123.55551829108</v>
      </c>
      <c r="H276" s="513">
        <f t="shared" si="12"/>
        <v>1242496.796217992</v>
      </c>
      <c r="I276" s="325">
        <f t="shared" si="13"/>
        <v>1693135.3967362829</v>
      </c>
    </row>
    <row r="277" spans="1:9" x14ac:dyDescent="0.25">
      <c r="A277" s="38">
        <f>Données!A271</f>
        <v>5886</v>
      </c>
      <c r="B277" s="171" t="str">
        <f>Données!B271</f>
        <v>Montreux</v>
      </c>
      <c r="C277" s="31">
        <f>VPI!R271</f>
        <v>1096049.6436560636</v>
      </c>
      <c r="D277" s="8">
        <f>Données!N271</f>
        <v>1113954.95</v>
      </c>
      <c r="E277" s="239">
        <f>Données!O271+Données!P271+Données!R271</f>
        <v>21424070.649999999</v>
      </c>
      <c r="F277" s="512">
        <f t="shared" si="14"/>
        <v>11046221.809999999</v>
      </c>
      <c r="G277" s="512">
        <f>Ecrêtage!M271</f>
        <v>0</v>
      </c>
      <c r="H277" s="513">
        <f t="shared" si="12"/>
        <v>16002583.016698351</v>
      </c>
      <c r="I277" s="325">
        <f t="shared" si="13"/>
        <v>27048804.826698348</v>
      </c>
    </row>
    <row r="278" spans="1:9" x14ac:dyDescent="0.25">
      <c r="A278" s="38">
        <f>Données!A272</f>
        <v>5889</v>
      </c>
      <c r="B278" s="171" t="str">
        <f>Données!B272</f>
        <v>La Tour-de-Peilz</v>
      </c>
      <c r="C278" s="31">
        <f>VPI!R272</f>
        <v>674464.00637600874</v>
      </c>
      <c r="D278" s="8">
        <f>Données!N272</f>
        <v>213995.45</v>
      </c>
      <c r="E278" s="239">
        <f>Données!O272+Données!P272+Données!R272</f>
        <v>3279709.2</v>
      </c>
      <c r="F278" s="512">
        <f t="shared" si="14"/>
        <v>1704053.2350000001</v>
      </c>
      <c r="G278" s="512">
        <f>Ecrêtage!M272</f>
        <v>1519353.1330512022</v>
      </c>
      <c r="H278" s="513">
        <f t="shared" si="12"/>
        <v>9847333.3906706721</v>
      </c>
      <c r="I278" s="325">
        <f t="shared" si="13"/>
        <v>13070739.758721873</v>
      </c>
    </row>
    <row r="279" spans="1:9" x14ac:dyDescent="0.25">
      <c r="A279" s="38">
        <f>Données!A273</f>
        <v>5890</v>
      </c>
      <c r="B279" s="171" t="str">
        <f>Données!B273</f>
        <v>Vevey</v>
      </c>
      <c r="C279" s="31">
        <f>VPI!R273</f>
        <v>858874.45047675935</v>
      </c>
      <c r="D279" s="8">
        <f>Données!N273</f>
        <v>928887.1</v>
      </c>
      <c r="E279" s="239">
        <f>Données!O273+Données!P273+Données!R273</f>
        <v>6225358</v>
      </c>
      <c r="F279" s="512">
        <f t="shared" si="14"/>
        <v>3391345.13</v>
      </c>
      <c r="G279" s="512">
        <f>Ecrêtage!M273</f>
        <v>0</v>
      </c>
      <c r="H279" s="513">
        <f t="shared" si="12"/>
        <v>12539769.319963761</v>
      </c>
      <c r="I279" s="325">
        <f t="shared" si="13"/>
        <v>15931114.44996376</v>
      </c>
    </row>
    <row r="280" spans="1:9" x14ac:dyDescent="0.25">
      <c r="A280" s="38">
        <f>Données!A274</f>
        <v>5891</v>
      </c>
      <c r="B280" s="171" t="str">
        <f>Données!B274</f>
        <v>Veytaux</v>
      </c>
      <c r="C280" s="31">
        <f>VPI!R274</f>
        <v>43940.417859726374</v>
      </c>
      <c r="D280" s="8">
        <f>Données!N274</f>
        <v>413.25</v>
      </c>
      <c r="E280" s="239">
        <f>Données!O274+Données!P274+Données!R274</f>
        <v>314506.15000000002</v>
      </c>
      <c r="F280" s="512">
        <f t="shared" si="14"/>
        <v>157377.05000000002</v>
      </c>
      <c r="G280" s="512">
        <f>Ecrêtage!M274</f>
        <v>0</v>
      </c>
      <c r="H280" s="513">
        <f t="shared" si="12"/>
        <v>641540.45271450805</v>
      </c>
      <c r="I280" s="325">
        <f t="shared" si="13"/>
        <v>798917.5027145081</v>
      </c>
    </row>
    <row r="281" spans="1:9" x14ac:dyDescent="0.25">
      <c r="A281" s="38">
        <f>Données!A275</f>
        <v>5892</v>
      </c>
      <c r="B281" s="171" t="str">
        <f>Données!B275</f>
        <v>Blonay-Saint-Légier</v>
      </c>
      <c r="C281" s="31">
        <f>VPI!R275</f>
        <v>693176.17061999615</v>
      </c>
      <c r="D281" s="8">
        <f>Données!N275</f>
        <v>289237.25</v>
      </c>
      <c r="E281" s="239">
        <f>Données!O275+Données!P275+Données!R275</f>
        <v>5598079.9800000004</v>
      </c>
      <c r="F281" s="512">
        <f t="shared" si="14"/>
        <v>2885811.165</v>
      </c>
      <c r="G281" s="512">
        <f>Ecrêtage!M275</f>
        <v>2365958.5661147749</v>
      </c>
      <c r="H281" s="513">
        <f t="shared" si="12"/>
        <v>10120535.397048466</v>
      </c>
      <c r="I281" s="325">
        <f t="shared" si="13"/>
        <v>15372305.128163241</v>
      </c>
    </row>
    <row r="282" spans="1:9" x14ac:dyDescent="0.25">
      <c r="A282" s="38">
        <f>Données!A276</f>
        <v>5902</v>
      </c>
      <c r="B282" s="171" t="str">
        <f>Données!B276</f>
        <v>Belmont-sur-Yverdon</v>
      </c>
      <c r="C282" s="31">
        <f>VPI!R276</f>
        <v>11718.07192496429</v>
      </c>
      <c r="D282" s="8">
        <f>Données!N276</f>
        <v>0</v>
      </c>
      <c r="E282" s="239">
        <f>Données!O276+Données!P276+Données!R276</f>
        <v>168540.3</v>
      </c>
      <c r="F282" s="512">
        <f t="shared" si="14"/>
        <v>84270.15</v>
      </c>
      <c r="G282" s="512">
        <f>Ecrêtage!M276</f>
        <v>0</v>
      </c>
      <c r="H282" s="513">
        <f t="shared" si="12"/>
        <v>171086.61077556649</v>
      </c>
      <c r="I282" s="325">
        <f t="shared" si="13"/>
        <v>255356.76077556648</v>
      </c>
    </row>
    <row r="283" spans="1:9" x14ac:dyDescent="0.25">
      <c r="A283" s="38">
        <f>Données!A277</f>
        <v>5903</v>
      </c>
      <c r="B283" s="171" t="str">
        <f>Données!B277</f>
        <v>Bioley-Magnoux</v>
      </c>
      <c r="C283" s="31">
        <f>VPI!R277</f>
        <v>5023.7843849206347</v>
      </c>
      <c r="D283" s="8">
        <f>Données!N277</f>
        <v>24639.1</v>
      </c>
      <c r="E283" s="239">
        <f>Données!O277+Données!P277+Données!R277</f>
        <v>7115.5</v>
      </c>
      <c r="F283" s="512">
        <f t="shared" si="14"/>
        <v>10949.48</v>
      </c>
      <c r="G283" s="512">
        <f>Ecrêtage!M277</f>
        <v>0</v>
      </c>
      <c r="H283" s="513">
        <f t="shared" si="12"/>
        <v>73348.435577715965</v>
      </c>
      <c r="I283" s="325">
        <f t="shared" si="13"/>
        <v>84297.915577715961</v>
      </c>
    </row>
    <row r="284" spans="1:9" x14ac:dyDescent="0.25">
      <c r="A284" s="38">
        <f>Données!A278</f>
        <v>5904</v>
      </c>
      <c r="B284" s="171" t="str">
        <f>Données!B278</f>
        <v>Chamblon</v>
      </c>
      <c r="C284" s="31">
        <f>VPI!R278</f>
        <v>21692.89514545034</v>
      </c>
      <c r="D284" s="8">
        <f>Données!N278</f>
        <v>34103.599999999999</v>
      </c>
      <c r="E284" s="239">
        <f>Données!O278+Données!P278+Données!R278</f>
        <v>72454.3</v>
      </c>
      <c r="F284" s="512">
        <f t="shared" si="14"/>
        <v>46458.23</v>
      </c>
      <c r="G284" s="512">
        <f>Ecrêtage!M278</f>
        <v>0</v>
      </c>
      <c r="H284" s="513">
        <f t="shared" si="12"/>
        <v>316721.37977222295</v>
      </c>
      <c r="I284" s="325">
        <f t="shared" si="13"/>
        <v>363179.60977222293</v>
      </c>
    </row>
    <row r="285" spans="1:9" x14ac:dyDescent="0.25">
      <c r="A285" s="38">
        <f>Données!A279</f>
        <v>5905</v>
      </c>
      <c r="B285" s="171" t="str">
        <f>Données!B279</f>
        <v>Champvent</v>
      </c>
      <c r="C285" s="31">
        <f>VPI!R279</f>
        <v>21633.757449586756</v>
      </c>
      <c r="D285" s="8">
        <f>Données!N279</f>
        <v>1903.55</v>
      </c>
      <c r="E285" s="239">
        <f>Données!O279+Données!P279+Données!R279</f>
        <v>141894.70000000001</v>
      </c>
      <c r="F285" s="512">
        <f t="shared" si="14"/>
        <v>71518.415000000008</v>
      </c>
      <c r="G285" s="512">
        <f>Ecrêtage!M279</f>
        <v>0</v>
      </c>
      <c r="H285" s="513">
        <f t="shared" si="12"/>
        <v>315857.95548031171</v>
      </c>
      <c r="I285" s="325">
        <f t="shared" si="13"/>
        <v>387376.37048031169</v>
      </c>
    </row>
    <row r="286" spans="1:9" x14ac:dyDescent="0.25">
      <c r="A286" s="38">
        <f>Données!A280</f>
        <v>5907</v>
      </c>
      <c r="B286" s="171" t="str">
        <f>Données!B280</f>
        <v>Chavannes-le-Chêne</v>
      </c>
      <c r="C286" s="31">
        <f>VPI!R280</f>
        <v>9890.8899187559018</v>
      </c>
      <c r="D286" s="8">
        <f>Données!N280</f>
        <v>7607.85</v>
      </c>
      <c r="E286" s="239">
        <f>Données!O280+Données!P280+Données!R280</f>
        <v>31732.800000000003</v>
      </c>
      <c r="F286" s="512">
        <f t="shared" si="14"/>
        <v>18148.755000000001</v>
      </c>
      <c r="G286" s="512">
        <f>Ecrêtage!M280</f>
        <v>0</v>
      </c>
      <c r="H286" s="513">
        <f t="shared" si="12"/>
        <v>144409.32301747435</v>
      </c>
      <c r="I286" s="325">
        <f t="shared" si="13"/>
        <v>162558.07801747436</v>
      </c>
    </row>
    <row r="287" spans="1:9" x14ac:dyDescent="0.25">
      <c r="A287" s="38">
        <f>Données!A281</f>
        <v>5908</v>
      </c>
      <c r="B287" s="171" t="str">
        <f>Données!B281</f>
        <v>Chêne-Pâquier</v>
      </c>
      <c r="C287" s="31">
        <f>VPI!R281</f>
        <v>6502.346088577403</v>
      </c>
      <c r="D287" s="8">
        <f>Données!N281</f>
        <v>4476.1000000000004</v>
      </c>
      <c r="E287" s="239">
        <f>Données!O281+Données!P281+Données!R281</f>
        <v>8757.5499999999993</v>
      </c>
      <c r="F287" s="512">
        <f t="shared" si="14"/>
        <v>5721.6049999999996</v>
      </c>
      <c r="G287" s="512">
        <f>Ecrêtage!M281</f>
        <v>0</v>
      </c>
      <c r="H287" s="513">
        <f t="shared" si="12"/>
        <v>94935.784786784323</v>
      </c>
      <c r="I287" s="325">
        <f t="shared" si="13"/>
        <v>100657.38978678432</v>
      </c>
    </row>
    <row r="288" spans="1:9" x14ac:dyDescent="0.25">
      <c r="A288" s="38">
        <f>Données!A282</f>
        <v>5909</v>
      </c>
      <c r="B288" s="171" t="str">
        <f>Données!B282</f>
        <v>Cheseaux-Noréaz</v>
      </c>
      <c r="C288" s="31">
        <f>VPI!R282</f>
        <v>39252.843107523055</v>
      </c>
      <c r="D288" s="8">
        <f>Données!N282</f>
        <v>8854.75</v>
      </c>
      <c r="E288" s="239">
        <f>Données!O282+Données!P282+Données!R282</f>
        <v>90809.9</v>
      </c>
      <c r="F288" s="512">
        <f t="shared" si="14"/>
        <v>48061.375</v>
      </c>
      <c r="G288" s="512">
        <f>Ecrêtage!M282</f>
        <v>67531.368638226486</v>
      </c>
      <c r="H288" s="513">
        <f t="shared" si="12"/>
        <v>573100.75698239414</v>
      </c>
      <c r="I288" s="325">
        <f t="shared" si="13"/>
        <v>688693.50062062067</v>
      </c>
    </row>
    <row r="289" spans="1:9" x14ac:dyDescent="0.25">
      <c r="A289" s="38">
        <f>Données!A283</f>
        <v>5910</v>
      </c>
      <c r="B289" s="171" t="str">
        <f>Données!B283</f>
        <v>Cronay</v>
      </c>
      <c r="C289" s="31">
        <f>VPI!R283</f>
        <v>9974.6879714090483</v>
      </c>
      <c r="D289" s="8">
        <f>Données!N283</f>
        <v>0</v>
      </c>
      <c r="E289" s="239">
        <f>Données!O283+Données!P283+Données!R283</f>
        <v>-10306.250000000004</v>
      </c>
      <c r="F289" s="512">
        <f t="shared" si="14"/>
        <v>-5153.1250000000018</v>
      </c>
      <c r="G289" s="512">
        <f>Ecrêtage!M283</f>
        <v>0</v>
      </c>
      <c r="H289" s="513">
        <f t="shared" si="12"/>
        <v>145632.79432826876</v>
      </c>
      <c r="I289" s="325">
        <f t="shared" si="13"/>
        <v>140479.66932826876</v>
      </c>
    </row>
    <row r="290" spans="1:9" x14ac:dyDescent="0.25">
      <c r="A290" s="38">
        <f>Données!A284</f>
        <v>5911</v>
      </c>
      <c r="B290" s="171" t="str">
        <f>Données!B284</f>
        <v>Cuarny</v>
      </c>
      <c r="C290" s="31">
        <f>VPI!R284</f>
        <v>6938.982891321557</v>
      </c>
      <c r="D290" s="8">
        <f>Données!N284</f>
        <v>1274</v>
      </c>
      <c r="E290" s="239">
        <f>Données!O284+Données!P284+Données!R284</f>
        <v>1237.2</v>
      </c>
      <c r="F290" s="512">
        <f t="shared" si="14"/>
        <v>1000.8</v>
      </c>
      <c r="G290" s="512">
        <f>Ecrêtage!M284</f>
        <v>0</v>
      </c>
      <c r="H290" s="513">
        <f t="shared" si="12"/>
        <v>101310.78497450544</v>
      </c>
      <c r="I290" s="325">
        <f t="shared" si="13"/>
        <v>102311.58497450544</v>
      </c>
    </row>
    <row r="291" spans="1:9" x14ac:dyDescent="0.25">
      <c r="A291" s="38">
        <f>Données!A285</f>
        <v>5912</v>
      </c>
      <c r="B291" s="171" t="str">
        <f>Données!B285</f>
        <v>Démoret</v>
      </c>
      <c r="C291" s="31">
        <f>VPI!R285</f>
        <v>4068.1026902439612</v>
      </c>
      <c r="D291" s="8">
        <f>Données!N285</f>
        <v>2837.6</v>
      </c>
      <c r="E291" s="239">
        <f>Données!O285+Données!P285+Données!R285</f>
        <v>21055.3</v>
      </c>
      <c r="F291" s="512">
        <f t="shared" si="14"/>
        <v>11378.93</v>
      </c>
      <c r="G291" s="512">
        <f>Ecrêtage!M285</f>
        <v>0</v>
      </c>
      <c r="H291" s="513">
        <f t="shared" si="12"/>
        <v>59395.257685527868</v>
      </c>
      <c r="I291" s="325">
        <f t="shared" si="13"/>
        <v>70774.187685527868</v>
      </c>
    </row>
    <row r="292" spans="1:9" x14ac:dyDescent="0.25">
      <c r="A292" s="38">
        <f>Données!A286</f>
        <v>5913</v>
      </c>
      <c r="B292" s="171" t="str">
        <f>Données!B286</f>
        <v>Donneloye</v>
      </c>
      <c r="C292" s="31">
        <f>VPI!R286</f>
        <v>19877.397448309883</v>
      </c>
      <c r="D292" s="8">
        <f>Données!N286</f>
        <v>30586.9</v>
      </c>
      <c r="E292" s="239">
        <f>Données!O286+Données!P286+Données!R286</f>
        <v>73772.7</v>
      </c>
      <c r="F292" s="512">
        <f t="shared" si="14"/>
        <v>46062.42</v>
      </c>
      <c r="G292" s="512">
        <f>Ecrêtage!M286</f>
        <v>0</v>
      </c>
      <c r="H292" s="513">
        <f t="shared" si="12"/>
        <v>290214.68567923945</v>
      </c>
      <c r="I292" s="325">
        <f t="shared" si="13"/>
        <v>336277.10567923944</v>
      </c>
    </row>
    <row r="293" spans="1:9" x14ac:dyDescent="0.25">
      <c r="A293" s="38">
        <f>Données!A287</f>
        <v>5914</v>
      </c>
      <c r="B293" s="171" t="str">
        <f>Données!B287</f>
        <v>Ependes</v>
      </c>
      <c r="C293" s="31">
        <f>VPI!R287</f>
        <v>10654.485759200121</v>
      </c>
      <c r="D293" s="8">
        <f>Données!N287</f>
        <v>4770.75</v>
      </c>
      <c r="E293" s="239">
        <f>Données!O287+Données!P287+Données!R287</f>
        <v>45711.1</v>
      </c>
      <c r="F293" s="512">
        <f t="shared" si="14"/>
        <v>24286.774999999998</v>
      </c>
      <c r="G293" s="512">
        <f>Ecrêtage!M287</f>
        <v>0</v>
      </c>
      <c r="H293" s="513">
        <f t="shared" si="12"/>
        <v>155558.00218418971</v>
      </c>
      <c r="I293" s="325">
        <f t="shared" si="13"/>
        <v>179844.7771841897</v>
      </c>
    </row>
    <row r="294" spans="1:9" x14ac:dyDescent="0.25">
      <c r="A294" s="38">
        <f>Données!A288</f>
        <v>5919</v>
      </c>
      <c r="B294" s="171" t="str">
        <f>Données!B288</f>
        <v>Mathod</v>
      </c>
      <c r="C294" s="31">
        <f>VPI!R288</f>
        <v>21548.298328397002</v>
      </c>
      <c r="D294" s="8">
        <f>Données!N288</f>
        <v>11500.6</v>
      </c>
      <c r="E294" s="239">
        <f>Données!O288+Données!P288+Données!R288</f>
        <v>266140.25</v>
      </c>
      <c r="F294" s="512">
        <f t="shared" si="14"/>
        <v>136520.30499999999</v>
      </c>
      <c r="G294" s="512">
        <f>Ecrêtage!M288</f>
        <v>0</v>
      </c>
      <c r="H294" s="513">
        <f t="shared" si="12"/>
        <v>314610.23217755021</v>
      </c>
      <c r="I294" s="325">
        <f t="shared" si="13"/>
        <v>451130.5371775502</v>
      </c>
    </row>
    <row r="295" spans="1:9" x14ac:dyDescent="0.25">
      <c r="A295" s="38">
        <f>Données!A289</f>
        <v>5921</v>
      </c>
      <c r="B295" s="171" t="str">
        <f>Données!B289</f>
        <v>Molondin</v>
      </c>
      <c r="C295" s="31">
        <f>VPI!R289</f>
        <v>5680.8817283950611</v>
      </c>
      <c r="D295" s="8">
        <f>Données!N289</f>
        <v>1548.45</v>
      </c>
      <c r="E295" s="239">
        <f>Données!O289+Données!P289+Données!R289</f>
        <v>22963.55</v>
      </c>
      <c r="F295" s="512">
        <f t="shared" si="14"/>
        <v>11946.31</v>
      </c>
      <c r="G295" s="512">
        <f>Ecrêtage!M289</f>
        <v>0</v>
      </c>
      <c r="H295" s="513">
        <f t="shared" si="12"/>
        <v>82942.211598595837</v>
      </c>
      <c r="I295" s="325">
        <f t="shared" si="13"/>
        <v>94888.521598595835</v>
      </c>
    </row>
    <row r="296" spans="1:9" x14ac:dyDescent="0.25">
      <c r="A296" s="38">
        <f>Données!A290</f>
        <v>5922</v>
      </c>
      <c r="B296" s="171" t="str">
        <f>Données!B290</f>
        <v>Montagny-près-Yverdon</v>
      </c>
      <c r="C296" s="31">
        <f>VPI!R290</f>
        <v>33186.709071572135</v>
      </c>
      <c r="D296" s="8">
        <f>Données!N290</f>
        <v>275454.95</v>
      </c>
      <c r="E296" s="239">
        <f>Données!O290+Données!P290+Données!R290</f>
        <v>125447.55</v>
      </c>
      <c r="F296" s="512">
        <f t="shared" si="14"/>
        <v>145360.26</v>
      </c>
      <c r="G296" s="512">
        <f>Ecrêtage!M290</f>
        <v>0</v>
      </c>
      <c r="H296" s="513">
        <f t="shared" si="12"/>
        <v>484533.77093154564</v>
      </c>
      <c r="I296" s="325">
        <f t="shared" si="13"/>
        <v>629894.03093154565</v>
      </c>
    </row>
    <row r="297" spans="1:9" x14ac:dyDescent="0.25">
      <c r="A297" s="38">
        <f>Données!A291</f>
        <v>5923</v>
      </c>
      <c r="B297" s="171" t="str">
        <f>Données!B291</f>
        <v>Oppens</v>
      </c>
      <c r="C297" s="31">
        <f>VPI!R291</f>
        <v>4798.3716723042917</v>
      </c>
      <c r="D297" s="8">
        <f>Données!N291</f>
        <v>19955.7</v>
      </c>
      <c r="E297" s="239">
        <f>Données!O291+Données!P291+Données!R291</f>
        <v>20208.849999999999</v>
      </c>
      <c r="F297" s="512">
        <f t="shared" si="14"/>
        <v>16091.134999999998</v>
      </c>
      <c r="G297" s="512">
        <f>Ecrêtage!M291</f>
        <v>0</v>
      </c>
      <c r="H297" s="513">
        <f t="shared" si="12"/>
        <v>70057.356868333969</v>
      </c>
      <c r="I297" s="325">
        <f t="shared" si="13"/>
        <v>86148.491868333964</v>
      </c>
    </row>
    <row r="298" spans="1:9" x14ac:dyDescent="0.25">
      <c r="A298" s="38">
        <f>Données!A292</f>
        <v>5924</v>
      </c>
      <c r="B298" s="171" t="str">
        <f>Données!B292</f>
        <v>Orges</v>
      </c>
      <c r="C298" s="31">
        <f>VPI!R292</f>
        <v>12515.741993747673</v>
      </c>
      <c r="D298" s="8">
        <f>Données!N292</f>
        <v>16319.85</v>
      </c>
      <c r="E298" s="239">
        <f>Données!O292+Données!P292+Données!R292</f>
        <v>169123.20000000001</v>
      </c>
      <c r="F298" s="512">
        <f t="shared" si="14"/>
        <v>89457.555000000008</v>
      </c>
      <c r="G298" s="512">
        <f>Ecrêtage!M292</f>
        <v>0</v>
      </c>
      <c r="H298" s="513">
        <f t="shared" si="12"/>
        <v>182732.78170361172</v>
      </c>
      <c r="I298" s="325">
        <f t="shared" si="13"/>
        <v>272190.33670361171</v>
      </c>
    </row>
    <row r="299" spans="1:9" x14ac:dyDescent="0.25">
      <c r="A299" s="38">
        <f>Données!A293</f>
        <v>5925</v>
      </c>
      <c r="B299" s="171" t="str">
        <f>Données!B293</f>
        <v>Orzens</v>
      </c>
      <c r="C299" s="31">
        <f>VPI!R293</f>
        <v>5885.1778481012652</v>
      </c>
      <c r="D299" s="8">
        <f>Données!N293</f>
        <v>7684.4</v>
      </c>
      <c r="E299" s="239">
        <f>Données!O293+Données!P293+Données!R293</f>
        <v>132355.25</v>
      </c>
      <c r="F299" s="512">
        <f t="shared" si="14"/>
        <v>68482.945000000007</v>
      </c>
      <c r="G299" s="512">
        <f>Ecrêtage!M293</f>
        <v>0</v>
      </c>
      <c r="H299" s="513">
        <f t="shared" si="12"/>
        <v>85924.983076612712</v>
      </c>
      <c r="I299" s="325">
        <f t="shared" si="13"/>
        <v>154407.9280766127</v>
      </c>
    </row>
    <row r="300" spans="1:9" x14ac:dyDescent="0.25">
      <c r="A300" s="38">
        <f>Données!A294</f>
        <v>5926</v>
      </c>
      <c r="B300" s="171" t="str">
        <f>Données!B294</f>
        <v>Pomy</v>
      </c>
      <c r="C300" s="31">
        <f>VPI!R294</f>
        <v>27361.56181889947</v>
      </c>
      <c r="D300" s="8">
        <f>Données!N294</f>
        <v>11494.6</v>
      </c>
      <c r="E300" s="239">
        <f>Données!O294+Données!P294+Données!R294</f>
        <v>170992.90000000002</v>
      </c>
      <c r="F300" s="512">
        <f t="shared" si="14"/>
        <v>88944.830000000016</v>
      </c>
      <c r="G300" s="512">
        <f>Ecrêtage!M294</f>
        <v>0</v>
      </c>
      <c r="H300" s="513">
        <f t="shared" si="12"/>
        <v>399485.24869085243</v>
      </c>
      <c r="I300" s="325">
        <f t="shared" si="13"/>
        <v>488430.07869085245</v>
      </c>
    </row>
    <row r="301" spans="1:9" x14ac:dyDescent="0.25">
      <c r="A301" s="38">
        <f>Données!A295</f>
        <v>5928</v>
      </c>
      <c r="B301" s="171" t="str">
        <f>Données!B295</f>
        <v>Rovray</v>
      </c>
      <c r="C301" s="31">
        <f>VPI!R295</f>
        <v>5562.4200865991261</v>
      </c>
      <c r="D301" s="8">
        <f>Données!N295</f>
        <v>5029.1499999999996</v>
      </c>
      <c r="E301" s="239">
        <f>Données!O295+Données!P295+Données!R295</f>
        <v>4958.7000000000007</v>
      </c>
      <c r="F301" s="512">
        <f t="shared" si="14"/>
        <v>3988.0950000000003</v>
      </c>
      <c r="G301" s="512">
        <f>Ecrêtage!M295</f>
        <v>0</v>
      </c>
      <c r="H301" s="513">
        <f t="shared" si="12"/>
        <v>81212.643719890606</v>
      </c>
      <c r="I301" s="325">
        <f t="shared" si="13"/>
        <v>85200.738719890607</v>
      </c>
    </row>
    <row r="302" spans="1:9" x14ac:dyDescent="0.25">
      <c r="A302" s="38">
        <f>Données!A296</f>
        <v>5929</v>
      </c>
      <c r="B302" s="171" t="str">
        <f>Données!B296</f>
        <v>Suchy</v>
      </c>
      <c r="C302" s="31">
        <f>VPI!R296</f>
        <v>19817.928233868191</v>
      </c>
      <c r="D302" s="8">
        <f>Données!N296</f>
        <v>10330.75</v>
      </c>
      <c r="E302" s="239">
        <f>Données!O296+Données!P296+Données!R296</f>
        <v>89830.5</v>
      </c>
      <c r="F302" s="512">
        <f t="shared" si="14"/>
        <v>48014.474999999999</v>
      </c>
      <c r="G302" s="512">
        <f>Ecrêtage!M296</f>
        <v>0</v>
      </c>
      <c r="H302" s="513">
        <f t="shared" si="12"/>
        <v>289346.42113798513</v>
      </c>
      <c r="I302" s="325">
        <f t="shared" si="13"/>
        <v>337360.89613798511</v>
      </c>
    </row>
    <row r="303" spans="1:9" x14ac:dyDescent="0.25">
      <c r="A303" s="38">
        <f>Données!A297</f>
        <v>5930</v>
      </c>
      <c r="B303" s="171" t="str">
        <f>Données!B297</f>
        <v>Suscévaz</v>
      </c>
      <c r="C303" s="31">
        <f>VPI!R297</f>
        <v>5767.7688822867358</v>
      </c>
      <c r="D303" s="8">
        <f>Données!N297</f>
        <v>3787.4</v>
      </c>
      <c r="E303" s="239">
        <f>Données!O297+Données!P297+Données!R297</f>
        <v>2767.25</v>
      </c>
      <c r="F303" s="512">
        <f t="shared" si="14"/>
        <v>2519.8450000000003</v>
      </c>
      <c r="G303" s="512">
        <f>Ecrêtage!M297</f>
        <v>0</v>
      </c>
      <c r="H303" s="513">
        <f t="shared" si="12"/>
        <v>84210.784515236897</v>
      </c>
      <c r="I303" s="325">
        <f t="shared" si="13"/>
        <v>86730.629515236898</v>
      </c>
    </row>
    <row r="304" spans="1:9" x14ac:dyDescent="0.25">
      <c r="A304" s="38">
        <f>Données!A298</f>
        <v>5931</v>
      </c>
      <c r="B304" s="171" t="str">
        <f>Données!B298</f>
        <v>Treycovagnes</v>
      </c>
      <c r="C304" s="31">
        <f>VPI!R298</f>
        <v>15378.452365711239</v>
      </c>
      <c r="D304" s="8">
        <f>Données!N298</f>
        <v>24166.85</v>
      </c>
      <c r="E304" s="239">
        <f>Données!O298+Données!P298+Données!R298</f>
        <v>81087.45</v>
      </c>
      <c r="F304" s="512">
        <f t="shared" si="14"/>
        <v>47793.78</v>
      </c>
      <c r="G304" s="512">
        <f>Ecrêtage!M298</f>
        <v>0</v>
      </c>
      <c r="H304" s="513">
        <f t="shared" si="12"/>
        <v>224529.02756278709</v>
      </c>
      <c r="I304" s="325">
        <f t="shared" si="13"/>
        <v>272322.80756278709</v>
      </c>
    </row>
    <row r="305" spans="1:9" x14ac:dyDescent="0.25">
      <c r="A305" s="38">
        <f>Données!A299</f>
        <v>5932</v>
      </c>
      <c r="B305" s="171" t="str">
        <f>Données!B299</f>
        <v>Ursins</v>
      </c>
      <c r="C305" s="31">
        <f>VPI!R299</f>
        <v>6819.2739438524613</v>
      </c>
      <c r="D305" s="8">
        <f>Données!N299</f>
        <v>0</v>
      </c>
      <c r="E305" s="239">
        <f>Données!O299+Données!P299+Données!R299</f>
        <v>0</v>
      </c>
      <c r="F305" s="512">
        <f t="shared" si="14"/>
        <v>0</v>
      </c>
      <c r="G305" s="512">
        <f>Ecrêtage!M299</f>
        <v>0</v>
      </c>
      <c r="H305" s="513">
        <f t="shared" si="12"/>
        <v>99563.00613911821</v>
      </c>
      <c r="I305" s="325">
        <f t="shared" si="13"/>
        <v>99563.00613911821</v>
      </c>
    </row>
    <row r="306" spans="1:9" x14ac:dyDescent="0.25">
      <c r="A306" s="38">
        <f>Données!A300</f>
        <v>5933</v>
      </c>
      <c r="B306" s="171" t="str">
        <f>Données!B300</f>
        <v>Valeyres-sous-Montagny</v>
      </c>
      <c r="C306" s="31">
        <f>VPI!R300</f>
        <v>22563.405559232429</v>
      </c>
      <c r="D306" s="8">
        <f>Données!N300</f>
        <v>17913.95</v>
      </c>
      <c r="E306" s="239">
        <f>Données!O300+Données!P300+Données!R300</f>
        <v>62907.15</v>
      </c>
      <c r="F306" s="512">
        <f t="shared" si="14"/>
        <v>36827.760000000002</v>
      </c>
      <c r="G306" s="512">
        <f>Ecrêtage!M300</f>
        <v>0</v>
      </c>
      <c r="H306" s="513">
        <f t="shared" si="12"/>
        <v>329431.03689777158</v>
      </c>
      <c r="I306" s="325">
        <f t="shared" si="13"/>
        <v>366258.79689777159</v>
      </c>
    </row>
    <row r="307" spans="1:9" x14ac:dyDescent="0.25">
      <c r="A307" s="38">
        <f>Données!A301</f>
        <v>5934</v>
      </c>
      <c r="B307" s="171" t="str">
        <f>Données!B301</f>
        <v>Valeyres-sous-Ursins</v>
      </c>
      <c r="C307" s="31">
        <f>VPI!R301</f>
        <v>7577.6382278481005</v>
      </c>
      <c r="D307" s="8">
        <f>Données!N301</f>
        <v>5644.55</v>
      </c>
      <c r="E307" s="239">
        <f>Données!O301+Données!P301+Données!R301</f>
        <v>32359.850000000002</v>
      </c>
      <c r="F307" s="512">
        <f t="shared" si="14"/>
        <v>17873.29</v>
      </c>
      <c r="G307" s="512">
        <f>Ecrêtage!M301</f>
        <v>0</v>
      </c>
      <c r="H307" s="513">
        <f t="shared" si="12"/>
        <v>110635.30334917724</v>
      </c>
      <c r="I307" s="325">
        <f t="shared" si="13"/>
        <v>128508.59334917724</v>
      </c>
    </row>
    <row r="308" spans="1:9" x14ac:dyDescent="0.25">
      <c r="A308" s="38">
        <f>Données!A302</f>
        <v>5935</v>
      </c>
      <c r="B308" s="171" t="str">
        <f>Données!B302</f>
        <v>Villars-Epeney</v>
      </c>
      <c r="C308" s="31">
        <f>VPI!R302</f>
        <v>3928.0620213791694</v>
      </c>
      <c r="D308" s="8">
        <f>Données!N302</f>
        <v>0</v>
      </c>
      <c r="E308" s="239">
        <f>Données!O302+Données!P302+Données!R302</f>
        <v>28843.25</v>
      </c>
      <c r="F308" s="512">
        <f t="shared" si="14"/>
        <v>14421.625</v>
      </c>
      <c r="G308" s="512">
        <f>Ecrêtage!M302</f>
        <v>0</v>
      </c>
      <c r="H308" s="513">
        <f t="shared" si="12"/>
        <v>57350.630927794969</v>
      </c>
      <c r="I308" s="325">
        <f t="shared" si="13"/>
        <v>71772.255927794962</v>
      </c>
    </row>
    <row r="309" spans="1:9" x14ac:dyDescent="0.25">
      <c r="A309" s="38">
        <f>Données!A303</f>
        <v>5937</v>
      </c>
      <c r="B309" s="171" t="str">
        <f>Données!B303</f>
        <v>Vugelles-La Mothe</v>
      </c>
      <c r="C309" s="31">
        <f>VPI!R303</f>
        <v>3185.9394172567995</v>
      </c>
      <c r="D309" s="8">
        <f>Données!N303</f>
        <v>0</v>
      </c>
      <c r="E309" s="239">
        <f>Données!O303+Données!P303+Données!R303</f>
        <v>16073.75</v>
      </c>
      <c r="F309" s="512">
        <f t="shared" si="14"/>
        <v>8036.875</v>
      </c>
      <c r="G309" s="512">
        <f>Ecrêtage!M303</f>
        <v>0</v>
      </c>
      <c r="H309" s="513">
        <f t="shared" si="12"/>
        <v>46515.466070277624</v>
      </c>
      <c r="I309" s="325">
        <f t="shared" si="13"/>
        <v>54552.341070277624</v>
      </c>
    </row>
    <row r="310" spans="1:9" x14ac:dyDescent="0.25">
      <c r="A310" s="38">
        <f>Données!A304</f>
        <v>5938</v>
      </c>
      <c r="B310" s="171" t="str">
        <f>Données!B304</f>
        <v>Yverdon-les-Bains</v>
      </c>
      <c r="C310" s="31">
        <f>VPI!R304</f>
        <v>794891.37980729085</v>
      </c>
      <c r="D310" s="8">
        <f>Données!N304</f>
        <v>4750911.95</v>
      </c>
      <c r="E310" s="239">
        <f>Données!O304+Données!P304+Données!R304</f>
        <v>3935181.25</v>
      </c>
      <c r="F310" s="512">
        <f t="shared" si="14"/>
        <v>3392864.21</v>
      </c>
      <c r="G310" s="512">
        <f>Ecrêtage!M304</f>
        <v>0</v>
      </c>
      <c r="H310" s="513">
        <f t="shared" si="12"/>
        <v>11605601.414360443</v>
      </c>
      <c r="I310" s="325">
        <f t="shared" si="13"/>
        <v>14998465.624360442</v>
      </c>
    </row>
    <row r="311" spans="1:9" x14ac:dyDescent="0.25">
      <c r="A311" s="38">
        <f>Données!A305</f>
        <v>5939</v>
      </c>
      <c r="B311" s="171" t="str">
        <f>Données!B305</f>
        <v>Yvonand</v>
      </c>
      <c r="C311" s="334">
        <f>VPI!R305</f>
        <v>92828.645169819079</v>
      </c>
      <c r="D311" s="228">
        <f>Données!N305</f>
        <v>170935.7</v>
      </c>
      <c r="E311" s="239">
        <f>Données!O305+Données!P305+Données!R305</f>
        <v>617127.5</v>
      </c>
      <c r="F311" s="512">
        <f t="shared" si="14"/>
        <v>359844.46</v>
      </c>
      <c r="G311" s="512">
        <f>Ecrêtage!M305</f>
        <v>0</v>
      </c>
      <c r="H311" s="513">
        <f t="shared" si="12"/>
        <v>1355320.089063236</v>
      </c>
      <c r="I311" s="325">
        <f t="shared" si="13"/>
        <v>1715164.549063236</v>
      </c>
    </row>
    <row r="312" spans="1:9" x14ac:dyDescent="0.25">
      <c r="A312" s="25"/>
      <c r="B312" s="175">
        <f>COUNTA(B12:B311)</f>
        <v>300</v>
      </c>
      <c r="C312" s="228">
        <f>SUM(C12:C311)</f>
        <v>37643741.933631986</v>
      </c>
      <c r="D312" s="218">
        <f>SUM(D12:D311)</f>
        <v>80161278.050000027</v>
      </c>
      <c r="E312" s="9">
        <f>SUM(E12:E311)</f>
        <v>242335879.76999992</v>
      </c>
      <c r="F312" s="514">
        <f t="shared" si="14"/>
        <v>145216323.29999995</v>
      </c>
      <c r="G312" s="514">
        <f>SUM(G12:G311)</f>
        <v>116115875.9460061</v>
      </c>
      <c r="H312" s="515">
        <f>SUM(H12:H311)</f>
        <v>549607500.75399399</v>
      </c>
      <c r="I312" s="331">
        <f>SUM(I12:I311)</f>
        <v>810939700.00000107</v>
      </c>
    </row>
    <row r="313" spans="1:9" x14ac:dyDescent="0.25">
      <c r="C313" s="52"/>
      <c r="D313" s="52"/>
      <c r="E313" s="52"/>
      <c r="F313" s="52"/>
    </row>
    <row r="314" spans="1:9" x14ac:dyDescent="0.25">
      <c r="A314" s="53"/>
      <c r="B314" s="54"/>
      <c r="C314" s="54"/>
      <c r="D314" s="35"/>
      <c r="E314" s="55"/>
      <c r="F314" s="14"/>
      <c r="G314" s="14"/>
      <c r="H314" s="14"/>
      <c r="I314" s="14"/>
    </row>
    <row r="315" spans="1:9" x14ac:dyDescent="0.25">
      <c r="F315" s="53"/>
      <c r="G315" s="53"/>
      <c r="H315" s="53"/>
      <c r="I315" s="53"/>
    </row>
    <row r="316" spans="1:9" x14ac:dyDescent="0.25">
      <c r="F316" s="54"/>
      <c r="G316" s="53"/>
      <c r="H316" s="53"/>
      <c r="I316" s="53"/>
    </row>
    <row r="317" spans="1:9" x14ac:dyDescent="0.25">
      <c r="F317" s="54"/>
      <c r="G317" s="53"/>
      <c r="H317" s="53"/>
      <c r="I317" s="53"/>
    </row>
    <row r="318" spans="1:9" x14ac:dyDescent="0.25">
      <c r="F318" s="54"/>
      <c r="G318" s="53"/>
      <c r="H318" s="53"/>
      <c r="I318" s="53"/>
    </row>
    <row r="319" spans="1:9" x14ac:dyDescent="0.25">
      <c r="F319" s="57"/>
      <c r="G319" s="53"/>
      <c r="H319" s="53"/>
      <c r="I319" s="53"/>
    </row>
    <row r="320" spans="1:9" x14ac:dyDescent="0.25">
      <c r="D320" s="15"/>
      <c r="E320" s="53"/>
      <c r="F320" s="53"/>
      <c r="G320" s="53"/>
      <c r="H320" s="53"/>
      <c r="I320" s="53"/>
    </row>
    <row r="321" spans="3:9" x14ac:dyDescent="0.25">
      <c r="C321" s="45"/>
      <c r="E321" s="53"/>
      <c r="F321" s="53"/>
      <c r="G321" s="53"/>
      <c r="H321" s="53"/>
      <c r="I321" s="53"/>
    </row>
    <row r="322" spans="3:9" x14ac:dyDescent="0.25">
      <c r="E322" s="53"/>
      <c r="F322" s="53"/>
      <c r="G322" s="53"/>
      <c r="H322" s="53"/>
      <c r="I322" s="53"/>
    </row>
    <row r="323" spans="3:9" x14ac:dyDescent="0.25">
      <c r="E323" s="53"/>
      <c r="F323" s="53"/>
      <c r="G323" s="53"/>
      <c r="H323" s="53"/>
      <c r="I323" s="53"/>
    </row>
    <row r="324" spans="3:9" x14ac:dyDescent="0.25">
      <c r="E324" s="53"/>
      <c r="F324" s="53"/>
      <c r="G324" s="53"/>
      <c r="H324" s="53"/>
      <c r="I324" s="53"/>
    </row>
  </sheetData>
  <sheetProtection sheet="1" objects="1" scenarios="1"/>
  <mergeCells count="11">
    <mergeCell ref="A4:C4"/>
    <mergeCell ref="A10:A11"/>
    <mergeCell ref="I10:I11"/>
    <mergeCell ref="G10:G11"/>
    <mergeCell ref="F10:F11"/>
    <mergeCell ref="C10:C11"/>
    <mergeCell ref="B10:B11"/>
    <mergeCell ref="A5:B5"/>
    <mergeCell ref="A6:B6"/>
    <mergeCell ref="A7:B7"/>
    <mergeCell ref="A8:B8"/>
  </mergeCells>
  <phoneticPr fontId="0" type="noConversion"/>
  <hyperlinks>
    <hyperlink ref="E1" location="VPI!A1" display="← Précédent" xr:uid="{BB8ECA03-C04E-4697-B3DD-619E0FB40F67}"/>
    <hyperlink ref="F1" location="'Table des matières'!A1" display="Table des             matières" xr:uid="{54975323-3646-4DA1-AA62-F5E15D2A8645}"/>
    <hyperlink ref="G1" location="Ecrêtage!A1" display="Suivant →" xr:uid="{6AA66BEC-28C4-4E9D-9CB2-8418588B3BDC}"/>
  </hyperlinks>
  <printOptions horizontalCentered="1"/>
  <pageMargins left="0" right="0" top="0" bottom="0" header="0.51181102362204722" footer="0.51181102362204722"/>
  <pageSetup paperSize="9" scale="73" orientation="portrait" horizontalDpi="4294967292" vertic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tint="0.79998168889431442"/>
  </sheetPr>
  <dimension ref="A1:T312"/>
  <sheetViews>
    <sheetView workbookViewId="0">
      <pane ySplit="5" topLeftCell="A6" activePane="bottomLeft" state="frozen"/>
      <selection pane="bottomLeft"/>
    </sheetView>
  </sheetViews>
  <sheetFormatPr baseColWidth="10" defaultColWidth="11" defaultRowHeight="15" x14ac:dyDescent="0.25"/>
  <cols>
    <col min="1" max="1" width="8.75" style="11" customWidth="1"/>
    <col min="2" max="2" width="23.625" style="11" customWidth="1"/>
    <col min="3" max="3" width="16.75" style="386" customWidth="1"/>
    <col min="4" max="4" width="11" style="11" customWidth="1"/>
    <col min="5" max="5" width="14.125" style="11" customWidth="1"/>
    <col min="6" max="6" width="10.875" style="45" customWidth="1"/>
    <col min="7" max="10" width="7" style="11" bestFit="1" customWidth="1"/>
    <col min="11" max="11" width="6.5" style="11" customWidth="1"/>
    <col min="12" max="12" width="9.625" style="11" customWidth="1"/>
    <col min="13" max="13" width="10.75" style="10" bestFit="1" customWidth="1"/>
    <col min="14" max="14" width="3.75" style="207" customWidth="1"/>
    <col min="15" max="15" width="12.625" style="207" customWidth="1"/>
    <col min="16" max="17" width="11" style="207" customWidth="1"/>
    <col min="18" max="18" width="11.25" style="207" customWidth="1"/>
    <col min="19" max="19" width="11" style="11"/>
    <col min="20" max="20" width="5.875" style="11" customWidth="1"/>
    <col min="21" max="16384" width="11" style="11"/>
  </cols>
  <sheetData>
    <row r="1" spans="1:20" s="284" customFormat="1" ht="29.1" customHeight="1" x14ac:dyDescent="0.4">
      <c r="A1" s="282" t="s">
        <v>555</v>
      </c>
      <c r="B1" s="283"/>
      <c r="C1" s="415" t="s">
        <v>409</v>
      </c>
      <c r="D1" s="315" t="s">
        <v>491</v>
      </c>
      <c r="E1" s="511" t="s">
        <v>410</v>
      </c>
      <c r="N1" s="285"/>
      <c r="O1" s="384"/>
      <c r="P1" s="382"/>
      <c r="Q1" s="382"/>
      <c r="R1" s="382"/>
      <c r="S1" s="382"/>
    </row>
    <row r="2" spans="1:20" s="220" customFormat="1" ht="15.75" customHeight="1" x14ac:dyDescent="0.25">
      <c r="A2" s="360" t="str">
        <f>Paramètres!B4</f>
        <v>Acomptes 2022</v>
      </c>
      <c r="B2" s="32"/>
      <c r="C2" s="385"/>
      <c r="D2" s="33"/>
      <c r="E2" s="33"/>
      <c r="F2" s="44"/>
      <c r="M2" s="10"/>
      <c r="N2" s="240"/>
      <c r="O2" s="382"/>
      <c r="P2" s="382"/>
      <c r="Q2" s="382"/>
      <c r="R2" s="382"/>
      <c r="S2" s="382"/>
    </row>
    <row r="3" spans="1:20" ht="15" customHeight="1" x14ac:dyDescent="0.25">
      <c r="G3" s="329">
        <f>$E$306*G5</f>
        <v>46.171644711924429</v>
      </c>
      <c r="H3" s="329">
        <f>$E$306*H5</f>
        <v>55.405973654309314</v>
      </c>
      <c r="I3" s="329">
        <f>$E$306*I5</f>
        <v>69.257467067886637</v>
      </c>
      <c r="J3" s="329">
        <f>$E$306*J5</f>
        <v>92.343289423848859</v>
      </c>
      <c r="K3" s="329">
        <f>$E$306*K5</f>
        <v>138.51493413577327</v>
      </c>
      <c r="O3" s="382"/>
      <c r="P3" s="382"/>
      <c r="Q3" s="382"/>
      <c r="R3" s="382"/>
      <c r="S3" s="382"/>
      <c r="T3" s="220"/>
    </row>
    <row r="4" spans="1:20" ht="37.5" customHeight="1" x14ac:dyDescent="0.25">
      <c r="A4" s="612" t="s">
        <v>44</v>
      </c>
      <c r="B4" s="612" t="s">
        <v>84</v>
      </c>
      <c r="C4" s="630" t="s">
        <v>428</v>
      </c>
      <c r="D4" s="631"/>
      <c r="E4" s="632"/>
      <c r="F4" s="627" t="s">
        <v>249</v>
      </c>
      <c r="G4" s="326">
        <f>Paramètres!B23</f>
        <v>0.2</v>
      </c>
      <c r="H4" s="326">
        <f>Paramètres!C23</f>
        <v>0.3</v>
      </c>
      <c r="I4" s="326">
        <f>Paramètres!D23</f>
        <v>0.4</v>
      </c>
      <c r="J4" s="326">
        <f>Paramètres!E23</f>
        <v>0.5</v>
      </c>
      <c r="K4" s="326">
        <f>Paramètres!F23</f>
        <v>0.6</v>
      </c>
      <c r="L4" s="627" t="s">
        <v>252</v>
      </c>
      <c r="M4" s="627" t="s">
        <v>490</v>
      </c>
      <c r="O4" s="382"/>
      <c r="P4" s="382"/>
      <c r="Q4" s="382"/>
      <c r="R4" s="382"/>
      <c r="S4" s="382"/>
      <c r="T4" s="382"/>
    </row>
    <row r="5" spans="1:20" ht="37.5" customHeight="1" x14ac:dyDescent="0.25">
      <c r="A5" s="629"/>
      <c r="B5" s="629"/>
      <c r="C5" s="327" t="s">
        <v>417</v>
      </c>
      <c r="D5" s="327" t="s">
        <v>258</v>
      </c>
      <c r="E5" s="327" t="s">
        <v>493</v>
      </c>
      <c r="F5" s="627"/>
      <c r="G5" s="328">
        <f>Paramètres!B24</f>
        <v>1</v>
      </c>
      <c r="H5" s="328">
        <f>Paramètres!C24</f>
        <v>1.2</v>
      </c>
      <c r="I5" s="328">
        <f>Paramètres!D24</f>
        <v>1.5</v>
      </c>
      <c r="J5" s="328">
        <f>Paramètres!E24</f>
        <v>2</v>
      </c>
      <c r="K5" s="328">
        <f>Paramètres!F24</f>
        <v>3</v>
      </c>
      <c r="L5" s="628"/>
      <c r="M5" s="627"/>
      <c r="O5" s="382"/>
      <c r="P5" s="382"/>
      <c r="Q5" s="382"/>
      <c r="R5" s="382"/>
      <c r="S5" s="382"/>
      <c r="T5" s="382"/>
    </row>
    <row r="6" spans="1:20" x14ac:dyDescent="0.25">
      <c r="A6" s="68">
        <f>Données!A6</f>
        <v>5401</v>
      </c>
      <c r="B6" s="174" t="str">
        <f>Données!B6</f>
        <v>Aigle</v>
      </c>
      <c r="C6" s="387">
        <f>VPI!R6</f>
        <v>283957.57045177044</v>
      </c>
      <c r="D6" s="27">
        <f>Données!Z6</f>
        <v>10518</v>
      </c>
      <c r="E6" s="118">
        <f>C6/D6</f>
        <v>26.997297057593691</v>
      </c>
      <c r="F6" s="206">
        <f t="shared" ref="F6:F69" si="0">E6/$E$306</f>
        <v>0.58471594906432445</v>
      </c>
      <c r="G6" s="517">
        <f t="shared" ref="G6:G69" si="1">IF(E6-$G$3&lt;0,0,E6-$G$3)</f>
        <v>0</v>
      </c>
      <c r="H6" s="517">
        <f t="shared" ref="H6:H69" si="2">IF(E6-$H$3&lt;0,0,E6-$H$3)</f>
        <v>0</v>
      </c>
      <c r="I6" s="517">
        <f t="shared" ref="I6:I69" si="3">IF(E6-$I$3&lt;0,0,E6-$I$3)</f>
        <v>0</v>
      </c>
      <c r="J6" s="517">
        <f t="shared" ref="J6:J69" si="4">IF(E6-$J$3&lt;0,0,E6-$J$3)</f>
        <v>0</v>
      </c>
      <c r="K6" s="517">
        <f t="shared" ref="K6:K69" si="5">IF(E6-$K$3&lt;0,0,E6-$K$3)</f>
        <v>0</v>
      </c>
      <c r="L6" s="518">
        <f>(G6-H6)*$G$4+(H6-I6)*$H$4+(I6-J6)*$I$4+(J6-K6)*$J$4+(K6*$K$4)</f>
        <v>0</v>
      </c>
      <c r="M6" s="330">
        <f>L6*D6*VPI!Q6</f>
        <v>0</v>
      </c>
    </row>
    <row r="7" spans="1:20" x14ac:dyDescent="0.25">
      <c r="A7" s="173">
        <f>Données!A7</f>
        <v>5402</v>
      </c>
      <c r="B7" s="27" t="str">
        <f>Données!B7</f>
        <v>Bex</v>
      </c>
      <c r="C7" s="387">
        <f>VPI!R7</f>
        <v>178942.44507064961</v>
      </c>
      <c r="D7" s="27">
        <f>Données!Z7</f>
        <v>7828</v>
      </c>
      <c r="E7" s="118">
        <f t="shared" ref="E7:E70" si="6">C7/D7</f>
        <v>22.859280157211245</v>
      </c>
      <c r="F7" s="206">
        <f t="shared" si="0"/>
        <v>0.49509347782249435</v>
      </c>
      <c r="G7" s="517">
        <f t="shared" si="1"/>
        <v>0</v>
      </c>
      <c r="H7" s="517">
        <f t="shared" si="2"/>
        <v>0</v>
      </c>
      <c r="I7" s="517">
        <f t="shared" si="3"/>
        <v>0</v>
      </c>
      <c r="J7" s="517">
        <f t="shared" si="4"/>
        <v>0</v>
      </c>
      <c r="K7" s="517">
        <f t="shared" si="5"/>
        <v>0</v>
      </c>
      <c r="L7" s="519">
        <f t="shared" ref="L7:L70" si="7">(G7-H7)*$G$4+(H7-I7)*$H$4+(I7-J7)*$I$4+(J7-K7)*$J$4+(K7*$K$4)</f>
        <v>0</v>
      </c>
      <c r="M7" s="330">
        <f>L7*D7*VPI!Q7</f>
        <v>0</v>
      </c>
    </row>
    <row r="8" spans="1:20" x14ac:dyDescent="0.25">
      <c r="A8" s="173">
        <f>Données!A8</f>
        <v>5403</v>
      </c>
      <c r="B8" s="27" t="str">
        <f>Données!B8</f>
        <v>Chessel</v>
      </c>
      <c r="C8" s="387">
        <f>VPI!R8</f>
        <v>10796.246764670586</v>
      </c>
      <c r="D8" s="27">
        <f>Données!Z8</f>
        <v>444</v>
      </c>
      <c r="E8" s="118">
        <f t="shared" si="6"/>
        <v>24.315871091600421</v>
      </c>
      <c r="F8" s="206">
        <f t="shared" si="0"/>
        <v>0.5266407823094188</v>
      </c>
      <c r="G8" s="517">
        <f t="shared" si="1"/>
        <v>0</v>
      </c>
      <c r="H8" s="517">
        <f t="shared" si="2"/>
        <v>0</v>
      </c>
      <c r="I8" s="517">
        <f t="shared" si="3"/>
        <v>0</v>
      </c>
      <c r="J8" s="517">
        <f t="shared" si="4"/>
        <v>0</v>
      </c>
      <c r="K8" s="517">
        <f t="shared" si="5"/>
        <v>0</v>
      </c>
      <c r="L8" s="519">
        <f t="shared" si="7"/>
        <v>0</v>
      </c>
      <c r="M8" s="330">
        <f>L8*D8*VPI!Q8</f>
        <v>0</v>
      </c>
    </row>
    <row r="9" spans="1:20" x14ac:dyDescent="0.25">
      <c r="A9" s="173">
        <f>Données!A9</f>
        <v>5404</v>
      </c>
      <c r="B9" s="27" t="str">
        <f>Données!B9</f>
        <v>Corbeyrier</v>
      </c>
      <c r="C9" s="387">
        <f>VPI!R9</f>
        <v>11266.447111519699</v>
      </c>
      <c r="D9" s="27">
        <f>Données!Z9</f>
        <v>445</v>
      </c>
      <c r="E9" s="118">
        <f t="shared" si="6"/>
        <v>25.317858677572357</v>
      </c>
      <c r="F9" s="206">
        <f t="shared" si="0"/>
        <v>0.54834214452476915</v>
      </c>
      <c r="G9" s="517">
        <f t="shared" si="1"/>
        <v>0</v>
      </c>
      <c r="H9" s="517">
        <f t="shared" si="2"/>
        <v>0</v>
      </c>
      <c r="I9" s="517">
        <f t="shared" si="3"/>
        <v>0</v>
      </c>
      <c r="J9" s="517">
        <f t="shared" si="4"/>
        <v>0</v>
      </c>
      <c r="K9" s="517">
        <f t="shared" si="5"/>
        <v>0</v>
      </c>
      <c r="L9" s="519">
        <f t="shared" si="7"/>
        <v>0</v>
      </c>
      <c r="M9" s="330">
        <f>L9*D9*VPI!Q9</f>
        <v>0</v>
      </c>
    </row>
    <row r="10" spans="1:20" x14ac:dyDescent="0.25">
      <c r="A10" s="173">
        <f>Données!A10</f>
        <v>5405</v>
      </c>
      <c r="B10" s="27" t="str">
        <f>Données!B10</f>
        <v>Gryon</v>
      </c>
      <c r="C10" s="387">
        <f>VPI!R10</f>
        <v>68176.099678718238</v>
      </c>
      <c r="D10" s="27">
        <f>Données!Z10</f>
        <v>1378</v>
      </c>
      <c r="E10" s="118">
        <f t="shared" si="6"/>
        <v>49.474673206617005</v>
      </c>
      <c r="F10" s="206">
        <f t="shared" si="0"/>
        <v>1.0715380297864834</v>
      </c>
      <c r="G10" s="517">
        <f t="shared" si="1"/>
        <v>3.3030284946925761</v>
      </c>
      <c r="H10" s="517">
        <f t="shared" si="2"/>
        <v>0</v>
      </c>
      <c r="I10" s="517">
        <f t="shared" si="3"/>
        <v>0</v>
      </c>
      <c r="J10" s="517">
        <f t="shared" si="4"/>
        <v>0</v>
      </c>
      <c r="K10" s="517">
        <f t="shared" si="5"/>
        <v>0</v>
      </c>
      <c r="L10" s="519">
        <f>(G10-H10)*$G$4+(H10-I10)*$H$4+(I10-J10)*$I$4+(J10-K10)*$J$4+(K10*$K$4)</f>
        <v>0.66060569893851528</v>
      </c>
      <c r="M10" s="330">
        <f>L10*D10*VPI!Q10</f>
        <v>66908.127005589646</v>
      </c>
    </row>
    <row r="11" spans="1:20" x14ac:dyDescent="0.25">
      <c r="A11" s="173">
        <f>Données!A11</f>
        <v>5406</v>
      </c>
      <c r="B11" s="27" t="str">
        <f>Données!B11</f>
        <v>Lavey-Morcles</v>
      </c>
      <c r="C11" s="387">
        <f>VPI!R11</f>
        <v>21824.791081856485</v>
      </c>
      <c r="D11" s="27">
        <f>Données!Z11</f>
        <v>944</v>
      </c>
      <c r="E11" s="118">
        <f t="shared" si="6"/>
        <v>23.119482078237802</v>
      </c>
      <c r="F11" s="206">
        <f t="shared" si="0"/>
        <v>0.5007290128494577</v>
      </c>
      <c r="G11" s="517">
        <f t="shared" si="1"/>
        <v>0</v>
      </c>
      <c r="H11" s="517">
        <f t="shared" si="2"/>
        <v>0</v>
      </c>
      <c r="I11" s="517">
        <f t="shared" si="3"/>
        <v>0</v>
      </c>
      <c r="J11" s="517">
        <f t="shared" si="4"/>
        <v>0</v>
      </c>
      <c r="K11" s="517">
        <f t="shared" si="5"/>
        <v>0</v>
      </c>
      <c r="L11" s="519">
        <f t="shared" si="7"/>
        <v>0</v>
      </c>
      <c r="M11" s="330">
        <f>L11*D11*VPI!Q11</f>
        <v>0</v>
      </c>
    </row>
    <row r="12" spans="1:20" x14ac:dyDescent="0.25">
      <c r="A12" s="173">
        <f>Données!A12</f>
        <v>5407</v>
      </c>
      <c r="B12" s="27" t="str">
        <f>Données!B12</f>
        <v>Leysin</v>
      </c>
      <c r="C12" s="387">
        <f>VPI!R12</f>
        <v>90748.112777121743</v>
      </c>
      <c r="D12" s="27">
        <f>Données!Z12</f>
        <v>3645</v>
      </c>
      <c r="E12" s="118">
        <f t="shared" si="6"/>
        <v>24.896601584944236</v>
      </c>
      <c r="F12" s="206">
        <f t="shared" si="0"/>
        <v>0.53921842594691816</v>
      </c>
      <c r="G12" s="517">
        <f t="shared" si="1"/>
        <v>0</v>
      </c>
      <c r="H12" s="517">
        <f t="shared" si="2"/>
        <v>0</v>
      </c>
      <c r="I12" s="517">
        <f t="shared" si="3"/>
        <v>0</v>
      </c>
      <c r="J12" s="517">
        <f t="shared" si="4"/>
        <v>0</v>
      </c>
      <c r="K12" s="517">
        <f t="shared" si="5"/>
        <v>0</v>
      </c>
      <c r="L12" s="519">
        <f t="shared" si="7"/>
        <v>0</v>
      </c>
      <c r="M12" s="330">
        <f>L12*D12*VPI!Q12</f>
        <v>0</v>
      </c>
    </row>
    <row r="13" spans="1:20" x14ac:dyDescent="0.25">
      <c r="A13" s="173">
        <f>Données!A13</f>
        <v>5408</v>
      </c>
      <c r="B13" s="27" t="str">
        <f>Données!B13</f>
        <v>Noville</v>
      </c>
      <c r="C13" s="387">
        <f>VPI!R13</f>
        <v>43666.640444665623</v>
      </c>
      <c r="D13" s="27">
        <f>Données!Z13</f>
        <v>1170</v>
      </c>
      <c r="E13" s="118">
        <f t="shared" si="6"/>
        <v>37.321914909970616</v>
      </c>
      <c r="F13" s="206">
        <f t="shared" si="0"/>
        <v>0.80832976912195087</v>
      </c>
      <c r="G13" s="517">
        <f t="shared" si="1"/>
        <v>0</v>
      </c>
      <c r="H13" s="517">
        <f t="shared" si="2"/>
        <v>0</v>
      </c>
      <c r="I13" s="517">
        <f t="shared" si="3"/>
        <v>0</v>
      </c>
      <c r="J13" s="517">
        <f t="shared" si="4"/>
        <v>0</v>
      </c>
      <c r="K13" s="517">
        <f t="shared" si="5"/>
        <v>0</v>
      </c>
      <c r="L13" s="519">
        <f t="shared" si="7"/>
        <v>0</v>
      </c>
      <c r="M13" s="330">
        <f>L13*D13*VPI!Q13</f>
        <v>0</v>
      </c>
    </row>
    <row r="14" spans="1:20" x14ac:dyDescent="0.25">
      <c r="A14" s="173">
        <f>Données!A14</f>
        <v>5409</v>
      </c>
      <c r="B14" s="27" t="str">
        <f>Données!B14</f>
        <v>Ollon</v>
      </c>
      <c r="C14" s="387">
        <f>VPI!R14</f>
        <v>388986.52146492567</v>
      </c>
      <c r="D14" s="27">
        <f>Données!Z14</f>
        <v>7634</v>
      </c>
      <c r="E14" s="118">
        <f t="shared" si="6"/>
        <v>50.954482769835693</v>
      </c>
      <c r="F14" s="206">
        <f t="shared" si="0"/>
        <v>1.1035882106377735</v>
      </c>
      <c r="G14" s="517">
        <f t="shared" si="1"/>
        <v>4.7828380579112633</v>
      </c>
      <c r="H14" s="517">
        <f t="shared" si="2"/>
        <v>0</v>
      </c>
      <c r="I14" s="517">
        <f t="shared" si="3"/>
        <v>0</v>
      </c>
      <c r="J14" s="517">
        <f t="shared" si="4"/>
        <v>0</v>
      </c>
      <c r="K14" s="517">
        <f t="shared" si="5"/>
        <v>0</v>
      </c>
      <c r="L14" s="519">
        <f t="shared" si="7"/>
        <v>0.95656761158225267</v>
      </c>
      <c r="M14" s="330">
        <f>L14*D14*VPI!Q14</f>
        <v>496565.72598368634</v>
      </c>
    </row>
    <row r="15" spans="1:20" x14ac:dyDescent="0.25">
      <c r="A15" s="173">
        <f>Données!A15</f>
        <v>5410</v>
      </c>
      <c r="B15" s="27" t="str">
        <f>Données!B15</f>
        <v>Ormont-Dessous</v>
      </c>
      <c r="C15" s="387">
        <f>VPI!R15</f>
        <v>39516.146697267235</v>
      </c>
      <c r="D15" s="27">
        <f>Données!Z15</f>
        <v>1180</v>
      </c>
      <c r="E15" s="118">
        <f t="shared" si="6"/>
        <v>33.488259912938332</v>
      </c>
      <c r="F15" s="206">
        <f t="shared" si="0"/>
        <v>0.72529926369050379</v>
      </c>
      <c r="G15" s="517">
        <f t="shared" si="1"/>
        <v>0</v>
      </c>
      <c r="H15" s="517">
        <f t="shared" si="2"/>
        <v>0</v>
      </c>
      <c r="I15" s="517">
        <f t="shared" si="3"/>
        <v>0</v>
      </c>
      <c r="J15" s="517">
        <f t="shared" si="4"/>
        <v>0</v>
      </c>
      <c r="K15" s="517">
        <f t="shared" si="5"/>
        <v>0</v>
      </c>
      <c r="L15" s="519">
        <f t="shared" si="7"/>
        <v>0</v>
      </c>
      <c r="M15" s="330">
        <f>L15*D15*VPI!Q15</f>
        <v>0</v>
      </c>
    </row>
    <row r="16" spans="1:20" x14ac:dyDescent="0.25">
      <c r="A16" s="173">
        <f>Données!A16</f>
        <v>5411</v>
      </c>
      <c r="B16" s="27" t="str">
        <f>Données!B16</f>
        <v>Ormont-Dessus</v>
      </c>
      <c r="C16" s="387">
        <f>VPI!R16</f>
        <v>68020.566453850552</v>
      </c>
      <c r="D16" s="27">
        <f>Données!Z16</f>
        <v>1466</v>
      </c>
      <c r="E16" s="118">
        <f t="shared" si="6"/>
        <v>46.398749286391919</v>
      </c>
      <c r="F16" s="206">
        <f t="shared" si="0"/>
        <v>1.0049187022876149</v>
      </c>
      <c r="G16" s="517">
        <f t="shared" si="1"/>
        <v>0.22710457446748933</v>
      </c>
      <c r="H16" s="517">
        <f t="shared" si="2"/>
        <v>0</v>
      </c>
      <c r="I16" s="517">
        <f t="shared" si="3"/>
        <v>0</v>
      </c>
      <c r="J16" s="517">
        <f t="shared" si="4"/>
        <v>0</v>
      </c>
      <c r="K16" s="517">
        <f t="shared" si="5"/>
        <v>0</v>
      </c>
      <c r="L16" s="519">
        <f t="shared" si="7"/>
        <v>4.5420914893497866E-2</v>
      </c>
      <c r="M16" s="330">
        <f>L16*D16*VPI!Q16</f>
        <v>5060.6166537739582</v>
      </c>
    </row>
    <row r="17" spans="1:13" x14ac:dyDescent="0.25">
      <c r="A17" s="173">
        <f>Données!A17</f>
        <v>5412</v>
      </c>
      <c r="B17" s="27" t="str">
        <f>Données!B17</f>
        <v>Rennaz</v>
      </c>
      <c r="C17" s="387">
        <f>VPI!R17</f>
        <v>24252.718750309756</v>
      </c>
      <c r="D17" s="27">
        <f>Données!Z17</f>
        <v>889</v>
      </c>
      <c r="E17" s="118">
        <f t="shared" si="6"/>
        <v>27.280898481788252</v>
      </c>
      <c r="F17" s="206">
        <f t="shared" si="0"/>
        <v>0.59085827788895307</v>
      </c>
      <c r="G17" s="517">
        <f t="shared" si="1"/>
        <v>0</v>
      </c>
      <c r="H17" s="517">
        <f t="shared" si="2"/>
        <v>0</v>
      </c>
      <c r="I17" s="517">
        <f t="shared" si="3"/>
        <v>0</v>
      </c>
      <c r="J17" s="517">
        <f t="shared" si="4"/>
        <v>0</v>
      </c>
      <c r="K17" s="517">
        <f t="shared" si="5"/>
        <v>0</v>
      </c>
      <c r="L17" s="519">
        <f t="shared" si="7"/>
        <v>0</v>
      </c>
      <c r="M17" s="330">
        <f>L17*D17*VPI!Q17</f>
        <v>0</v>
      </c>
    </row>
    <row r="18" spans="1:13" x14ac:dyDescent="0.25">
      <c r="A18" s="173">
        <f>Données!A18</f>
        <v>5413</v>
      </c>
      <c r="B18" s="27" t="str">
        <f>Données!B18</f>
        <v>Roche</v>
      </c>
      <c r="C18" s="387">
        <f>VPI!R18</f>
        <v>47951.627432220594</v>
      </c>
      <c r="D18" s="27">
        <f>Données!Z18</f>
        <v>1868</v>
      </c>
      <c r="E18" s="118">
        <f t="shared" si="6"/>
        <v>25.67003609861916</v>
      </c>
      <c r="F18" s="206">
        <f t="shared" si="0"/>
        <v>0.55596971385317662</v>
      </c>
      <c r="G18" s="517">
        <f t="shared" si="1"/>
        <v>0</v>
      </c>
      <c r="H18" s="517">
        <f t="shared" si="2"/>
        <v>0</v>
      </c>
      <c r="I18" s="517">
        <f t="shared" si="3"/>
        <v>0</v>
      </c>
      <c r="J18" s="517">
        <f t="shared" si="4"/>
        <v>0</v>
      </c>
      <c r="K18" s="517">
        <f t="shared" si="5"/>
        <v>0</v>
      </c>
      <c r="L18" s="519">
        <f t="shared" si="7"/>
        <v>0</v>
      </c>
      <c r="M18" s="330">
        <f>L18*D18*VPI!Q18</f>
        <v>0</v>
      </c>
    </row>
    <row r="19" spans="1:13" x14ac:dyDescent="0.25">
      <c r="A19" s="173">
        <f>Données!A19</f>
        <v>5414</v>
      </c>
      <c r="B19" s="27" t="str">
        <f>Données!B19</f>
        <v>Villeneuve</v>
      </c>
      <c r="C19" s="387">
        <f>VPI!R19</f>
        <v>159309.32612133506</v>
      </c>
      <c r="D19" s="27">
        <f>Données!Z19</f>
        <v>5837</v>
      </c>
      <c r="E19" s="118">
        <f t="shared" si="6"/>
        <v>27.293014583062373</v>
      </c>
      <c r="F19" s="206">
        <f t="shared" si="0"/>
        <v>0.59112069222029673</v>
      </c>
      <c r="G19" s="517">
        <f t="shared" si="1"/>
        <v>0</v>
      </c>
      <c r="H19" s="517">
        <f t="shared" si="2"/>
        <v>0</v>
      </c>
      <c r="I19" s="517">
        <f t="shared" si="3"/>
        <v>0</v>
      </c>
      <c r="J19" s="517">
        <f t="shared" si="4"/>
        <v>0</v>
      </c>
      <c r="K19" s="517">
        <f t="shared" si="5"/>
        <v>0</v>
      </c>
      <c r="L19" s="519">
        <f t="shared" si="7"/>
        <v>0</v>
      </c>
      <c r="M19" s="330">
        <f>L19*D19*VPI!Q19</f>
        <v>0</v>
      </c>
    </row>
    <row r="20" spans="1:13" x14ac:dyDescent="0.25">
      <c r="A20" s="173">
        <f>Données!A20</f>
        <v>5415</v>
      </c>
      <c r="B20" s="27" t="str">
        <f>Données!B20</f>
        <v>Yvorne</v>
      </c>
      <c r="C20" s="387">
        <f>VPI!R20</f>
        <v>38141.091526902295</v>
      </c>
      <c r="D20" s="27">
        <f>Données!Z20</f>
        <v>1070</v>
      </c>
      <c r="E20" s="118">
        <f t="shared" si="6"/>
        <v>35.645879931684391</v>
      </c>
      <c r="F20" s="206">
        <f t="shared" si="0"/>
        <v>0.77202967652738563</v>
      </c>
      <c r="G20" s="517">
        <f t="shared" si="1"/>
        <v>0</v>
      </c>
      <c r="H20" s="517">
        <f t="shared" si="2"/>
        <v>0</v>
      </c>
      <c r="I20" s="517">
        <f t="shared" si="3"/>
        <v>0</v>
      </c>
      <c r="J20" s="517">
        <f t="shared" si="4"/>
        <v>0</v>
      </c>
      <c r="K20" s="517">
        <f t="shared" si="5"/>
        <v>0</v>
      </c>
      <c r="L20" s="519">
        <f t="shared" si="7"/>
        <v>0</v>
      </c>
      <c r="M20" s="330">
        <f>L20*D20*VPI!Q20</f>
        <v>0</v>
      </c>
    </row>
    <row r="21" spans="1:13" x14ac:dyDescent="0.25">
      <c r="A21" s="173">
        <f>Données!A21</f>
        <v>5422</v>
      </c>
      <c r="B21" s="27" t="str">
        <f>Données!B21</f>
        <v>Aubonne</v>
      </c>
      <c r="C21" s="387">
        <f>VPI!R21</f>
        <v>257139.62131053992</v>
      </c>
      <c r="D21" s="27">
        <f>Données!Z21</f>
        <v>3764</v>
      </c>
      <c r="E21" s="118">
        <f t="shared" si="6"/>
        <v>68.315521070812949</v>
      </c>
      <c r="F21" s="206">
        <f t="shared" si="0"/>
        <v>1.4795990373972876</v>
      </c>
      <c r="G21" s="517">
        <f t="shared" si="1"/>
        <v>22.143876358888519</v>
      </c>
      <c r="H21" s="517">
        <f t="shared" si="2"/>
        <v>12.909547416503635</v>
      </c>
      <c r="I21" s="517">
        <f t="shared" si="3"/>
        <v>0</v>
      </c>
      <c r="J21" s="517">
        <f t="shared" si="4"/>
        <v>0</v>
      </c>
      <c r="K21" s="517">
        <f t="shared" si="5"/>
        <v>0</v>
      </c>
      <c r="L21" s="519">
        <f t="shared" si="7"/>
        <v>5.7197300134280677</v>
      </c>
      <c r="M21" s="330">
        <f>L21*D21*VPI!Q21</f>
        <v>1483783.0750658405</v>
      </c>
    </row>
    <row r="22" spans="1:13" x14ac:dyDescent="0.25">
      <c r="A22" s="173">
        <f>Données!A22</f>
        <v>5423</v>
      </c>
      <c r="B22" s="27" t="str">
        <f>Données!B22</f>
        <v>Ballens</v>
      </c>
      <c r="C22" s="387">
        <f>VPI!R22</f>
        <v>17113.568875479887</v>
      </c>
      <c r="D22" s="27">
        <f>Données!Z22</f>
        <v>562</v>
      </c>
      <c r="E22" s="118">
        <f t="shared" si="6"/>
        <v>30.451190169893035</v>
      </c>
      <c r="F22" s="206">
        <f t="shared" si="0"/>
        <v>0.65952145217882219</v>
      </c>
      <c r="G22" s="517">
        <f t="shared" si="1"/>
        <v>0</v>
      </c>
      <c r="H22" s="517">
        <f t="shared" si="2"/>
        <v>0</v>
      </c>
      <c r="I22" s="517">
        <f t="shared" si="3"/>
        <v>0</v>
      </c>
      <c r="J22" s="517">
        <f t="shared" si="4"/>
        <v>0</v>
      </c>
      <c r="K22" s="517">
        <f t="shared" si="5"/>
        <v>0</v>
      </c>
      <c r="L22" s="519">
        <f t="shared" si="7"/>
        <v>0</v>
      </c>
      <c r="M22" s="330">
        <f>L22*D22*VPI!Q22</f>
        <v>0</v>
      </c>
    </row>
    <row r="23" spans="1:13" x14ac:dyDescent="0.25">
      <c r="A23" s="173">
        <f>Données!A23</f>
        <v>5424</v>
      </c>
      <c r="B23" s="27" t="str">
        <f>Données!B23</f>
        <v>Berolle</v>
      </c>
      <c r="C23" s="387">
        <f>VPI!R23</f>
        <v>9114.6527235419599</v>
      </c>
      <c r="D23" s="27">
        <f>Données!Z23</f>
        <v>313</v>
      </c>
      <c r="E23" s="118">
        <f t="shared" si="6"/>
        <v>29.120296241348115</v>
      </c>
      <c r="F23" s="206">
        <f t="shared" si="0"/>
        <v>0.63069653297031925</v>
      </c>
      <c r="G23" s="517">
        <f t="shared" si="1"/>
        <v>0</v>
      </c>
      <c r="H23" s="517">
        <f t="shared" si="2"/>
        <v>0</v>
      </c>
      <c r="I23" s="517">
        <f t="shared" si="3"/>
        <v>0</v>
      </c>
      <c r="J23" s="517">
        <f t="shared" si="4"/>
        <v>0</v>
      </c>
      <c r="K23" s="517">
        <f t="shared" si="5"/>
        <v>0</v>
      </c>
      <c r="L23" s="519">
        <f t="shared" si="7"/>
        <v>0</v>
      </c>
      <c r="M23" s="330">
        <f>L23*D23*VPI!Q23</f>
        <v>0</v>
      </c>
    </row>
    <row r="24" spans="1:13" x14ac:dyDescent="0.25">
      <c r="A24" s="173">
        <f>Données!A24</f>
        <v>5425</v>
      </c>
      <c r="B24" s="27" t="str">
        <f>Données!B24</f>
        <v>Bière</v>
      </c>
      <c r="C24" s="387">
        <f>VPI!R24</f>
        <v>40150.134165172873</v>
      </c>
      <c r="D24" s="27">
        <f>Données!Z24</f>
        <v>1627</v>
      </c>
      <c r="E24" s="118">
        <f t="shared" si="6"/>
        <v>24.677402682958128</v>
      </c>
      <c r="F24" s="206">
        <f t="shared" si="0"/>
        <v>0.53447094719987021</v>
      </c>
      <c r="G24" s="517">
        <f t="shared" si="1"/>
        <v>0</v>
      </c>
      <c r="H24" s="517">
        <f t="shared" si="2"/>
        <v>0</v>
      </c>
      <c r="I24" s="517">
        <f t="shared" si="3"/>
        <v>0</v>
      </c>
      <c r="J24" s="517">
        <f t="shared" si="4"/>
        <v>0</v>
      </c>
      <c r="K24" s="517">
        <f t="shared" si="5"/>
        <v>0</v>
      </c>
      <c r="L24" s="519">
        <f t="shared" si="7"/>
        <v>0</v>
      </c>
      <c r="M24" s="330">
        <f>L24*D24*VPI!Q24</f>
        <v>0</v>
      </c>
    </row>
    <row r="25" spans="1:13" x14ac:dyDescent="0.25">
      <c r="A25" s="173">
        <f>Données!A25</f>
        <v>5426</v>
      </c>
      <c r="B25" s="27" t="str">
        <f>Données!B25</f>
        <v>Bougy-Villars</v>
      </c>
      <c r="C25" s="387">
        <f>VPI!R25</f>
        <v>55602.19681468232</v>
      </c>
      <c r="D25" s="27">
        <f>Données!Z25</f>
        <v>477</v>
      </c>
      <c r="E25" s="118">
        <f t="shared" si="6"/>
        <v>116.56645034524595</v>
      </c>
      <c r="F25" s="206">
        <f t="shared" si="0"/>
        <v>2.52463283629013</v>
      </c>
      <c r="G25" s="517">
        <f t="shared" si="1"/>
        <v>70.394805633321525</v>
      </c>
      <c r="H25" s="517">
        <f t="shared" si="2"/>
        <v>61.16047669093664</v>
      </c>
      <c r="I25" s="517">
        <f t="shared" si="3"/>
        <v>47.308983277359317</v>
      </c>
      <c r="J25" s="517">
        <f t="shared" si="4"/>
        <v>24.223160921397096</v>
      </c>
      <c r="K25" s="517">
        <f t="shared" si="5"/>
        <v>0</v>
      </c>
      <c r="L25" s="519">
        <f t="shared" si="7"/>
        <v>27.34822321563361</v>
      </c>
      <c r="M25" s="330">
        <f>L25*D25*VPI!Q25</f>
        <v>841409.10956379154</v>
      </c>
    </row>
    <row r="26" spans="1:13" x14ac:dyDescent="0.25">
      <c r="A26" s="173">
        <f>Données!A26</f>
        <v>5427</v>
      </c>
      <c r="B26" s="27" t="str">
        <f>Données!B26</f>
        <v>Féchy</v>
      </c>
      <c r="C26" s="387">
        <f>VPI!R26</f>
        <v>77005.502299275147</v>
      </c>
      <c r="D26" s="27">
        <f>Données!Z26</f>
        <v>869</v>
      </c>
      <c r="E26" s="118">
        <f t="shared" si="6"/>
        <v>88.613926696519158</v>
      </c>
      <c r="F26" s="206">
        <f t="shared" si="0"/>
        <v>1.9192282893408268</v>
      </c>
      <c r="G26" s="517">
        <f t="shared" si="1"/>
        <v>42.442281984594729</v>
      </c>
      <c r="H26" s="517">
        <f t="shared" si="2"/>
        <v>33.207953042209844</v>
      </c>
      <c r="I26" s="517">
        <f t="shared" si="3"/>
        <v>19.356459628632521</v>
      </c>
      <c r="J26" s="517">
        <f t="shared" si="4"/>
        <v>0</v>
      </c>
      <c r="K26" s="517">
        <f t="shared" si="5"/>
        <v>0</v>
      </c>
      <c r="L26" s="519">
        <f t="shared" si="7"/>
        <v>13.744897664003183</v>
      </c>
      <c r="M26" s="330">
        <f>L26*D26*VPI!Q26</f>
        <v>764436.22848120099</v>
      </c>
    </row>
    <row r="27" spans="1:13" x14ac:dyDescent="0.25">
      <c r="A27" s="173">
        <f>Données!A27</f>
        <v>5428</v>
      </c>
      <c r="B27" s="27" t="str">
        <f>Données!B27</f>
        <v>Gimel</v>
      </c>
      <c r="C27" s="387">
        <f>VPI!R27</f>
        <v>70160.017528660552</v>
      </c>
      <c r="D27" s="27">
        <f>Données!Z27</f>
        <v>2307</v>
      </c>
      <c r="E27" s="118">
        <f t="shared" si="6"/>
        <v>30.411797801760102</v>
      </c>
      <c r="F27" s="206">
        <f t="shared" si="0"/>
        <v>0.65866827988273635</v>
      </c>
      <c r="G27" s="517">
        <f t="shared" si="1"/>
        <v>0</v>
      </c>
      <c r="H27" s="517">
        <f t="shared" si="2"/>
        <v>0</v>
      </c>
      <c r="I27" s="517">
        <f t="shared" si="3"/>
        <v>0</v>
      </c>
      <c r="J27" s="517">
        <f t="shared" si="4"/>
        <v>0</v>
      </c>
      <c r="K27" s="517">
        <f t="shared" si="5"/>
        <v>0</v>
      </c>
      <c r="L27" s="519">
        <f t="shared" si="7"/>
        <v>0</v>
      </c>
      <c r="M27" s="330">
        <f>L27*D27*VPI!Q27</f>
        <v>0</v>
      </c>
    </row>
    <row r="28" spans="1:13" x14ac:dyDescent="0.25">
      <c r="A28" s="173">
        <f>Données!A28</f>
        <v>5429</v>
      </c>
      <c r="B28" s="27" t="str">
        <f>Données!B28</f>
        <v>Longirod</v>
      </c>
      <c r="C28" s="387">
        <f>VPI!R28</f>
        <v>16136.097907481106</v>
      </c>
      <c r="D28" s="27">
        <f>Données!Z28</f>
        <v>494</v>
      </c>
      <c r="E28" s="118">
        <f t="shared" si="6"/>
        <v>32.664165804617625</v>
      </c>
      <c r="F28" s="206">
        <f t="shared" si="0"/>
        <v>0.70745077435332682</v>
      </c>
      <c r="G28" s="517">
        <f t="shared" si="1"/>
        <v>0</v>
      </c>
      <c r="H28" s="517">
        <f t="shared" si="2"/>
        <v>0</v>
      </c>
      <c r="I28" s="517">
        <f t="shared" si="3"/>
        <v>0</v>
      </c>
      <c r="J28" s="517">
        <f t="shared" si="4"/>
        <v>0</v>
      </c>
      <c r="K28" s="517">
        <f t="shared" si="5"/>
        <v>0</v>
      </c>
      <c r="L28" s="519">
        <f t="shared" si="7"/>
        <v>0</v>
      </c>
      <c r="M28" s="330">
        <f>L28*D28*VPI!Q28</f>
        <v>0</v>
      </c>
    </row>
    <row r="29" spans="1:13" x14ac:dyDescent="0.25">
      <c r="A29" s="173">
        <f>Données!A29</f>
        <v>5430</v>
      </c>
      <c r="B29" s="27" t="str">
        <f>Données!B29</f>
        <v>Marchissy</v>
      </c>
      <c r="C29" s="387">
        <f>VPI!R29</f>
        <v>14848.61677419355</v>
      </c>
      <c r="D29" s="27">
        <f>Données!Z29</f>
        <v>481</v>
      </c>
      <c r="E29" s="118">
        <f t="shared" si="6"/>
        <v>30.870305143853532</v>
      </c>
      <c r="F29" s="206">
        <f t="shared" si="0"/>
        <v>0.66859877607697338</v>
      </c>
      <c r="G29" s="517">
        <f t="shared" si="1"/>
        <v>0</v>
      </c>
      <c r="H29" s="517">
        <f t="shared" si="2"/>
        <v>0</v>
      </c>
      <c r="I29" s="517">
        <f t="shared" si="3"/>
        <v>0</v>
      </c>
      <c r="J29" s="517">
        <f t="shared" si="4"/>
        <v>0</v>
      </c>
      <c r="K29" s="517">
        <f t="shared" si="5"/>
        <v>0</v>
      </c>
      <c r="L29" s="519">
        <f t="shared" si="7"/>
        <v>0</v>
      </c>
      <c r="M29" s="330">
        <f>L29*D29*VPI!Q29</f>
        <v>0</v>
      </c>
    </row>
    <row r="30" spans="1:13" x14ac:dyDescent="0.25">
      <c r="A30" s="173">
        <f>Données!A30</f>
        <v>5431</v>
      </c>
      <c r="B30" s="27" t="str">
        <f>Données!B30</f>
        <v>Mollens</v>
      </c>
      <c r="C30" s="387">
        <f>VPI!R30</f>
        <v>9333.1487396041775</v>
      </c>
      <c r="D30" s="27">
        <f>Données!Z30</f>
        <v>330</v>
      </c>
      <c r="E30" s="118">
        <f t="shared" si="6"/>
        <v>28.282268907891446</v>
      </c>
      <c r="F30" s="206">
        <f t="shared" si="0"/>
        <v>0.61254627346179813</v>
      </c>
      <c r="G30" s="517">
        <f t="shared" si="1"/>
        <v>0</v>
      </c>
      <c r="H30" s="517">
        <f t="shared" si="2"/>
        <v>0</v>
      </c>
      <c r="I30" s="517">
        <f t="shared" si="3"/>
        <v>0</v>
      </c>
      <c r="J30" s="517">
        <f t="shared" si="4"/>
        <v>0</v>
      </c>
      <c r="K30" s="517">
        <f t="shared" si="5"/>
        <v>0</v>
      </c>
      <c r="L30" s="519">
        <f t="shared" si="7"/>
        <v>0</v>
      </c>
      <c r="M30" s="330">
        <f>L30*D30*VPI!Q30</f>
        <v>0</v>
      </c>
    </row>
    <row r="31" spans="1:13" x14ac:dyDescent="0.25">
      <c r="A31" s="173">
        <f>Données!A31</f>
        <v>5434</v>
      </c>
      <c r="B31" s="27" t="str">
        <f>Données!B31</f>
        <v>Saint-George</v>
      </c>
      <c r="C31" s="387">
        <f>VPI!R31</f>
        <v>40791.515913403804</v>
      </c>
      <c r="D31" s="27">
        <f>Données!Z31</f>
        <v>1074</v>
      </c>
      <c r="E31" s="118">
        <f t="shared" si="6"/>
        <v>37.980927293672067</v>
      </c>
      <c r="F31" s="206">
        <f t="shared" si="0"/>
        <v>0.8226028665568198</v>
      </c>
      <c r="G31" s="517">
        <f t="shared" si="1"/>
        <v>0</v>
      </c>
      <c r="H31" s="517">
        <f t="shared" si="2"/>
        <v>0</v>
      </c>
      <c r="I31" s="517">
        <f t="shared" si="3"/>
        <v>0</v>
      </c>
      <c r="J31" s="517">
        <f t="shared" si="4"/>
        <v>0</v>
      </c>
      <c r="K31" s="517">
        <f t="shared" si="5"/>
        <v>0</v>
      </c>
      <c r="L31" s="519">
        <f t="shared" si="7"/>
        <v>0</v>
      </c>
      <c r="M31" s="330">
        <f>L31*D31*VPI!Q31</f>
        <v>0</v>
      </c>
    </row>
    <row r="32" spans="1:13" x14ac:dyDescent="0.25">
      <c r="A32" s="173">
        <f>Données!A32</f>
        <v>5435</v>
      </c>
      <c r="B32" s="27" t="str">
        <f>Données!B32</f>
        <v>Saint-Livres</v>
      </c>
      <c r="C32" s="387">
        <f>VPI!R32</f>
        <v>26337.98545829628</v>
      </c>
      <c r="D32" s="27">
        <f>Données!Z32</f>
        <v>683</v>
      </c>
      <c r="E32" s="118">
        <f t="shared" si="6"/>
        <v>38.562204184914023</v>
      </c>
      <c r="F32" s="206">
        <f t="shared" si="0"/>
        <v>0.83519234425181377</v>
      </c>
      <c r="G32" s="517">
        <f t="shared" si="1"/>
        <v>0</v>
      </c>
      <c r="H32" s="517">
        <f t="shared" si="2"/>
        <v>0</v>
      </c>
      <c r="I32" s="517">
        <f t="shared" si="3"/>
        <v>0</v>
      </c>
      <c r="J32" s="517">
        <f t="shared" si="4"/>
        <v>0</v>
      </c>
      <c r="K32" s="517">
        <f t="shared" si="5"/>
        <v>0</v>
      </c>
      <c r="L32" s="519">
        <f t="shared" si="7"/>
        <v>0</v>
      </c>
      <c r="M32" s="330">
        <f>L32*D32*VPI!Q32</f>
        <v>0</v>
      </c>
    </row>
    <row r="33" spans="1:13" x14ac:dyDescent="0.25">
      <c r="A33" s="173">
        <f>Données!A33</f>
        <v>5436</v>
      </c>
      <c r="B33" s="27" t="str">
        <f>Données!B33</f>
        <v>Saint-Oyens</v>
      </c>
      <c r="C33" s="387">
        <f>VPI!R33</f>
        <v>16753.686386728143</v>
      </c>
      <c r="D33" s="27">
        <f>Données!Z33</f>
        <v>461</v>
      </c>
      <c r="E33" s="118">
        <f t="shared" si="6"/>
        <v>36.342052899627205</v>
      </c>
      <c r="F33" s="206">
        <f t="shared" si="0"/>
        <v>0.78710760958102488</v>
      </c>
      <c r="G33" s="517">
        <f t="shared" si="1"/>
        <v>0</v>
      </c>
      <c r="H33" s="517">
        <f t="shared" si="2"/>
        <v>0</v>
      </c>
      <c r="I33" s="517">
        <f t="shared" si="3"/>
        <v>0</v>
      </c>
      <c r="J33" s="517">
        <f t="shared" si="4"/>
        <v>0</v>
      </c>
      <c r="K33" s="517">
        <f t="shared" si="5"/>
        <v>0</v>
      </c>
      <c r="L33" s="519">
        <f t="shared" si="7"/>
        <v>0</v>
      </c>
      <c r="M33" s="330">
        <f>L33*D33*VPI!Q33</f>
        <v>0</v>
      </c>
    </row>
    <row r="34" spans="1:13" x14ac:dyDescent="0.25">
      <c r="A34" s="173">
        <f>Données!A34</f>
        <v>5437</v>
      </c>
      <c r="B34" s="27" t="str">
        <f>Données!B34</f>
        <v>Saubraz</v>
      </c>
      <c r="C34" s="387">
        <f>VPI!R34</f>
        <v>13378.426818540998</v>
      </c>
      <c r="D34" s="27">
        <f>Données!Z34</f>
        <v>423</v>
      </c>
      <c r="E34" s="118">
        <f t="shared" si="6"/>
        <v>31.627486568654842</v>
      </c>
      <c r="F34" s="206">
        <f t="shared" si="0"/>
        <v>0.68499804947356857</v>
      </c>
      <c r="G34" s="517">
        <f t="shared" si="1"/>
        <v>0</v>
      </c>
      <c r="H34" s="517">
        <f t="shared" si="2"/>
        <v>0</v>
      </c>
      <c r="I34" s="517">
        <f t="shared" si="3"/>
        <v>0</v>
      </c>
      <c r="J34" s="517">
        <f t="shared" si="4"/>
        <v>0</v>
      </c>
      <c r="K34" s="517">
        <f t="shared" si="5"/>
        <v>0</v>
      </c>
      <c r="L34" s="519">
        <f t="shared" si="7"/>
        <v>0</v>
      </c>
      <c r="M34" s="330">
        <f>L34*D34*VPI!Q34</f>
        <v>0</v>
      </c>
    </row>
    <row r="35" spans="1:13" x14ac:dyDescent="0.25">
      <c r="A35" s="173">
        <f>Données!A35</f>
        <v>5451</v>
      </c>
      <c r="B35" s="27" t="str">
        <f>Données!B35</f>
        <v>Avenches</v>
      </c>
      <c r="C35" s="387">
        <f>VPI!R35</f>
        <v>128992.08671525712</v>
      </c>
      <c r="D35" s="27">
        <f>Données!Z35</f>
        <v>4482</v>
      </c>
      <c r="E35" s="118">
        <f t="shared" si="6"/>
        <v>28.780028272034162</v>
      </c>
      <c r="F35" s="206">
        <f t="shared" si="0"/>
        <v>0.62332690229250909</v>
      </c>
      <c r="G35" s="517">
        <f t="shared" si="1"/>
        <v>0</v>
      </c>
      <c r="H35" s="517">
        <f t="shared" si="2"/>
        <v>0</v>
      </c>
      <c r="I35" s="517">
        <f t="shared" si="3"/>
        <v>0</v>
      </c>
      <c r="J35" s="517">
        <f t="shared" si="4"/>
        <v>0</v>
      </c>
      <c r="K35" s="517">
        <f t="shared" si="5"/>
        <v>0</v>
      </c>
      <c r="L35" s="519">
        <f t="shared" si="7"/>
        <v>0</v>
      </c>
      <c r="M35" s="330">
        <f>L35*D35*VPI!Q35</f>
        <v>0</v>
      </c>
    </row>
    <row r="36" spans="1:13" x14ac:dyDescent="0.25">
      <c r="A36" s="173">
        <f>Données!A36</f>
        <v>5456</v>
      </c>
      <c r="B36" s="27" t="str">
        <f>Données!B36</f>
        <v>Cudrefin</v>
      </c>
      <c r="C36" s="387">
        <f>VPI!R36</f>
        <v>64212.312252410848</v>
      </c>
      <c r="D36" s="27">
        <f>Données!Z36</f>
        <v>1780</v>
      </c>
      <c r="E36" s="118">
        <f t="shared" si="6"/>
        <v>36.074332726073507</v>
      </c>
      <c r="F36" s="206">
        <f t="shared" si="0"/>
        <v>0.78130924187668893</v>
      </c>
      <c r="G36" s="517">
        <f t="shared" si="1"/>
        <v>0</v>
      </c>
      <c r="H36" s="517">
        <f t="shared" si="2"/>
        <v>0</v>
      </c>
      <c r="I36" s="517">
        <f t="shared" si="3"/>
        <v>0</v>
      </c>
      <c r="J36" s="517">
        <f t="shared" si="4"/>
        <v>0</v>
      </c>
      <c r="K36" s="517">
        <f t="shared" si="5"/>
        <v>0</v>
      </c>
      <c r="L36" s="519">
        <f t="shared" si="7"/>
        <v>0</v>
      </c>
      <c r="M36" s="330">
        <f>L36*D36*VPI!Q36</f>
        <v>0</v>
      </c>
    </row>
    <row r="37" spans="1:13" x14ac:dyDescent="0.25">
      <c r="A37" s="173">
        <f>Données!A37</f>
        <v>5458</v>
      </c>
      <c r="B37" s="27" t="str">
        <f>Données!B37</f>
        <v>Faoug</v>
      </c>
      <c r="C37" s="387">
        <f>VPI!R37</f>
        <v>32193.574318729454</v>
      </c>
      <c r="D37" s="27">
        <f>Données!Z37</f>
        <v>881</v>
      </c>
      <c r="E37" s="118">
        <f t="shared" si="6"/>
        <v>36.54208208709359</v>
      </c>
      <c r="F37" s="206">
        <f t="shared" si="0"/>
        <v>0.79143990462302338</v>
      </c>
      <c r="G37" s="517">
        <f t="shared" si="1"/>
        <v>0</v>
      </c>
      <c r="H37" s="517">
        <f t="shared" si="2"/>
        <v>0</v>
      </c>
      <c r="I37" s="517">
        <f t="shared" si="3"/>
        <v>0</v>
      </c>
      <c r="J37" s="517">
        <f t="shared" si="4"/>
        <v>0</v>
      </c>
      <c r="K37" s="517">
        <f t="shared" si="5"/>
        <v>0</v>
      </c>
      <c r="L37" s="519">
        <f t="shared" si="7"/>
        <v>0</v>
      </c>
      <c r="M37" s="330">
        <f>L37*D37*VPI!Q37</f>
        <v>0</v>
      </c>
    </row>
    <row r="38" spans="1:13" x14ac:dyDescent="0.25">
      <c r="A38" s="173">
        <f>Données!A38</f>
        <v>5464</v>
      </c>
      <c r="B38" s="27" t="str">
        <f>Données!B38</f>
        <v>Vully-les-Lacs</v>
      </c>
      <c r="C38" s="387">
        <f>VPI!R38</f>
        <v>111582.51347109246</v>
      </c>
      <c r="D38" s="27">
        <f>Données!Z38</f>
        <v>3360</v>
      </c>
      <c r="E38" s="118">
        <f t="shared" si="6"/>
        <v>33.209081390206087</v>
      </c>
      <c r="F38" s="206">
        <f t="shared" si="0"/>
        <v>0.71925272745654234</v>
      </c>
      <c r="G38" s="517">
        <f t="shared" si="1"/>
        <v>0</v>
      </c>
      <c r="H38" s="517">
        <f t="shared" si="2"/>
        <v>0</v>
      </c>
      <c r="I38" s="517">
        <f t="shared" si="3"/>
        <v>0</v>
      </c>
      <c r="J38" s="517">
        <f t="shared" si="4"/>
        <v>0</v>
      </c>
      <c r="K38" s="517">
        <f t="shared" si="5"/>
        <v>0</v>
      </c>
      <c r="L38" s="519">
        <f t="shared" si="7"/>
        <v>0</v>
      </c>
      <c r="M38" s="330">
        <f>L38*D38*VPI!Q38</f>
        <v>0</v>
      </c>
    </row>
    <row r="39" spans="1:13" x14ac:dyDescent="0.25">
      <c r="A39" s="173">
        <f>Données!A39</f>
        <v>5471</v>
      </c>
      <c r="B39" s="27" t="str">
        <f>Données!B39</f>
        <v>Bettens</v>
      </c>
      <c r="C39" s="387">
        <f>VPI!R39</f>
        <v>20380.173113086941</v>
      </c>
      <c r="D39" s="27">
        <f>Données!Z39</f>
        <v>636</v>
      </c>
      <c r="E39" s="118">
        <f t="shared" si="6"/>
        <v>32.044297347620976</v>
      </c>
      <c r="F39" s="206">
        <f t="shared" si="0"/>
        <v>0.69402546839196999</v>
      </c>
      <c r="G39" s="517">
        <f t="shared" si="1"/>
        <v>0</v>
      </c>
      <c r="H39" s="517">
        <f t="shared" si="2"/>
        <v>0</v>
      </c>
      <c r="I39" s="517">
        <f t="shared" si="3"/>
        <v>0</v>
      </c>
      <c r="J39" s="517">
        <f t="shared" si="4"/>
        <v>0</v>
      </c>
      <c r="K39" s="517">
        <f t="shared" si="5"/>
        <v>0</v>
      </c>
      <c r="L39" s="519">
        <f t="shared" si="7"/>
        <v>0</v>
      </c>
      <c r="M39" s="330">
        <f>L39*D39*VPI!Q39</f>
        <v>0</v>
      </c>
    </row>
    <row r="40" spans="1:13" x14ac:dyDescent="0.25">
      <c r="A40" s="173">
        <f>Données!A40</f>
        <v>5472</v>
      </c>
      <c r="B40" s="27" t="str">
        <f>Données!B40</f>
        <v>Bournens</v>
      </c>
      <c r="C40" s="387">
        <f>VPI!R40</f>
        <v>20138.784507874909</v>
      </c>
      <c r="D40" s="27">
        <f>Données!Z40</f>
        <v>490</v>
      </c>
      <c r="E40" s="118">
        <f t="shared" si="6"/>
        <v>41.099560220152874</v>
      </c>
      <c r="F40" s="206">
        <f t="shared" si="0"/>
        <v>0.89014719914316542</v>
      </c>
      <c r="G40" s="517">
        <f t="shared" si="1"/>
        <v>0</v>
      </c>
      <c r="H40" s="517">
        <f t="shared" si="2"/>
        <v>0</v>
      </c>
      <c r="I40" s="517">
        <f t="shared" si="3"/>
        <v>0</v>
      </c>
      <c r="J40" s="517">
        <f t="shared" si="4"/>
        <v>0</v>
      </c>
      <c r="K40" s="517">
        <f t="shared" si="5"/>
        <v>0</v>
      </c>
      <c r="L40" s="519">
        <f t="shared" si="7"/>
        <v>0</v>
      </c>
      <c r="M40" s="330">
        <f>L40*D40*VPI!Q40</f>
        <v>0</v>
      </c>
    </row>
    <row r="41" spans="1:13" x14ac:dyDescent="0.25">
      <c r="A41" s="173">
        <f>Données!A41</f>
        <v>5473</v>
      </c>
      <c r="B41" s="27" t="str">
        <f>Données!B41</f>
        <v>Boussens</v>
      </c>
      <c r="C41" s="387">
        <f>VPI!R41</f>
        <v>37766.597979852122</v>
      </c>
      <c r="D41" s="27">
        <f>Données!Z41</f>
        <v>999</v>
      </c>
      <c r="E41" s="118">
        <f t="shared" si="6"/>
        <v>37.804402382234358</v>
      </c>
      <c r="F41" s="206">
        <f t="shared" si="0"/>
        <v>0.81877963451604918</v>
      </c>
      <c r="G41" s="517">
        <f t="shared" si="1"/>
        <v>0</v>
      </c>
      <c r="H41" s="517">
        <f t="shared" si="2"/>
        <v>0</v>
      </c>
      <c r="I41" s="517">
        <f t="shared" si="3"/>
        <v>0</v>
      </c>
      <c r="J41" s="517">
        <f t="shared" si="4"/>
        <v>0</v>
      </c>
      <c r="K41" s="517">
        <f t="shared" si="5"/>
        <v>0</v>
      </c>
      <c r="L41" s="519">
        <f t="shared" si="7"/>
        <v>0</v>
      </c>
      <c r="M41" s="330">
        <f>L41*D41*VPI!Q41</f>
        <v>0</v>
      </c>
    </row>
    <row r="42" spans="1:13" x14ac:dyDescent="0.25">
      <c r="A42" s="173">
        <f>Données!A42</f>
        <v>5474</v>
      </c>
      <c r="B42" s="27" t="str">
        <f>Données!B42</f>
        <v>La Chaux (Cossonay)</v>
      </c>
      <c r="C42" s="387">
        <f>VPI!R42</f>
        <v>13181.653644203574</v>
      </c>
      <c r="D42" s="27">
        <f>Données!Z42</f>
        <v>391</v>
      </c>
      <c r="E42" s="118">
        <f t="shared" si="6"/>
        <v>33.71266916676106</v>
      </c>
      <c r="F42" s="206">
        <f t="shared" si="0"/>
        <v>0.7301595898760419</v>
      </c>
      <c r="G42" s="517">
        <f t="shared" si="1"/>
        <v>0</v>
      </c>
      <c r="H42" s="517">
        <f t="shared" si="2"/>
        <v>0</v>
      </c>
      <c r="I42" s="517">
        <f t="shared" si="3"/>
        <v>0</v>
      </c>
      <c r="J42" s="517">
        <f t="shared" si="4"/>
        <v>0</v>
      </c>
      <c r="K42" s="517">
        <f t="shared" si="5"/>
        <v>0</v>
      </c>
      <c r="L42" s="519">
        <f t="shared" si="7"/>
        <v>0</v>
      </c>
      <c r="M42" s="330">
        <f>L42*D42*VPI!Q42</f>
        <v>0</v>
      </c>
    </row>
    <row r="43" spans="1:13" x14ac:dyDescent="0.25">
      <c r="A43" s="173">
        <f>Données!A43</f>
        <v>5475</v>
      </c>
      <c r="B43" s="27" t="str">
        <f>Données!B43</f>
        <v>Chavannes-le-Veyron</v>
      </c>
      <c r="C43" s="387">
        <f>VPI!R43</f>
        <v>3874.542905998469</v>
      </c>
      <c r="D43" s="27">
        <f>Données!Z43</f>
        <v>152</v>
      </c>
      <c r="E43" s="118">
        <f t="shared" si="6"/>
        <v>25.490413855253085</v>
      </c>
      <c r="F43" s="206">
        <f t="shared" si="0"/>
        <v>0.55207939882353496</v>
      </c>
      <c r="G43" s="517">
        <f t="shared" si="1"/>
        <v>0</v>
      </c>
      <c r="H43" s="517">
        <f t="shared" si="2"/>
        <v>0</v>
      </c>
      <c r="I43" s="517">
        <f t="shared" si="3"/>
        <v>0</v>
      </c>
      <c r="J43" s="517">
        <f t="shared" si="4"/>
        <v>0</v>
      </c>
      <c r="K43" s="517">
        <f t="shared" si="5"/>
        <v>0</v>
      </c>
      <c r="L43" s="519">
        <f t="shared" si="7"/>
        <v>0</v>
      </c>
      <c r="M43" s="330">
        <f>L43*D43*VPI!Q43</f>
        <v>0</v>
      </c>
    </row>
    <row r="44" spans="1:13" x14ac:dyDescent="0.25">
      <c r="A44" s="173">
        <f>Données!A44</f>
        <v>5476</v>
      </c>
      <c r="B44" s="27" t="str">
        <f>Données!B44</f>
        <v>Chevilly</v>
      </c>
      <c r="C44" s="387">
        <f>VPI!R44</f>
        <v>11841.851486486486</v>
      </c>
      <c r="D44" s="27">
        <f>Données!Z44</f>
        <v>317</v>
      </c>
      <c r="E44" s="118">
        <f t="shared" si="6"/>
        <v>37.355998380083555</v>
      </c>
      <c r="F44" s="206">
        <f t="shared" si="0"/>
        <v>0.80906795963531886</v>
      </c>
      <c r="G44" s="517">
        <f t="shared" si="1"/>
        <v>0</v>
      </c>
      <c r="H44" s="517">
        <f t="shared" si="2"/>
        <v>0</v>
      </c>
      <c r="I44" s="517">
        <f t="shared" si="3"/>
        <v>0</v>
      </c>
      <c r="J44" s="517">
        <f t="shared" si="4"/>
        <v>0</v>
      </c>
      <c r="K44" s="517">
        <f t="shared" si="5"/>
        <v>0</v>
      </c>
      <c r="L44" s="519">
        <f t="shared" si="7"/>
        <v>0</v>
      </c>
      <c r="M44" s="330">
        <f>L44*D44*VPI!Q44</f>
        <v>0</v>
      </c>
    </row>
    <row r="45" spans="1:13" x14ac:dyDescent="0.25">
      <c r="A45" s="173">
        <f>Données!A45</f>
        <v>5477</v>
      </c>
      <c r="B45" s="27" t="str">
        <f>Données!B45</f>
        <v>Cossonay</v>
      </c>
      <c r="C45" s="387">
        <f>VPI!R45</f>
        <v>119044.37813513582</v>
      </c>
      <c r="D45" s="27">
        <f>Données!Z45</f>
        <v>4222</v>
      </c>
      <c r="E45" s="118">
        <f t="shared" si="6"/>
        <v>28.196205148066277</v>
      </c>
      <c r="F45" s="206">
        <f t="shared" si="0"/>
        <v>0.61068227748846549</v>
      </c>
      <c r="G45" s="517">
        <f t="shared" si="1"/>
        <v>0</v>
      </c>
      <c r="H45" s="517">
        <f t="shared" si="2"/>
        <v>0</v>
      </c>
      <c r="I45" s="517">
        <f t="shared" si="3"/>
        <v>0</v>
      </c>
      <c r="J45" s="517">
        <f t="shared" si="4"/>
        <v>0</v>
      </c>
      <c r="K45" s="517">
        <f t="shared" si="5"/>
        <v>0</v>
      </c>
      <c r="L45" s="519">
        <f t="shared" si="7"/>
        <v>0</v>
      </c>
      <c r="M45" s="330">
        <f>L45*D45*VPI!Q45</f>
        <v>0</v>
      </c>
    </row>
    <row r="46" spans="1:13" x14ac:dyDescent="0.25">
      <c r="A46" s="173">
        <f>Données!A46</f>
        <v>5479</v>
      </c>
      <c r="B46" s="27" t="str">
        <f>Données!B46</f>
        <v>Cuarnens</v>
      </c>
      <c r="C46" s="387">
        <f>VPI!R46</f>
        <v>18064.580944641726</v>
      </c>
      <c r="D46" s="27">
        <f>Données!Z46</f>
        <v>527</v>
      </c>
      <c r="E46" s="118">
        <f t="shared" si="6"/>
        <v>34.278142209946353</v>
      </c>
      <c r="F46" s="206">
        <f t="shared" si="0"/>
        <v>0.74240678286025141</v>
      </c>
      <c r="G46" s="517">
        <f t="shared" si="1"/>
        <v>0</v>
      </c>
      <c r="H46" s="517">
        <f t="shared" si="2"/>
        <v>0</v>
      </c>
      <c r="I46" s="517">
        <f t="shared" si="3"/>
        <v>0</v>
      </c>
      <c r="J46" s="517">
        <f t="shared" si="4"/>
        <v>0</v>
      </c>
      <c r="K46" s="517">
        <f t="shared" si="5"/>
        <v>0</v>
      </c>
      <c r="L46" s="519">
        <f t="shared" si="7"/>
        <v>0</v>
      </c>
      <c r="M46" s="330">
        <f>L46*D46*VPI!Q46</f>
        <v>0</v>
      </c>
    </row>
    <row r="47" spans="1:13" x14ac:dyDescent="0.25">
      <c r="A47" s="173">
        <f>Données!A47</f>
        <v>5480</v>
      </c>
      <c r="B47" s="27" t="str">
        <f>Données!B47</f>
        <v>Daillens</v>
      </c>
      <c r="C47" s="387">
        <f>VPI!R47</f>
        <v>40967.735913324992</v>
      </c>
      <c r="D47" s="27">
        <f>Données!Z47</f>
        <v>1048</v>
      </c>
      <c r="E47" s="118">
        <f t="shared" si="6"/>
        <v>39.091351062333011</v>
      </c>
      <c r="F47" s="206">
        <f t="shared" si="0"/>
        <v>0.84665277371497139</v>
      </c>
      <c r="G47" s="517">
        <f t="shared" si="1"/>
        <v>0</v>
      </c>
      <c r="H47" s="517">
        <f t="shared" si="2"/>
        <v>0</v>
      </c>
      <c r="I47" s="517">
        <f t="shared" si="3"/>
        <v>0</v>
      </c>
      <c r="J47" s="517">
        <f t="shared" si="4"/>
        <v>0</v>
      </c>
      <c r="K47" s="517">
        <f t="shared" si="5"/>
        <v>0</v>
      </c>
      <c r="L47" s="519">
        <f t="shared" si="7"/>
        <v>0</v>
      </c>
      <c r="M47" s="330">
        <f>L47*D47*VPI!Q47</f>
        <v>0</v>
      </c>
    </row>
    <row r="48" spans="1:13" x14ac:dyDescent="0.25">
      <c r="A48" s="173">
        <f>Données!A48</f>
        <v>5481</v>
      </c>
      <c r="B48" s="27" t="str">
        <f>Données!B48</f>
        <v>Dizy</v>
      </c>
      <c r="C48" s="387">
        <f>VPI!R48</f>
        <v>8106.5312898245948</v>
      </c>
      <c r="D48" s="27">
        <f>Données!Z48</f>
        <v>224</v>
      </c>
      <c r="E48" s="118">
        <f t="shared" si="6"/>
        <v>36.189871829574081</v>
      </c>
      <c r="F48" s="206">
        <f t="shared" si="0"/>
        <v>0.78381162411196448</v>
      </c>
      <c r="G48" s="517">
        <f t="shared" si="1"/>
        <v>0</v>
      </c>
      <c r="H48" s="517">
        <f t="shared" si="2"/>
        <v>0</v>
      </c>
      <c r="I48" s="517">
        <f t="shared" si="3"/>
        <v>0</v>
      </c>
      <c r="J48" s="517">
        <f t="shared" si="4"/>
        <v>0</v>
      </c>
      <c r="K48" s="517">
        <f t="shared" si="5"/>
        <v>0</v>
      </c>
      <c r="L48" s="519">
        <f t="shared" si="7"/>
        <v>0</v>
      </c>
      <c r="M48" s="330">
        <f>L48*D48*VPI!Q48</f>
        <v>0</v>
      </c>
    </row>
    <row r="49" spans="1:13" x14ac:dyDescent="0.25">
      <c r="A49" s="173">
        <f>Données!A49</f>
        <v>5482</v>
      </c>
      <c r="B49" s="27" t="str">
        <f>Données!B49</f>
        <v>Eclépens</v>
      </c>
      <c r="C49" s="387">
        <f>VPI!R49</f>
        <v>70435.439965635131</v>
      </c>
      <c r="D49" s="27">
        <f>Données!Z49</f>
        <v>1220</v>
      </c>
      <c r="E49" s="118">
        <f t="shared" si="6"/>
        <v>57.733967184946827</v>
      </c>
      <c r="F49" s="206">
        <f t="shared" si="0"/>
        <v>1.2504204159319514</v>
      </c>
      <c r="G49" s="517">
        <f t="shared" si="1"/>
        <v>11.562322473022398</v>
      </c>
      <c r="H49" s="517">
        <f t="shared" si="2"/>
        <v>2.3279935306375137</v>
      </c>
      <c r="I49" s="517">
        <f t="shared" si="3"/>
        <v>0</v>
      </c>
      <c r="J49" s="517">
        <f t="shared" si="4"/>
        <v>0</v>
      </c>
      <c r="K49" s="517">
        <f t="shared" si="5"/>
        <v>0</v>
      </c>
      <c r="L49" s="519">
        <f t="shared" si="7"/>
        <v>2.545263847668231</v>
      </c>
      <c r="M49" s="330">
        <f>L49*D49*VPI!Q49</f>
        <v>142840.20713114113</v>
      </c>
    </row>
    <row r="50" spans="1:13" x14ac:dyDescent="0.25">
      <c r="A50" s="173">
        <f>Données!A50</f>
        <v>5483</v>
      </c>
      <c r="B50" s="27" t="str">
        <f>Données!B50</f>
        <v>Ferreyres</v>
      </c>
      <c r="C50" s="387">
        <f>VPI!R50</f>
        <v>10817.678140952161</v>
      </c>
      <c r="D50" s="27">
        <f>Données!Z50</f>
        <v>319</v>
      </c>
      <c r="E50" s="118">
        <f t="shared" si="6"/>
        <v>33.911216742796739</v>
      </c>
      <c r="F50" s="206">
        <f t="shared" si="0"/>
        <v>0.73445979571177644</v>
      </c>
      <c r="G50" s="517">
        <f t="shared" si="1"/>
        <v>0</v>
      </c>
      <c r="H50" s="517">
        <f t="shared" si="2"/>
        <v>0</v>
      </c>
      <c r="I50" s="517">
        <f t="shared" si="3"/>
        <v>0</v>
      </c>
      <c r="J50" s="517">
        <f t="shared" si="4"/>
        <v>0</v>
      </c>
      <c r="K50" s="517">
        <f t="shared" si="5"/>
        <v>0</v>
      </c>
      <c r="L50" s="519">
        <f t="shared" si="7"/>
        <v>0</v>
      </c>
      <c r="M50" s="330">
        <f>L50*D50*VPI!Q50</f>
        <v>0</v>
      </c>
    </row>
    <row r="51" spans="1:13" x14ac:dyDescent="0.25">
      <c r="A51" s="173">
        <f>Données!A51</f>
        <v>5484</v>
      </c>
      <c r="B51" s="27" t="str">
        <f>Données!B51</f>
        <v>Gollion</v>
      </c>
      <c r="C51" s="387">
        <f>VPI!R51</f>
        <v>34968.588815884439</v>
      </c>
      <c r="D51" s="27">
        <f>Données!Z51</f>
        <v>996</v>
      </c>
      <c r="E51" s="118">
        <f t="shared" si="6"/>
        <v>35.109024915546627</v>
      </c>
      <c r="F51" s="206">
        <f t="shared" si="0"/>
        <v>0.76040230177200652</v>
      </c>
      <c r="G51" s="517">
        <f t="shared" si="1"/>
        <v>0</v>
      </c>
      <c r="H51" s="517">
        <f t="shared" si="2"/>
        <v>0</v>
      </c>
      <c r="I51" s="517">
        <f t="shared" si="3"/>
        <v>0</v>
      </c>
      <c r="J51" s="517">
        <f t="shared" si="4"/>
        <v>0</v>
      </c>
      <c r="K51" s="517">
        <f t="shared" si="5"/>
        <v>0</v>
      </c>
      <c r="L51" s="519">
        <f t="shared" si="7"/>
        <v>0</v>
      </c>
      <c r="M51" s="330">
        <f>L51*D51*VPI!Q51</f>
        <v>0</v>
      </c>
    </row>
    <row r="52" spans="1:13" x14ac:dyDescent="0.25">
      <c r="A52" s="173">
        <f>Données!A52</f>
        <v>5485</v>
      </c>
      <c r="B52" s="27" t="str">
        <f>Données!B52</f>
        <v>Grancy</v>
      </c>
      <c r="C52" s="387">
        <f>VPI!R52</f>
        <v>14538.346948228997</v>
      </c>
      <c r="D52" s="27">
        <f>Données!Z52</f>
        <v>406</v>
      </c>
      <c r="E52" s="118">
        <f t="shared" si="6"/>
        <v>35.808736325687185</v>
      </c>
      <c r="F52" s="206">
        <f t="shared" si="0"/>
        <v>0.77555687151943953</v>
      </c>
      <c r="G52" s="517">
        <f t="shared" si="1"/>
        <v>0</v>
      </c>
      <c r="H52" s="517">
        <f t="shared" si="2"/>
        <v>0</v>
      </c>
      <c r="I52" s="517">
        <f t="shared" si="3"/>
        <v>0</v>
      </c>
      <c r="J52" s="517">
        <f t="shared" si="4"/>
        <v>0</v>
      </c>
      <c r="K52" s="517">
        <f t="shared" si="5"/>
        <v>0</v>
      </c>
      <c r="L52" s="519">
        <f t="shared" si="7"/>
        <v>0</v>
      </c>
      <c r="M52" s="330">
        <f>L52*D52*VPI!Q52</f>
        <v>0</v>
      </c>
    </row>
    <row r="53" spans="1:13" x14ac:dyDescent="0.25">
      <c r="A53" s="173">
        <f>Données!A53</f>
        <v>5486</v>
      </c>
      <c r="B53" s="27" t="str">
        <f>Données!B53</f>
        <v>L'Isle</v>
      </c>
      <c r="C53" s="387">
        <f>VPI!R53</f>
        <v>37453.794062170404</v>
      </c>
      <c r="D53" s="27">
        <f>Données!Z53</f>
        <v>1065</v>
      </c>
      <c r="E53" s="118">
        <f t="shared" si="6"/>
        <v>35.167881748516812</v>
      </c>
      <c r="F53" s="206">
        <f t="shared" si="0"/>
        <v>0.76167704156820404</v>
      </c>
      <c r="G53" s="517">
        <f t="shared" si="1"/>
        <v>0</v>
      </c>
      <c r="H53" s="517">
        <f t="shared" si="2"/>
        <v>0</v>
      </c>
      <c r="I53" s="517">
        <f t="shared" si="3"/>
        <v>0</v>
      </c>
      <c r="J53" s="517">
        <f t="shared" si="4"/>
        <v>0</v>
      </c>
      <c r="K53" s="517">
        <f t="shared" si="5"/>
        <v>0</v>
      </c>
      <c r="L53" s="519">
        <f t="shared" si="7"/>
        <v>0</v>
      </c>
      <c r="M53" s="330">
        <f>L53*D53*VPI!Q53</f>
        <v>0</v>
      </c>
    </row>
    <row r="54" spans="1:13" x14ac:dyDescent="0.25">
      <c r="A54" s="173">
        <f>Données!A54</f>
        <v>5487</v>
      </c>
      <c r="B54" s="27" t="str">
        <f>Données!B54</f>
        <v>Lussery-Villars</v>
      </c>
      <c r="C54" s="387">
        <f>VPI!R54</f>
        <v>12890.529066666668</v>
      </c>
      <c r="D54" s="27">
        <f>Données!Z54</f>
        <v>459</v>
      </c>
      <c r="E54" s="118">
        <f t="shared" si="6"/>
        <v>28.083941321713873</v>
      </c>
      <c r="F54" s="206">
        <f t="shared" si="0"/>
        <v>0.60825083223558696</v>
      </c>
      <c r="G54" s="517">
        <f t="shared" si="1"/>
        <v>0</v>
      </c>
      <c r="H54" s="517">
        <f t="shared" si="2"/>
        <v>0</v>
      </c>
      <c r="I54" s="517">
        <f t="shared" si="3"/>
        <v>0</v>
      </c>
      <c r="J54" s="517">
        <f t="shared" si="4"/>
        <v>0</v>
      </c>
      <c r="K54" s="517">
        <f t="shared" si="5"/>
        <v>0</v>
      </c>
      <c r="L54" s="519">
        <f t="shared" si="7"/>
        <v>0</v>
      </c>
      <c r="M54" s="330">
        <f>L54*D54*VPI!Q54</f>
        <v>0</v>
      </c>
    </row>
    <row r="55" spans="1:13" x14ac:dyDescent="0.25">
      <c r="A55" s="173">
        <f>Données!A55</f>
        <v>5488</v>
      </c>
      <c r="B55" s="27" t="str">
        <f>Données!B55</f>
        <v>Mauraz</v>
      </c>
      <c r="C55" s="387">
        <f>VPI!R55</f>
        <v>1631.9031355919719</v>
      </c>
      <c r="D55" s="27">
        <f>Données!Z55</f>
        <v>58</v>
      </c>
      <c r="E55" s="118">
        <f t="shared" si="6"/>
        <v>28.136260958482275</v>
      </c>
      <c r="F55" s="206">
        <f t="shared" si="0"/>
        <v>0.60938398738080302</v>
      </c>
      <c r="G55" s="517">
        <f t="shared" si="1"/>
        <v>0</v>
      </c>
      <c r="H55" s="517">
        <f t="shared" si="2"/>
        <v>0</v>
      </c>
      <c r="I55" s="517">
        <f t="shared" si="3"/>
        <v>0</v>
      </c>
      <c r="J55" s="517">
        <f t="shared" si="4"/>
        <v>0</v>
      </c>
      <c r="K55" s="517">
        <f t="shared" si="5"/>
        <v>0</v>
      </c>
      <c r="L55" s="519">
        <f t="shared" si="7"/>
        <v>0</v>
      </c>
      <c r="M55" s="330">
        <f>L55*D55*VPI!Q55</f>
        <v>0</v>
      </c>
    </row>
    <row r="56" spans="1:13" x14ac:dyDescent="0.25">
      <c r="A56" s="173">
        <f>Données!A56</f>
        <v>5489</v>
      </c>
      <c r="B56" s="27" t="str">
        <f>Données!B56</f>
        <v>Mex</v>
      </c>
      <c r="C56" s="387">
        <f>VPI!R56</f>
        <v>57470.761557418853</v>
      </c>
      <c r="D56" s="27">
        <f>Données!Z56</f>
        <v>791</v>
      </c>
      <c r="E56" s="118">
        <f t="shared" si="6"/>
        <v>72.655830034663538</v>
      </c>
      <c r="F56" s="206">
        <f t="shared" si="0"/>
        <v>1.5736028137611313</v>
      </c>
      <c r="G56" s="517">
        <f t="shared" si="1"/>
        <v>26.484185322739108</v>
      </c>
      <c r="H56" s="517">
        <f t="shared" si="2"/>
        <v>17.249856380354224</v>
      </c>
      <c r="I56" s="517">
        <f t="shared" si="3"/>
        <v>3.3983629667769009</v>
      </c>
      <c r="J56" s="517">
        <f t="shared" si="4"/>
        <v>0</v>
      </c>
      <c r="K56" s="517">
        <f t="shared" si="5"/>
        <v>0</v>
      </c>
      <c r="L56" s="519">
        <f t="shared" si="7"/>
        <v>7.3616589992609338</v>
      </c>
      <c r="M56" s="330">
        <f>L56*D56*VPI!Q56</f>
        <v>346472.79997071624</v>
      </c>
    </row>
    <row r="57" spans="1:13" x14ac:dyDescent="0.25">
      <c r="A57" s="173">
        <f>Données!A57</f>
        <v>5490</v>
      </c>
      <c r="B57" s="27" t="str">
        <f>Données!B57</f>
        <v>Moiry</v>
      </c>
      <c r="C57" s="387">
        <f>VPI!R57</f>
        <v>8655.6964066779783</v>
      </c>
      <c r="D57" s="27">
        <f>Données!Z57</f>
        <v>311</v>
      </c>
      <c r="E57" s="118">
        <f t="shared" si="6"/>
        <v>27.831821243337551</v>
      </c>
      <c r="F57" s="206">
        <f t="shared" si="0"/>
        <v>0.60279033629810508</v>
      </c>
      <c r="G57" s="517">
        <f t="shared" si="1"/>
        <v>0</v>
      </c>
      <c r="H57" s="517">
        <f t="shared" si="2"/>
        <v>0</v>
      </c>
      <c r="I57" s="517">
        <f t="shared" si="3"/>
        <v>0</v>
      </c>
      <c r="J57" s="517">
        <f t="shared" si="4"/>
        <v>0</v>
      </c>
      <c r="K57" s="517">
        <f t="shared" si="5"/>
        <v>0</v>
      </c>
      <c r="L57" s="519">
        <f t="shared" si="7"/>
        <v>0</v>
      </c>
      <c r="M57" s="330">
        <f>L57*D57*VPI!Q57</f>
        <v>0</v>
      </c>
    </row>
    <row r="58" spans="1:13" x14ac:dyDescent="0.25">
      <c r="A58" s="173">
        <f>Données!A58</f>
        <v>5491</v>
      </c>
      <c r="B58" s="27" t="str">
        <f>Données!B58</f>
        <v>Mont-la-Ville</v>
      </c>
      <c r="C58" s="387">
        <f>VPI!R58</f>
        <v>14318.599966826661</v>
      </c>
      <c r="D58" s="27">
        <f>Données!Z58</f>
        <v>490</v>
      </c>
      <c r="E58" s="118">
        <f t="shared" si="6"/>
        <v>29.221632585360535</v>
      </c>
      <c r="F58" s="206">
        <f t="shared" si="0"/>
        <v>0.63289130737449484</v>
      </c>
      <c r="G58" s="517">
        <f t="shared" si="1"/>
        <v>0</v>
      </c>
      <c r="H58" s="517">
        <f t="shared" si="2"/>
        <v>0</v>
      </c>
      <c r="I58" s="517">
        <f t="shared" si="3"/>
        <v>0</v>
      </c>
      <c r="J58" s="517">
        <f t="shared" si="4"/>
        <v>0</v>
      </c>
      <c r="K58" s="517">
        <f t="shared" si="5"/>
        <v>0</v>
      </c>
      <c r="L58" s="519">
        <f t="shared" si="7"/>
        <v>0</v>
      </c>
      <c r="M58" s="330">
        <f>L58*D58*VPI!Q58</f>
        <v>0</v>
      </c>
    </row>
    <row r="59" spans="1:13" x14ac:dyDescent="0.25">
      <c r="A59" s="173">
        <f>Données!A59</f>
        <v>5492</v>
      </c>
      <c r="B59" s="27" t="str">
        <f>Données!B59</f>
        <v>Montricher</v>
      </c>
      <c r="C59" s="387">
        <f>VPI!R59</f>
        <v>157142.15514628743</v>
      </c>
      <c r="D59" s="27">
        <f>Données!Z59</f>
        <v>964</v>
      </c>
      <c r="E59" s="118">
        <f t="shared" si="6"/>
        <v>163.0105343841156</v>
      </c>
      <c r="F59" s="206">
        <f t="shared" si="0"/>
        <v>3.5305334129025732</v>
      </c>
      <c r="G59" s="517">
        <f t="shared" si="1"/>
        <v>116.83888967219117</v>
      </c>
      <c r="H59" s="517">
        <f t="shared" si="2"/>
        <v>107.60456072980628</v>
      </c>
      <c r="I59" s="517">
        <f t="shared" si="3"/>
        <v>93.753067316228965</v>
      </c>
      <c r="J59" s="517">
        <f t="shared" si="4"/>
        <v>70.667244960266743</v>
      </c>
      <c r="K59" s="517">
        <f t="shared" si="5"/>
        <v>24.495600248342328</v>
      </c>
      <c r="L59" s="519">
        <f t="shared" si="7"/>
        <v>53.019825259902667</v>
      </c>
      <c r="M59" s="330">
        <f>L59*D59*VPI!Q59</f>
        <v>3271111.139234955</v>
      </c>
    </row>
    <row r="60" spans="1:13" x14ac:dyDescent="0.25">
      <c r="A60" s="173">
        <f>Données!A60</f>
        <v>5493</v>
      </c>
      <c r="B60" s="27" t="str">
        <f>Données!B60</f>
        <v>Orny</v>
      </c>
      <c r="C60" s="387">
        <f>VPI!R60</f>
        <v>12876.853954456508</v>
      </c>
      <c r="D60" s="27">
        <f>Données!Z60</f>
        <v>462</v>
      </c>
      <c r="E60" s="118">
        <f t="shared" si="6"/>
        <v>27.87197825639937</v>
      </c>
      <c r="F60" s="206">
        <f t="shared" si="0"/>
        <v>0.6036600695145059</v>
      </c>
      <c r="G60" s="517">
        <f t="shared" si="1"/>
        <v>0</v>
      </c>
      <c r="H60" s="517">
        <f t="shared" si="2"/>
        <v>0</v>
      </c>
      <c r="I60" s="517">
        <f t="shared" si="3"/>
        <v>0</v>
      </c>
      <c r="J60" s="517">
        <f t="shared" si="4"/>
        <v>0</v>
      </c>
      <c r="K60" s="517">
        <f t="shared" si="5"/>
        <v>0</v>
      </c>
      <c r="L60" s="519">
        <f t="shared" si="7"/>
        <v>0</v>
      </c>
      <c r="M60" s="330">
        <f>L60*D60*VPI!Q60</f>
        <v>0</v>
      </c>
    </row>
    <row r="61" spans="1:13" x14ac:dyDescent="0.25">
      <c r="A61" s="173">
        <f>Données!A61</f>
        <v>5495</v>
      </c>
      <c r="B61" s="27" t="str">
        <f>Données!B61</f>
        <v>Penthalaz</v>
      </c>
      <c r="C61" s="387">
        <f>VPI!R61</f>
        <v>93343.047382121076</v>
      </c>
      <c r="D61" s="27">
        <f>Données!Z61</f>
        <v>3207</v>
      </c>
      <c r="E61" s="118">
        <f t="shared" si="6"/>
        <v>29.106032860031519</v>
      </c>
      <c r="F61" s="206">
        <f t="shared" si="0"/>
        <v>0.6303876121725962</v>
      </c>
      <c r="G61" s="517">
        <f t="shared" si="1"/>
        <v>0</v>
      </c>
      <c r="H61" s="517">
        <f t="shared" si="2"/>
        <v>0</v>
      </c>
      <c r="I61" s="517">
        <f t="shared" si="3"/>
        <v>0</v>
      </c>
      <c r="J61" s="517">
        <f t="shared" si="4"/>
        <v>0</v>
      </c>
      <c r="K61" s="517">
        <f t="shared" si="5"/>
        <v>0</v>
      </c>
      <c r="L61" s="519">
        <f t="shared" si="7"/>
        <v>0</v>
      </c>
      <c r="M61" s="330">
        <f>L61*D61*VPI!Q61</f>
        <v>0</v>
      </c>
    </row>
    <row r="62" spans="1:13" x14ac:dyDescent="0.25">
      <c r="A62" s="173">
        <f>Données!A62</f>
        <v>5496</v>
      </c>
      <c r="B62" s="27" t="str">
        <f>Données!B62</f>
        <v>Penthaz</v>
      </c>
      <c r="C62" s="387">
        <f>VPI!R62</f>
        <v>60111.570435586618</v>
      </c>
      <c r="D62" s="27">
        <f>Données!Z62</f>
        <v>1855</v>
      </c>
      <c r="E62" s="118">
        <f t="shared" si="6"/>
        <v>32.40515926446718</v>
      </c>
      <c r="F62" s="206">
        <f t="shared" si="0"/>
        <v>0.70184112926126985</v>
      </c>
      <c r="G62" s="517">
        <f t="shared" si="1"/>
        <v>0</v>
      </c>
      <c r="H62" s="517">
        <f t="shared" si="2"/>
        <v>0</v>
      </c>
      <c r="I62" s="517">
        <f t="shared" si="3"/>
        <v>0</v>
      </c>
      <c r="J62" s="517">
        <f t="shared" si="4"/>
        <v>0</v>
      </c>
      <c r="K62" s="517">
        <f t="shared" si="5"/>
        <v>0</v>
      </c>
      <c r="L62" s="519">
        <f t="shared" si="7"/>
        <v>0</v>
      </c>
      <c r="M62" s="330">
        <f>L62*D62*VPI!Q62</f>
        <v>0</v>
      </c>
    </row>
    <row r="63" spans="1:13" x14ac:dyDescent="0.25">
      <c r="A63" s="173">
        <f>Données!A63</f>
        <v>5497</v>
      </c>
      <c r="B63" s="27" t="str">
        <f>Données!B63</f>
        <v>Pompaples</v>
      </c>
      <c r="C63" s="387">
        <f>VPI!R63</f>
        <v>20415.356363636369</v>
      </c>
      <c r="D63" s="27">
        <f>Données!Z63</f>
        <v>847</v>
      </c>
      <c r="E63" s="118">
        <f t="shared" si="6"/>
        <v>24.103136202640339</v>
      </c>
      <c r="F63" s="206">
        <f t="shared" si="0"/>
        <v>0.52203330318911922</v>
      </c>
      <c r="G63" s="517">
        <f t="shared" si="1"/>
        <v>0</v>
      </c>
      <c r="H63" s="517">
        <f t="shared" si="2"/>
        <v>0</v>
      </c>
      <c r="I63" s="517">
        <f t="shared" si="3"/>
        <v>0</v>
      </c>
      <c r="J63" s="517">
        <f t="shared" si="4"/>
        <v>0</v>
      </c>
      <c r="K63" s="517">
        <f t="shared" si="5"/>
        <v>0</v>
      </c>
      <c r="L63" s="519">
        <f t="shared" si="7"/>
        <v>0</v>
      </c>
      <c r="M63" s="330">
        <f>L63*D63*VPI!Q63</f>
        <v>0</v>
      </c>
    </row>
    <row r="64" spans="1:13" x14ac:dyDescent="0.25">
      <c r="A64" s="173">
        <f>Données!A64</f>
        <v>5498</v>
      </c>
      <c r="B64" s="27" t="str">
        <f>Données!B64</f>
        <v>La Sarraz</v>
      </c>
      <c r="C64" s="387">
        <f>VPI!R64</f>
        <v>77489.743908484481</v>
      </c>
      <c r="D64" s="27">
        <f>Données!Z64</f>
        <v>2598</v>
      </c>
      <c r="E64" s="118">
        <f t="shared" si="6"/>
        <v>29.826691265775398</v>
      </c>
      <c r="F64" s="206">
        <f t="shared" si="0"/>
        <v>0.64599585853765928</v>
      </c>
      <c r="G64" s="517">
        <f t="shared" si="1"/>
        <v>0</v>
      </c>
      <c r="H64" s="517">
        <f t="shared" si="2"/>
        <v>0</v>
      </c>
      <c r="I64" s="517">
        <f t="shared" si="3"/>
        <v>0</v>
      </c>
      <c r="J64" s="517">
        <f t="shared" si="4"/>
        <v>0</v>
      </c>
      <c r="K64" s="517">
        <f t="shared" si="5"/>
        <v>0</v>
      </c>
      <c r="L64" s="519">
        <f t="shared" si="7"/>
        <v>0</v>
      </c>
      <c r="M64" s="330">
        <f>L64*D64*VPI!Q64</f>
        <v>0</v>
      </c>
    </row>
    <row r="65" spans="1:13" x14ac:dyDescent="0.25">
      <c r="A65" s="173">
        <f>Données!A65</f>
        <v>5499</v>
      </c>
      <c r="B65" s="27" t="str">
        <f>Données!B65</f>
        <v>Senarclens</v>
      </c>
      <c r="C65" s="387">
        <f>VPI!R65</f>
        <v>19645.120071728084</v>
      </c>
      <c r="D65" s="27">
        <f>Données!Z65</f>
        <v>496</v>
      </c>
      <c r="E65" s="118">
        <f t="shared" si="6"/>
        <v>39.607096918806619</v>
      </c>
      <c r="F65" s="206">
        <f t="shared" si="0"/>
        <v>0.85782295965249789</v>
      </c>
      <c r="G65" s="517">
        <f t="shared" si="1"/>
        <v>0</v>
      </c>
      <c r="H65" s="517">
        <f t="shared" si="2"/>
        <v>0</v>
      </c>
      <c r="I65" s="517">
        <f t="shared" si="3"/>
        <v>0</v>
      </c>
      <c r="J65" s="517">
        <f t="shared" si="4"/>
        <v>0</v>
      </c>
      <c r="K65" s="517">
        <f t="shared" si="5"/>
        <v>0</v>
      </c>
      <c r="L65" s="519">
        <f t="shared" si="7"/>
        <v>0</v>
      </c>
      <c r="M65" s="330">
        <f>L65*D65*VPI!Q65</f>
        <v>0</v>
      </c>
    </row>
    <row r="66" spans="1:13" x14ac:dyDescent="0.25">
      <c r="A66" s="173">
        <f>Données!A66</f>
        <v>5501</v>
      </c>
      <c r="B66" s="27" t="str">
        <f>Données!B66</f>
        <v>Sullens</v>
      </c>
      <c r="C66" s="387">
        <f>VPI!R66</f>
        <v>41909.752277748921</v>
      </c>
      <c r="D66" s="27">
        <f>Données!Z66</f>
        <v>1041</v>
      </c>
      <c r="E66" s="118">
        <f t="shared" si="6"/>
        <v>40.259128028577251</v>
      </c>
      <c r="F66" s="206">
        <f t="shared" si="0"/>
        <v>0.87194485446128811</v>
      </c>
      <c r="G66" s="517">
        <f t="shared" si="1"/>
        <v>0</v>
      </c>
      <c r="H66" s="517">
        <f t="shared" si="2"/>
        <v>0</v>
      </c>
      <c r="I66" s="517">
        <f t="shared" si="3"/>
        <v>0</v>
      </c>
      <c r="J66" s="517">
        <f t="shared" si="4"/>
        <v>0</v>
      </c>
      <c r="K66" s="517">
        <f t="shared" si="5"/>
        <v>0</v>
      </c>
      <c r="L66" s="519">
        <f t="shared" si="7"/>
        <v>0</v>
      </c>
      <c r="M66" s="330">
        <f>L66*D66*VPI!Q66</f>
        <v>0</v>
      </c>
    </row>
    <row r="67" spans="1:13" x14ac:dyDescent="0.25">
      <c r="A67" s="173">
        <f>Données!A67</f>
        <v>5503</v>
      </c>
      <c r="B67" s="27" t="str">
        <f>Données!B67</f>
        <v>Vufflens-la-Ville</v>
      </c>
      <c r="C67" s="387">
        <f>VPI!R67</f>
        <v>67522.299953701979</v>
      </c>
      <c r="D67" s="27">
        <f>Données!Z67</f>
        <v>1349</v>
      </c>
      <c r="E67" s="118">
        <f t="shared" si="6"/>
        <v>50.053595221424743</v>
      </c>
      <c r="F67" s="206">
        <f t="shared" si="0"/>
        <v>1.0840765048271661</v>
      </c>
      <c r="G67" s="517">
        <f t="shared" si="1"/>
        <v>3.8819505095003137</v>
      </c>
      <c r="H67" s="517">
        <f t="shared" si="2"/>
        <v>0</v>
      </c>
      <c r="I67" s="517">
        <f t="shared" si="3"/>
        <v>0</v>
      </c>
      <c r="J67" s="517">
        <f t="shared" si="4"/>
        <v>0</v>
      </c>
      <c r="K67" s="517">
        <f t="shared" si="5"/>
        <v>0</v>
      </c>
      <c r="L67" s="519">
        <f t="shared" si="7"/>
        <v>0.77639010190006275</v>
      </c>
      <c r="M67" s="330">
        <f>L67*D67*VPI!Q67</f>
        <v>70172.466580033361</v>
      </c>
    </row>
    <row r="68" spans="1:13" x14ac:dyDescent="0.25">
      <c r="A68" s="173">
        <f>Données!A68</f>
        <v>5511</v>
      </c>
      <c r="B68" s="27" t="str">
        <f>Données!B68</f>
        <v>Assens</v>
      </c>
      <c r="C68" s="387">
        <f>VPI!R68</f>
        <v>66087.783372412887</v>
      </c>
      <c r="D68" s="27">
        <f>Données!Z68</f>
        <v>1666</v>
      </c>
      <c r="E68" s="118">
        <f t="shared" si="6"/>
        <v>39.668537438423101</v>
      </c>
      <c r="F68" s="206">
        <f t="shared" si="0"/>
        <v>0.85915365774652996</v>
      </c>
      <c r="G68" s="517">
        <f t="shared" si="1"/>
        <v>0</v>
      </c>
      <c r="H68" s="517">
        <f t="shared" si="2"/>
        <v>0</v>
      </c>
      <c r="I68" s="517">
        <f t="shared" si="3"/>
        <v>0</v>
      </c>
      <c r="J68" s="517">
        <f t="shared" si="4"/>
        <v>0</v>
      </c>
      <c r="K68" s="517">
        <f t="shared" si="5"/>
        <v>0</v>
      </c>
      <c r="L68" s="519">
        <f t="shared" si="7"/>
        <v>0</v>
      </c>
      <c r="M68" s="330">
        <f>L68*D68*VPI!Q68</f>
        <v>0</v>
      </c>
    </row>
    <row r="69" spans="1:13" x14ac:dyDescent="0.25">
      <c r="A69" s="173">
        <f>Données!A69</f>
        <v>5512</v>
      </c>
      <c r="B69" s="27" t="str">
        <f>Données!B69</f>
        <v>Bercher</v>
      </c>
      <c r="C69" s="387">
        <f>VPI!R69</f>
        <v>40303.726605085889</v>
      </c>
      <c r="D69" s="27">
        <f>Données!Z69</f>
        <v>1323</v>
      </c>
      <c r="E69" s="118">
        <f t="shared" si="6"/>
        <v>30.463890102105736</v>
      </c>
      <c r="F69" s="206">
        <f t="shared" si="0"/>
        <v>0.65979651130422134</v>
      </c>
      <c r="G69" s="517">
        <f t="shared" si="1"/>
        <v>0</v>
      </c>
      <c r="H69" s="517">
        <f t="shared" si="2"/>
        <v>0</v>
      </c>
      <c r="I69" s="517">
        <f t="shared" si="3"/>
        <v>0</v>
      </c>
      <c r="J69" s="517">
        <f t="shared" si="4"/>
        <v>0</v>
      </c>
      <c r="K69" s="517">
        <f t="shared" si="5"/>
        <v>0</v>
      </c>
      <c r="L69" s="519">
        <f t="shared" si="7"/>
        <v>0</v>
      </c>
      <c r="M69" s="330">
        <f>L69*D69*VPI!Q69</f>
        <v>0</v>
      </c>
    </row>
    <row r="70" spans="1:13" x14ac:dyDescent="0.25">
      <c r="A70" s="173">
        <f>Données!A70</f>
        <v>5514</v>
      </c>
      <c r="B70" s="27" t="str">
        <f>Données!B70</f>
        <v>Bottens</v>
      </c>
      <c r="C70" s="387">
        <f>VPI!R70</f>
        <v>44188.527468794709</v>
      </c>
      <c r="D70" s="27">
        <f>Données!Z70</f>
        <v>1330</v>
      </c>
      <c r="E70" s="118">
        <f t="shared" si="6"/>
        <v>33.224456743454667</v>
      </c>
      <c r="F70" s="206">
        <f t="shared" ref="F70:F133" si="8">E70/$E$306</f>
        <v>0.71958573169203166</v>
      </c>
      <c r="G70" s="517">
        <f t="shared" ref="G70:G133" si="9">IF(E70-$G$3&lt;0,0,E70-$G$3)</f>
        <v>0</v>
      </c>
      <c r="H70" s="517">
        <f t="shared" ref="H70:H133" si="10">IF(E70-$H$3&lt;0,0,E70-$H$3)</f>
        <v>0</v>
      </c>
      <c r="I70" s="517">
        <f t="shared" ref="I70:I133" si="11">IF(E70-$I$3&lt;0,0,E70-$I$3)</f>
        <v>0</v>
      </c>
      <c r="J70" s="517">
        <f t="shared" ref="J70:J133" si="12">IF(E70-$J$3&lt;0,0,E70-$J$3)</f>
        <v>0</v>
      </c>
      <c r="K70" s="517">
        <f t="shared" ref="K70:K133" si="13">IF(E70-$K$3&lt;0,0,E70-$K$3)</f>
        <v>0</v>
      </c>
      <c r="L70" s="519">
        <f t="shared" si="7"/>
        <v>0</v>
      </c>
      <c r="M70" s="330">
        <f>L70*D70*VPI!Q70</f>
        <v>0</v>
      </c>
    </row>
    <row r="71" spans="1:13" x14ac:dyDescent="0.25">
      <c r="A71" s="173">
        <f>Données!A71</f>
        <v>5515</v>
      </c>
      <c r="B71" s="27" t="str">
        <f>Données!B71</f>
        <v>Bretigny-sur-Morrens</v>
      </c>
      <c r="C71" s="387">
        <f>VPI!R71</f>
        <v>29581.308918344312</v>
      </c>
      <c r="D71" s="27">
        <f>Données!Z71</f>
        <v>859</v>
      </c>
      <c r="E71" s="118">
        <f t="shared" ref="E71:E134" si="14">C71/D71</f>
        <v>34.436913758258804</v>
      </c>
      <c r="F71" s="206">
        <f t="shared" si="8"/>
        <v>0.74584550697985041</v>
      </c>
      <c r="G71" s="517">
        <f t="shared" si="9"/>
        <v>0</v>
      </c>
      <c r="H71" s="517">
        <f t="shared" si="10"/>
        <v>0</v>
      </c>
      <c r="I71" s="517">
        <f t="shared" si="11"/>
        <v>0</v>
      </c>
      <c r="J71" s="517">
        <f t="shared" si="12"/>
        <v>0</v>
      </c>
      <c r="K71" s="517">
        <f t="shared" si="13"/>
        <v>0</v>
      </c>
      <c r="L71" s="519">
        <f t="shared" ref="L71:L134" si="15">(G71-H71)*$G$4+(H71-I71)*$H$4+(I71-J71)*$I$4+(J71-K71)*$J$4+(K71*$K$4)</f>
        <v>0</v>
      </c>
      <c r="M71" s="330">
        <f>L71*D71*VPI!Q71</f>
        <v>0</v>
      </c>
    </row>
    <row r="72" spans="1:13" x14ac:dyDescent="0.25">
      <c r="A72" s="173">
        <f>Données!A72</f>
        <v>5516</v>
      </c>
      <c r="B72" s="27" t="str">
        <f>Données!B72</f>
        <v>Cugy</v>
      </c>
      <c r="C72" s="387">
        <f>VPI!R72</f>
        <v>107018.16986148078</v>
      </c>
      <c r="D72" s="27">
        <f>Données!Z72</f>
        <v>2760</v>
      </c>
      <c r="E72" s="118">
        <f t="shared" si="14"/>
        <v>38.774699225174196</v>
      </c>
      <c r="F72" s="206">
        <f t="shared" si="8"/>
        <v>0.83979462865354948</v>
      </c>
      <c r="G72" s="517">
        <f t="shared" si="9"/>
        <v>0</v>
      </c>
      <c r="H72" s="517">
        <f t="shared" si="10"/>
        <v>0</v>
      </c>
      <c r="I72" s="517">
        <f t="shared" si="11"/>
        <v>0</v>
      </c>
      <c r="J72" s="517">
        <f t="shared" si="12"/>
        <v>0</v>
      </c>
      <c r="K72" s="517">
        <f t="shared" si="13"/>
        <v>0</v>
      </c>
      <c r="L72" s="519">
        <f t="shared" si="15"/>
        <v>0</v>
      </c>
      <c r="M72" s="330">
        <f>L72*D72*VPI!Q72</f>
        <v>0</v>
      </c>
    </row>
    <row r="73" spans="1:13" x14ac:dyDescent="0.25">
      <c r="A73" s="173">
        <f>Données!A73</f>
        <v>5518</v>
      </c>
      <c r="B73" s="27" t="str">
        <f>Données!B73</f>
        <v>Echallens</v>
      </c>
      <c r="C73" s="387">
        <f>VPI!R73</f>
        <v>178600.86493850421</v>
      </c>
      <c r="D73" s="27">
        <f>Données!Z73</f>
        <v>5731</v>
      </c>
      <c r="E73" s="118">
        <f t="shared" si="14"/>
        <v>31.163996673966885</v>
      </c>
      <c r="F73" s="206">
        <f t="shared" si="8"/>
        <v>0.67495963958845884</v>
      </c>
      <c r="G73" s="517">
        <f t="shared" si="9"/>
        <v>0</v>
      </c>
      <c r="H73" s="517">
        <f t="shared" si="10"/>
        <v>0</v>
      </c>
      <c r="I73" s="517">
        <f t="shared" si="11"/>
        <v>0</v>
      </c>
      <c r="J73" s="517">
        <f t="shared" si="12"/>
        <v>0</v>
      </c>
      <c r="K73" s="517">
        <f t="shared" si="13"/>
        <v>0</v>
      </c>
      <c r="L73" s="519">
        <f t="shared" si="15"/>
        <v>0</v>
      </c>
      <c r="M73" s="330">
        <f>L73*D73*VPI!Q73</f>
        <v>0</v>
      </c>
    </row>
    <row r="74" spans="1:13" x14ac:dyDescent="0.25">
      <c r="A74" s="173">
        <f>Données!A74</f>
        <v>5520</v>
      </c>
      <c r="B74" s="27" t="str">
        <f>Données!B74</f>
        <v>Essertines-sur-Yverdon</v>
      </c>
      <c r="C74" s="387">
        <f>VPI!R74</f>
        <v>29717.541203363555</v>
      </c>
      <c r="D74" s="27">
        <f>Données!Z74</f>
        <v>1036</v>
      </c>
      <c r="E74" s="118">
        <f t="shared" si="14"/>
        <v>28.684885331432003</v>
      </c>
      <c r="F74" s="206">
        <f t="shared" si="8"/>
        <v>0.62126626656692951</v>
      </c>
      <c r="G74" s="517">
        <f t="shared" si="9"/>
        <v>0</v>
      </c>
      <c r="H74" s="517">
        <f t="shared" si="10"/>
        <v>0</v>
      </c>
      <c r="I74" s="517">
        <f t="shared" si="11"/>
        <v>0</v>
      </c>
      <c r="J74" s="517">
        <f t="shared" si="12"/>
        <v>0</v>
      </c>
      <c r="K74" s="517">
        <f t="shared" si="13"/>
        <v>0</v>
      </c>
      <c r="L74" s="519">
        <f t="shared" si="15"/>
        <v>0</v>
      </c>
      <c r="M74" s="330">
        <f>L74*D74*VPI!Q74</f>
        <v>0</v>
      </c>
    </row>
    <row r="75" spans="1:13" x14ac:dyDescent="0.25">
      <c r="A75" s="173">
        <f>Données!A75</f>
        <v>5521</v>
      </c>
      <c r="B75" s="27" t="str">
        <f>Données!B75</f>
        <v>Etagnières</v>
      </c>
      <c r="C75" s="387">
        <f>VPI!R75</f>
        <v>46728.684482765391</v>
      </c>
      <c r="D75" s="27">
        <f>Données!Z75</f>
        <v>1148</v>
      </c>
      <c r="E75" s="118">
        <f t="shared" si="14"/>
        <v>40.704428991955915</v>
      </c>
      <c r="F75" s="206">
        <f t="shared" si="8"/>
        <v>0.88158932275253055</v>
      </c>
      <c r="G75" s="517">
        <f t="shared" si="9"/>
        <v>0</v>
      </c>
      <c r="H75" s="517">
        <f t="shared" si="10"/>
        <v>0</v>
      </c>
      <c r="I75" s="517">
        <f t="shared" si="11"/>
        <v>0</v>
      </c>
      <c r="J75" s="517">
        <f t="shared" si="12"/>
        <v>0</v>
      </c>
      <c r="K75" s="517">
        <f t="shared" si="13"/>
        <v>0</v>
      </c>
      <c r="L75" s="519">
        <f t="shared" si="15"/>
        <v>0</v>
      </c>
      <c r="M75" s="330">
        <f>L75*D75*VPI!Q75</f>
        <v>0</v>
      </c>
    </row>
    <row r="76" spans="1:13" x14ac:dyDescent="0.25">
      <c r="A76" s="173">
        <f>Données!A76</f>
        <v>5522</v>
      </c>
      <c r="B76" s="27" t="str">
        <f>Données!B76</f>
        <v>Fey</v>
      </c>
      <c r="C76" s="387">
        <f>VPI!R76</f>
        <v>23725.546686457117</v>
      </c>
      <c r="D76" s="27">
        <f>Données!Z76</f>
        <v>749</v>
      </c>
      <c r="E76" s="118">
        <f t="shared" si="14"/>
        <v>31.676297311691744</v>
      </c>
      <c r="F76" s="206">
        <f t="shared" si="8"/>
        <v>0.68605520789496433</v>
      </c>
      <c r="G76" s="517">
        <f t="shared" si="9"/>
        <v>0</v>
      </c>
      <c r="H76" s="517">
        <f t="shared" si="10"/>
        <v>0</v>
      </c>
      <c r="I76" s="517">
        <f t="shared" si="11"/>
        <v>0</v>
      </c>
      <c r="J76" s="517">
        <f t="shared" si="12"/>
        <v>0</v>
      </c>
      <c r="K76" s="517">
        <f t="shared" si="13"/>
        <v>0</v>
      </c>
      <c r="L76" s="519">
        <f t="shared" si="15"/>
        <v>0</v>
      </c>
      <c r="M76" s="330">
        <f>L76*D76*VPI!Q76</f>
        <v>0</v>
      </c>
    </row>
    <row r="77" spans="1:13" x14ac:dyDescent="0.25">
      <c r="A77" s="173">
        <f>Données!A77</f>
        <v>5523</v>
      </c>
      <c r="B77" s="27" t="str">
        <f>Données!B77</f>
        <v>Froideville</v>
      </c>
      <c r="C77" s="387">
        <f>VPI!R77</f>
        <v>85857.812378374249</v>
      </c>
      <c r="D77" s="27">
        <f>Données!Z77</f>
        <v>2694</v>
      </c>
      <c r="E77" s="118">
        <f t="shared" si="14"/>
        <v>31.870012018698681</v>
      </c>
      <c r="F77" s="206">
        <f t="shared" si="8"/>
        <v>0.6902507419335624</v>
      </c>
      <c r="G77" s="517">
        <f t="shared" si="9"/>
        <v>0</v>
      </c>
      <c r="H77" s="517">
        <f t="shared" si="10"/>
        <v>0</v>
      </c>
      <c r="I77" s="517">
        <f t="shared" si="11"/>
        <v>0</v>
      </c>
      <c r="J77" s="517">
        <f t="shared" si="12"/>
        <v>0</v>
      </c>
      <c r="K77" s="517">
        <f t="shared" si="13"/>
        <v>0</v>
      </c>
      <c r="L77" s="519">
        <f t="shared" si="15"/>
        <v>0</v>
      </c>
      <c r="M77" s="330">
        <f>L77*D77*VPI!Q77</f>
        <v>0</v>
      </c>
    </row>
    <row r="78" spans="1:13" x14ac:dyDescent="0.25">
      <c r="A78" s="173">
        <f>Données!A78</f>
        <v>5527</v>
      </c>
      <c r="B78" s="27" t="str">
        <f>Données!B78</f>
        <v>Morrens</v>
      </c>
      <c r="C78" s="387">
        <f>VPI!R78</f>
        <v>40562.178421686454</v>
      </c>
      <c r="D78" s="27">
        <f>Données!Z78</f>
        <v>1153</v>
      </c>
      <c r="E78" s="118">
        <f t="shared" si="14"/>
        <v>35.179686402156506</v>
      </c>
      <c r="F78" s="206">
        <f t="shared" si="8"/>
        <v>0.76193271046874567</v>
      </c>
      <c r="G78" s="517">
        <f t="shared" si="9"/>
        <v>0</v>
      </c>
      <c r="H78" s="517">
        <f t="shared" si="10"/>
        <v>0</v>
      </c>
      <c r="I78" s="517">
        <f t="shared" si="11"/>
        <v>0</v>
      </c>
      <c r="J78" s="517">
        <f t="shared" si="12"/>
        <v>0</v>
      </c>
      <c r="K78" s="517">
        <f t="shared" si="13"/>
        <v>0</v>
      </c>
      <c r="L78" s="519">
        <f t="shared" si="15"/>
        <v>0</v>
      </c>
      <c r="M78" s="330">
        <f>L78*D78*VPI!Q78</f>
        <v>0</v>
      </c>
    </row>
    <row r="79" spans="1:13" x14ac:dyDescent="0.25">
      <c r="A79" s="173">
        <f>Données!A79</f>
        <v>5529</v>
      </c>
      <c r="B79" s="27" t="str">
        <f>Données!B79</f>
        <v>Oulens-sous-Echallens</v>
      </c>
      <c r="C79" s="387">
        <f>VPI!R79</f>
        <v>20197.480835918959</v>
      </c>
      <c r="D79" s="27">
        <f>Données!Z79</f>
        <v>618</v>
      </c>
      <c r="E79" s="118">
        <f t="shared" si="14"/>
        <v>32.682007825111583</v>
      </c>
      <c r="F79" s="206">
        <f t="shared" si="8"/>
        <v>0.70783720244366843</v>
      </c>
      <c r="G79" s="517">
        <f t="shared" si="9"/>
        <v>0</v>
      </c>
      <c r="H79" s="517">
        <f t="shared" si="10"/>
        <v>0</v>
      </c>
      <c r="I79" s="517">
        <f t="shared" si="11"/>
        <v>0</v>
      </c>
      <c r="J79" s="517">
        <f t="shared" si="12"/>
        <v>0</v>
      </c>
      <c r="K79" s="517">
        <f t="shared" si="13"/>
        <v>0</v>
      </c>
      <c r="L79" s="519">
        <f t="shared" si="15"/>
        <v>0</v>
      </c>
      <c r="M79" s="330">
        <f>L79*D79*VPI!Q79</f>
        <v>0</v>
      </c>
    </row>
    <row r="80" spans="1:13" x14ac:dyDescent="0.25">
      <c r="A80" s="173">
        <f>Données!A80</f>
        <v>5530</v>
      </c>
      <c r="B80" s="27" t="str">
        <f>Données!B80</f>
        <v>Pailly</v>
      </c>
      <c r="C80" s="387">
        <f>VPI!R80</f>
        <v>18293.784444479894</v>
      </c>
      <c r="D80" s="27">
        <f>Données!Z80</f>
        <v>567</v>
      </c>
      <c r="E80" s="118">
        <f t="shared" si="14"/>
        <v>32.26417009608447</v>
      </c>
      <c r="F80" s="206">
        <f t="shared" si="8"/>
        <v>0.69878754151791844</v>
      </c>
      <c r="G80" s="517">
        <f t="shared" si="9"/>
        <v>0</v>
      </c>
      <c r="H80" s="517">
        <f t="shared" si="10"/>
        <v>0</v>
      </c>
      <c r="I80" s="517">
        <f t="shared" si="11"/>
        <v>0</v>
      </c>
      <c r="J80" s="517">
        <f t="shared" si="12"/>
        <v>0</v>
      </c>
      <c r="K80" s="517">
        <f t="shared" si="13"/>
        <v>0</v>
      </c>
      <c r="L80" s="519">
        <f t="shared" si="15"/>
        <v>0</v>
      </c>
      <c r="M80" s="330">
        <f>L80*D80*VPI!Q80</f>
        <v>0</v>
      </c>
    </row>
    <row r="81" spans="1:13" x14ac:dyDescent="0.25">
      <c r="A81" s="173">
        <f>Données!A81</f>
        <v>5531</v>
      </c>
      <c r="B81" s="27" t="str">
        <f>Données!B81</f>
        <v>Penthéréaz</v>
      </c>
      <c r="C81" s="387">
        <f>VPI!R81</f>
        <v>13840.342734120952</v>
      </c>
      <c r="D81" s="27">
        <f>Données!Z81</f>
        <v>419</v>
      </c>
      <c r="E81" s="118">
        <f t="shared" si="14"/>
        <v>33.031844234178884</v>
      </c>
      <c r="F81" s="206">
        <f t="shared" si="8"/>
        <v>0.71541406939848473</v>
      </c>
      <c r="G81" s="517">
        <f t="shared" si="9"/>
        <v>0</v>
      </c>
      <c r="H81" s="517">
        <f t="shared" si="10"/>
        <v>0</v>
      </c>
      <c r="I81" s="517">
        <f t="shared" si="11"/>
        <v>0</v>
      </c>
      <c r="J81" s="517">
        <f t="shared" si="12"/>
        <v>0</v>
      </c>
      <c r="K81" s="517">
        <f t="shared" si="13"/>
        <v>0</v>
      </c>
      <c r="L81" s="519">
        <f t="shared" si="15"/>
        <v>0</v>
      </c>
      <c r="M81" s="330">
        <f>L81*D81*VPI!Q81</f>
        <v>0</v>
      </c>
    </row>
    <row r="82" spans="1:13" x14ac:dyDescent="0.25">
      <c r="A82" s="173">
        <f>Données!A82</f>
        <v>5533</v>
      </c>
      <c r="B82" s="27" t="str">
        <f>Données!B82</f>
        <v>Poliez-Pittet</v>
      </c>
      <c r="C82" s="387">
        <f>VPI!R82</f>
        <v>27171.721019789369</v>
      </c>
      <c r="D82" s="27">
        <f>Données!Z82</f>
        <v>829</v>
      </c>
      <c r="E82" s="118">
        <f t="shared" si="14"/>
        <v>32.776503039552921</v>
      </c>
      <c r="F82" s="206">
        <f t="shared" si="8"/>
        <v>0.70988380951237717</v>
      </c>
      <c r="G82" s="517">
        <f t="shared" si="9"/>
        <v>0</v>
      </c>
      <c r="H82" s="517">
        <f t="shared" si="10"/>
        <v>0</v>
      </c>
      <c r="I82" s="517">
        <f t="shared" si="11"/>
        <v>0</v>
      </c>
      <c r="J82" s="517">
        <f t="shared" si="12"/>
        <v>0</v>
      </c>
      <c r="K82" s="517">
        <f t="shared" si="13"/>
        <v>0</v>
      </c>
      <c r="L82" s="519">
        <f t="shared" si="15"/>
        <v>0</v>
      </c>
      <c r="M82" s="330">
        <f>L82*D82*VPI!Q82</f>
        <v>0</v>
      </c>
    </row>
    <row r="83" spans="1:13" x14ac:dyDescent="0.25">
      <c r="A83" s="173">
        <f>Données!A83</f>
        <v>5534</v>
      </c>
      <c r="B83" s="27" t="str">
        <f>Données!B83</f>
        <v>Rueyres</v>
      </c>
      <c r="C83" s="387">
        <f>VPI!R83</f>
        <v>9741.2664246848526</v>
      </c>
      <c r="D83" s="27">
        <f>Données!Z83</f>
        <v>266</v>
      </c>
      <c r="E83" s="118">
        <f t="shared" si="14"/>
        <v>36.621302348439293</v>
      </c>
      <c r="F83" s="206">
        <f t="shared" si="8"/>
        <v>0.79315568195432651</v>
      </c>
      <c r="G83" s="517">
        <f t="shared" si="9"/>
        <v>0</v>
      </c>
      <c r="H83" s="517">
        <f t="shared" si="10"/>
        <v>0</v>
      </c>
      <c r="I83" s="517">
        <f t="shared" si="11"/>
        <v>0</v>
      </c>
      <c r="J83" s="517">
        <f t="shared" si="12"/>
        <v>0</v>
      </c>
      <c r="K83" s="517">
        <f t="shared" si="13"/>
        <v>0</v>
      </c>
      <c r="L83" s="519">
        <f t="shared" si="15"/>
        <v>0</v>
      </c>
      <c r="M83" s="330">
        <f>L83*D83*VPI!Q83</f>
        <v>0</v>
      </c>
    </row>
    <row r="84" spans="1:13" x14ac:dyDescent="0.25">
      <c r="A84" s="173">
        <f>Données!A84</f>
        <v>5535</v>
      </c>
      <c r="B84" s="27" t="str">
        <f>Données!B84</f>
        <v>Saint-Barthélemy</v>
      </c>
      <c r="C84" s="387">
        <f>VPI!R84</f>
        <v>22506.660400000004</v>
      </c>
      <c r="D84" s="27">
        <f>Données!Z84</f>
        <v>784</v>
      </c>
      <c r="E84" s="118">
        <f t="shared" si="14"/>
        <v>28.707475000000006</v>
      </c>
      <c r="F84" s="206">
        <f t="shared" si="8"/>
        <v>0.62175552071217266</v>
      </c>
      <c r="G84" s="517">
        <f t="shared" si="9"/>
        <v>0</v>
      </c>
      <c r="H84" s="517">
        <f t="shared" si="10"/>
        <v>0</v>
      </c>
      <c r="I84" s="517">
        <f t="shared" si="11"/>
        <v>0</v>
      </c>
      <c r="J84" s="517">
        <f t="shared" si="12"/>
        <v>0</v>
      </c>
      <c r="K84" s="517">
        <f t="shared" si="13"/>
        <v>0</v>
      </c>
      <c r="L84" s="519">
        <f t="shared" si="15"/>
        <v>0</v>
      </c>
      <c r="M84" s="330">
        <f>L84*D84*VPI!Q84</f>
        <v>0</v>
      </c>
    </row>
    <row r="85" spans="1:13" x14ac:dyDescent="0.25">
      <c r="A85" s="173">
        <f>Données!A85</f>
        <v>5537</v>
      </c>
      <c r="B85" s="27" t="str">
        <f>Données!B85</f>
        <v>Villars-le-Terroir</v>
      </c>
      <c r="C85" s="387">
        <f>VPI!R85</f>
        <v>37957.948044056422</v>
      </c>
      <c r="D85" s="27">
        <f>Données!Z85</f>
        <v>1281</v>
      </c>
      <c r="E85" s="118">
        <f t="shared" si="14"/>
        <v>29.631497302151775</v>
      </c>
      <c r="F85" s="206">
        <f t="shared" si="8"/>
        <v>0.64176828629409977</v>
      </c>
      <c r="G85" s="517">
        <f t="shared" si="9"/>
        <v>0</v>
      </c>
      <c r="H85" s="517">
        <f t="shared" si="10"/>
        <v>0</v>
      </c>
      <c r="I85" s="517">
        <f t="shared" si="11"/>
        <v>0</v>
      </c>
      <c r="J85" s="517">
        <f t="shared" si="12"/>
        <v>0</v>
      </c>
      <c r="K85" s="517">
        <f t="shared" si="13"/>
        <v>0</v>
      </c>
      <c r="L85" s="519">
        <f t="shared" si="15"/>
        <v>0</v>
      </c>
      <c r="M85" s="330">
        <f>L85*D85*VPI!Q85</f>
        <v>0</v>
      </c>
    </row>
    <row r="86" spans="1:13" x14ac:dyDescent="0.25">
      <c r="A86" s="173">
        <f>Données!A86</f>
        <v>5539</v>
      </c>
      <c r="B86" s="27" t="str">
        <f>Données!B86</f>
        <v>Vuarrens</v>
      </c>
      <c r="C86" s="387">
        <f>VPI!R86</f>
        <v>35955.043474705482</v>
      </c>
      <c r="D86" s="27">
        <f>Données!Z86</f>
        <v>1060</v>
      </c>
      <c r="E86" s="118">
        <f t="shared" si="14"/>
        <v>33.919852334627812</v>
      </c>
      <c r="F86" s="206">
        <f t="shared" si="8"/>
        <v>0.7346468280751447</v>
      </c>
      <c r="G86" s="517">
        <f t="shared" si="9"/>
        <v>0</v>
      </c>
      <c r="H86" s="517">
        <f t="shared" si="10"/>
        <v>0</v>
      </c>
      <c r="I86" s="517">
        <f t="shared" si="11"/>
        <v>0</v>
      </c>
      <c r="J86" s="517">
        <f t="shared" si="12"/>
        <v>0</v>
      </c>
      <c r="K86" s="517">
        <f t="shared" si="13"/>
        <v>0</v>
      </c>
      <c r="L86" s="519">
        <f t="shared" si="15"/>
        <v>0</v>
      </c>
      <c r="M86" s="330">
        <f>L86*D86*VPI!Q86</f>
        <v>0</v>
      </c>
    </row>
    <row r="87" spans="1:13" x14ac:dyDescent="0.25">
      <c r="A87" s="173">
        <f>Données!A87</f>
        <v>5540</v>
      </c>
      <c r="B87" s="27" t="str">
        <f>Données!B87</f>
        <v>Montilliez</v>
      </c>
      <c r="C87" s="387">
        <f>VPI!R87</f>
        <v>66216.365354079026</v>
      </c>
      <c r="D87" s="27">
        <f>Données!Z87</f>
        <v>1857</v>
      </c>
      <c r="E87" s="118">
        <f t="shared" si="14"/>
        <v>35.657708860570288</v>
      </c>
      <c r="F87" s="206">
        <f t="shared" si="8"/>
        <v>0.77228587118884284</v>
      </c>
      <c r="G87" s="517">
        <f t="shared" si="9"/>
        <v>0</v>
      </c>
      <c r="H87" s="517">
        <f t="shared" si="10"/>
        <v>0</v>
      </c>
      <c r="I87" s="517">
        <f t="shared" si="11"/>
        <v>0</v>
      </c>
      <c r="J87" s="517">
        <f t="shared" si="12"/>
        <v>0</v>
      </c>
      <c r="K87" s="517">
        <f t="shared" si="13"/>
        <v>0</v>
      </c>
      <c r="L87" s="519">
        <f t="shared" si="15"/>
        <v>0</v>
      </c>
      <c r="M87" s="330">
        <f>L87*D87*VPI!Q87</f>
        <v>0</v>
      </c>
    </row>
    <row r="88" spans="1:13" x14ac:dyDescent="0.25">
      <c r="A88" s="173">
        <f>Données!A88</f>
        <v>5541</v>
      </c>
      <c r="B88" s="27" t="str">
        <f>Données!B88</f>
        <v>Goumoëns</v>
      </c>
      <c r="C88" s="387">
        <f>VPI!R88</f>
        <v>36974.846186713199</v>
      </c>
      <c r="D88" s="27">
        <f>Données!Z88</f>
        <v>1153</v>
      </c>
      <c r="E88" s="118">
        <f t="shared" si="14"/>
        <v>32.068383509725237</v>
      </c>
      <c r="F88" s="206">
        <f t="shared" si="8"/>
        <v>0.69454713406479884</v>
      </c>
      <c r="G88" s="517">
        <f t="shared" si="9"/>
        <v>0</v>
      </c>
      <c r="H88" s="517">
        <f t="shared" si="10"/>
        <v>0</v>
      </c>
      <c r="I88" s="517">
        <f t="shared" si="11"/>
        <v>0</v>
      </c>
      <c r="J88" s="517">
        <f t="shared" si="12"/>
        <v>0</v>
      </c>
      <c r="K88" s="517">
        <f t="shared" si="13"/>
        <v>0</v>
      </c>
      <c r="L88" s="519">
        <f t="shared" si="15"/>
        <v>0</v>
      </c>
      <c r="M88" s="330">
        <f>L88*D88*VPI!Q88</f>
        <v>0</v>
      </c>
    </row>
    <row r="89" spans="1:13" x14ac:dyDescent="0.25">
      <c r="A89" s="173">
        <f>Données!A89</f>
        <v>5551</v>
      </c>
      <c r="B89" s="27" t="str">
        <f>Données!B89</f>
        <v>Bonvillars</v>
      </c>
      <c r="C89" s="387">
        <f>VPI!R89</f>
        <v>19152.288613413803</v>
      </c>
      <c r="D89" s="27">
        <f>Données!Z89</f>
        <v>489</v>
      </c>
      <c r="E89" s="118">
        <f t="shared" si="14"/>
        <v>39.166234383259308</v>
      </c>
      <c r="F89" s="206">
        <f t="shared" si="8"/>
        <v>0.84827462022690558</v>
      </c>
      <c r="G89" s="517">
        <f t="shared" si="9"/>
        <v>0</v>
      </c>
      <c r="H89" s="517">
        <f t="shared" si="10"/>
        <v>0</v>
      </c>
      <c r="I89" s="517">
        <f t="shared" si="11"/>
        <v>0</v>
      </c>
      <c r="J89" s="517">
        <f t="shared" si="12"/>
        <v>0</v>
      </c>
      <c r="K89" s="517">
        <f t="shared" si="13"/>
        <v>0</v>
      </c>
      <c r="L89" s="519">
        <f t="shared" si="15"/>
        <v>0</v>
      </c>
      <c r="M89" s="330">
        <f>L89*D89*VPI!Q89</f>
        <v>0</v>
      </c>
    </row>
    <row r="90" spans="1:13" x14ac:dyDescent="0.25">
      <c r="A90" s="173">
        <f>Données!A90</f>
        <v>5552</v>
      </c>
      <c r="B90" s="27" t="str">
        <f>Données!B90</f>
        <v>Bullet</v>
      </c>
      <c r="C90" s="387">
        <f>VPI!R90</f>
        <v>17562.45286713287</v>
      </c>
      <c r="D90" s="27">
        <f>Données!Z90</f>
        <v>657</v>
      </c>
      <c r="E90" s="118">
        <f t="shared" si="14"/>
        <v>26.731282902789758</v>
      </c>
      <c r="F90" s="206">
        <f t="shared" si="8"/>
        <v>0.57895453085053428</v>
      </c>
      <c r="G90" s="517">
        <f t="shared" si="9"/>
        <v>0</v>
      </c>
      <c r="H90" s="517">
        <f t="shared" si="10"/>
        <v>0</v>
      </c>
      <c r="I90" s="517">
        <f t="shared" si="11"/>
        <v>0</v>
      </c>
      <c r="J90" s="517">
        <f t="shared" si="12"/>
        <v>0</v>
      </c>
      <c r="K90" s="517">
        <f t="shared" si="13"/>
        <v>0</v>
      </c>
      <c r="L90" s="519">
        <f t="shared" si="15"/>
        <v>0</v>
      </c>
      <c r="M90" s="330">
        <f>L90*D90*VPI!Q90</f>
        <v>0</v>
      </c>
    </row>
    <row r="91" spans="1:13" x14ac:dyDescent="0.25">
      <c r="A91" s="173">
        <f>Données!A91</f>
        <v>5553</v>
      </c>
      <c r="B91" s="27" t="str">
        <f>Données!B91</f>
        <v>Champagne</v>
      </c>
      <c r="C91" s="387">
        <f>VPI!R91</f>
        <v>38621.939977657414</v>
      </c>
      <c r="D91" s="27">
        <f>Données!Z91</f>
        <v>1061</v>
      </c>
      <c r="E91" s="118">
        <f t="shared" si="14"/>
        <v>36.401451439827909</v>
      </c>
      <c r="F91" s="206">
        <f t="shared" si="8"/>
        <v>0.78839408184276272</v>
      </c>
      <c r="G91" s="517">
        <f t="shared" si="9"/>
        <v>0</v>
      </c>
      <c r="H91" s="517">
        <f t="shared" si="10"/>
        <v>0</v>
      </c>
      <c r="I91" s="517">
        <f t="shared" si="11"/>
        <v>0</v>
      </c>
      <c r="J91" s="517">
        <f t="shared" si="12"/>
        <v>0</v>
      </c>
      <c r="K91" s="517">
        <f t="shared" si="13"/>
        <v>0</v>
      </c>
      <c r="L91" s="519">
        <f t="shared" si="15"/>
        <v>0</v>
      </c>
      <c r="M91" s="330">
        <f>L91*D91*VPI!Q91</f>
        <v>0</v>
      </c>
    </row>
    <row r="92" spans="1:13" x14ac:dyDescent="0.25">
      <c r="A92" s="173">
        <f>Données!A92</f>
        <v>5554</v>
      </c>
      <c r="B92" s="27" t="str">
        <f>Données!B92</f>
        <v>Concise</v>
      </c>
      <c r="C92" s="387">
        <f>VPI!R92</f>
        <v>32321.208248272062</v>
      </c>
      <c r="D92" s="27">
        <f>Données!Z92</f>
        <v>1001</v>
      </c>
      <c r="E92" s="118">
        <f t="shared" si="14"/>
        <v>32.288919328943116</v>
      </c>
      <c r="F92" s="206">
        <f t="shared" si="8"/>
        <v>0.69932356818565056</v>
      </c>
      <c r="G92" s="517">
        <f t="shared" si="9"/>
        <v>0</v>
      </c>
      <c r="H92" s="517">
        <f t="shared" si="10"/>
        <v>0</v>
      </c>
      <c r="I92" s="517">
        <f t="shared" si="11"/>
        <v>0</v>
      </c>
      <c r="J92" s="517">
        <f t="shared" si="12"/>
        <v>0</v>
      </c>
      <c r="K92" s="517">
        <f t="shared" si="13"/>
        <v>0</v>
      </c>
      <c r="L92" s="519">
        <f t="shared" si="15"/>
        <v>0</v>
      </c>
      <c r="M92" s="330">
        <f>L92*D92*VPI!Q92</f>
        <v>0</v>
      </c>
    </row>
    <row r="93" spans="1:13" x14ac:dyDescent="0.25">
      <c r="A93" s="173">
        <f>Données!A93</f>
        <v>5555</v>
      </c>
      <c r="B93" s="27" t="str">
        <f>Données!B93</f>
        <v>Corcelles-près-Concise</v>
      </c>
      <c r="C93" s="387">
        <f>VPI!R93</f>
        <v>13590.982580275477</v>
      </c>
      <c r="D93" s="27">
        <f>Données!Z93</f>
        <v>419</v>
      </c>
      <c r="E93" s="118">
        <f t="shared" si="14"/>
        <v>32.436712602089443</v>
      </c>
      <c r="F93" s="206">
        <f t="shared" si="8"/>
        <v>0.70252452136954613</v>
      </c>
      <c r="G93" s="517">
        <f t="shared" si="9"/>
        <v>0</v>
      </c>
      <c r="H93" s="517">
        <f t="shared" si="10"/>
        <v>0</v>
      </c>
      <c r="I93" s="517">
        <f t="shared" si="11"/>
        <v>0</v>
      </c>
      <c r="J93" s="517">
        <f t="shared" si="12"/>
        <v>0</v>
      </c>
      <c r="K93" s="517">
        <f t="shared" si="13"/>
        <v>0</v>
      </c>
      <c r="L93" s="519">
        <f t="shared" si="15"/>
        <v>0</v>
      </c>
      <c r="M93" s="330">
        <f>L93*D93*VPI!Q93</f>
        <v>0</v>
      </c>
    </row>
    <row r="94" spans="1:13" x14ac:dyDescent="0.25">
      <c r="A94" s="173">
        <f>Données!A94</f>
        <v>5556</v>
      </c>
      <c r="B94" s="27" t="str">
        <f>Données!B94</f>
        <v>Fiez</v>
      </c>
      <c r="C94" s="387">
        <f>VPI!R94</f>
        <v>13811.370927055856</v>
      </c>
      <c r="D94" s="27">
        <f>Données!Z94</f>
        <v>451</v>
      </c>
      <c r="E94" s="118">
        <f t="shared" si="14"/>
        <v>30.623882321631609</v>
      </c>
      <c r="F94" s="206">
        <f t="shared" si="8"/>
        <v>0.66326167310480477</v>
      </c>
      <c r="G94" s="517">
        <f t="shared" si="9"/>
        <v>0</v>
      </c>
      <c r="H94" s="517">
        <f t="shared" si="10"/>
        <v>0</v>
      </c>
      <c r="I94" s="517">
        <f t="shared" si="11"/>
        <v>0</v>
      </c>
      <c r="J94" s="517">
        <f t="shared" si="12"/>
        <v>0</v>
      </c>
      <c r="K94" s="517">
        <f t="shared" si="13"/>
        <v>0</v>
      </c>
      <c r="L94" s="519">
        <f t="shared" si="15"/>
        <v>0</v>
      </c>
      <c r="M94" s="330">
        <f>L94*D94*VPI!Q94</f>
        <v>0</v>
      </c>
    </row>
    <row r="95" spans="1:13" x14ac:dyDescent="0.25">
      <c r="A95" s="173">
        <f>Données!A95</f>
        <v>5557</v>
      </c>
      <c r="B95" s="27" t="str">
        <f>Données!B95</f>
        <v>Fontaines-sur-Grandson</v>
      </c>
      <c r="C95" s="387">
        <f>VPI!R95</f>
        <v>5898.4472463768097</v>
      </c>
      <c r="D95" s="27">
        <f>Données!Z95</f>
        <v>219</v>
      </c>
      <c r="E95" s="118">
        <f t="shared" si="14"/>
        <v>26.933549070213743</v>
      </c>
      <c r="F95" s="206">
        <f t="shared" si="8"/>
        <v>0.5833352751078803</v>
      </c>
      <c r="G95" s="517">
        <f t="shared" si="9"/>
        <v>0</v>
      </c>
      <c r="H95" s="517">
        <f t="shared" si="10"/>
        <v>0</v>
      </c>
      <c r="I95" s="517">
        <f t="shared" si="11"/>
        <v>0</v>
      </c>
      <c r="J95" s="517">
        <f t="shared" si="12"/>
        <v>0</v>
      </c>
      <c r="K95" s="517">
        <f t="shared" si="13"/>
        <v>0</v>
      </c>
      <c r="L95" s="519">
        <f t="shared" si="15"/>
        <v>0</v>
      </c>
      <c r="M95" s="330">
        <f>L95*D95*VPI!Q95</f>
        <v>0</v>
      </c>
    </row>
    <row r="96" spans="1:13" x14ac:dyDescent="0.25">
      <c r="A96" s="173">
        <f>Données!A96</f>
        <v>5559</v>
      </c>
      <c r="B96" s="27" t="str">
        <f>Données!B96</f>
        <v>Giez</v>
      </c>
      <c r="C96" s="387">
        <f>VPI!R96</f>
        <v>17108.440303030304</v>
      </c>
      <c r="D96" s="27">
        <f>Données!Z96</f>
        <v>414</v>
      </c>
      <c r="E96" s="118">
        <f t="shared" si="14"/>
        <v>41.324735031474162</v>
      </c>
      <c r="F96" s="206">
        <f t="shared" si="8"/>
        <v>0.89502410601373938</v>
      </c>
      <c r="G96" s="517">
        <f t="shared" si="9"/>
        <v>0</v>
      </c>
      <c r="H96" s="517">
        <f t="shared" si="10"/>
        <v>0</v>
      </c>
      <c r="I96" s="517">
        <f t="shared" si="11"/>
        <v>0</v>
      </c>
      <c r="J96" s="517">
        <f t="shared" si="12"/>
        <v>0</v>
      </c>
      <c r="K96" s="517">
        <f t="shared" si="13"/>
        <v>0</v>
      </c>
      <c r="L96" s="519">
        <f t="shared" si="15"/>
        <v>0</v>
      </c>
      <c r="M96" s="330">
        <f>L96*D96*VPI!Q96</f>
        <v>0</v>
      </c>
    </row>
    <row r="97" spans="1:13" x14ac:dyDescent="0.25">
      <c r="A97" s="173">
        <f>Données!A97</f>
        <v>5560</v>
      </c>
      <c r="B97" s="27" t="str">
        <f>Données!B97</f>
        <v>Grandevent</v>
      </c>
      <c r="C97" s="387">
        <f>VPI!R97</f>
        <v>6167.5355002978977</v>
      </c>
      <c r="D97" s="27">
        <f>Données!Z97</f>
        <v>226</v>
      </c>
      <c r="E97" s="118">
        <f t="shared" si="14"/>
        <v>27.289980089813707</v>
      </c>
      <c r="F97" s="206">
        <f t="shared" si="8"/>
        <v>0.59105497021131048</v>
      </c>
      <c r="G97" s="517">
        <f t="shared" si="9"/>
        <v>0</v>
      </c>
      <c r="H97" s="517">
        <f t="shared" si="10"/>
        <v>0</v>
      </c>
      <c r="I97" s="517">
        <f t="shared" si="11"/>
        <v>0</v>
      </c>
      <c r="J97" s="517">
        <f t="shared" si="12"/>
        <v>0</v>
      </c>
      <c r="K97" s="517">
        <f t="shared" si="13"/>
        <v>0</v>
      </c>
      <c r="L97" s="519">
        <f t="shared" si="15"/>
        <v>0</v>
      </c>
      <c r="M97" s="330">
        <f>L97*D97*VPI!Q97</f>
        <v>0</v>
      </c>
    </row>
    <row r="98" spans="1:13" x14ac:dyDescent="0.25">
      <c r="A98" s="173">
        <f>Données!A98</f>
        <v>5561</v>
      </c>
      <c r="B98" s="27" t="str">
        <f>Données!B98</f>
        <v>Grandson</v>
      </c>
      <c r="C98" s="387">
        <f>VPI!R98</f>
        <v>114698.81047200582</v>
      </c>
      <c r="D98" s="27">
        <f>Données!Z98</f>
        <v>3356</v>
      </c>
      <c r="E98" s="118">
        <f t="shared" si="14"/>
        <v>34.177237923720448</v>
      </c>
      <c r="F98" s="206">
        <f t="shared" si="8"/>
        <v>0.7402213660994782</v>
      </c>
      <c r="G98" s="517">
        <f t="shared" si="9"/>
        <v>0</v>
      </c>
      <c r="H98" s="517">
        <f t="shared" si="10"/>
        <v>0</v>
      </c>
      <c r="I98" s="517">
        <f t="shared" si="11"/>
        <v>0</v>
      </c>
      <c r="J98" s="517">
        <f t="shared" si="12"/>
        <v>0</v>
      </c>
      <c r="K98" s="517">
        <f t="shared" si="13"/>
        <v>0</v>
      </c>
      <c r="L98" s="519">
        <f t="shared" si="15"/>
        <v>0</v>
      </c>
      <c r="M98" s="330">
        <f>L98*D98*VPI!Q98</f>
        <v>0</v>
      </c>
    </row>
    <row r="99" spans="1:13" x14ac:dyDescent="0.25">
      <c r="A99" s="173">
        <f>Données!A99</f>
        <v>5562</v>
      </c>
      <c r="B99" s="27" t="str">
        <f>Données!B99</f>
        <v>Mauborget</v>
      </c>
      <c r="C99" s="387">
        <f>VPI!R99</f>
        <v>6036.4454253269014</v>
      </c>
      <c r="D99" s="27">
        <f>Données!Z99</f>
        <v>128</v>
      </c>
      <c r="E99" s="118">
        <f t="shared" si="14"/>
        <v>47.159729885366417</v>
      </c>
      <c r="F99" s="206">
        <f t="shared" si="8"/>
        <v>1.0214002593931162</v>
      </c>
      <c r="G99" s="517">
        <f t="shared" si="9"/>
        <v>0.98808517344198776</v>
      </c>
      <c r="H99" s="517">
        <f t="shared" si="10"/>
        <v>0</v>
      </c>
      <c r="I99" s="517">
        <f t="shared" si="11"/>
        <v>0</v>
      </c>
      <c r="J99" s="517">
        <f t="shared" si="12"/>
        <v>0</v>
      </c>
      <c r="K99" s="517">
        <f t="shared" si="13"/>
        <v>0</v>
      </c>
      <c r="L99" s="519">
        <f t="shared" si="15"/>
        <v>0.19761703468839756</v>
      </c>
      <c r="M99" s="330">
        <f>L99*D99*VPI!Q99</f>
        <v>1770.6486308080421</v>
      </c>
    </row>
    <row r="100" spans="1:13" x14ac:dyDescent="0.25">
      <c r="A100" s="173">
        <f>Données!A100</f>
        <v>5563</v>
      </c>
      <c r="B100" s="27" t="str">
        <f>Données!B100</f>
        <v>Mutrux</v>
      </c>
      <c r="C100" s="387">
        <f>VPI!R100</f>
        <v>4073.4583735660226</v>
      </c>
      <c r="D100" s="27">
        <f>Données!Z100</f>
        <v>149</v>
      </c>
      <c r="E100" s="118">
        <f t="shared" si="14"/>
        <v>27.338646802456527</v>
      </c>
      <c r="F100" s="206">
        <f t="shared" si="8"/>
        <v>0.59210900917714038</v>
      </c>
      <c r="G100" s="517">
        <f t="shared" si="9"/>
        <v>0</v>
      </c>
      <c r="H100" s="517">
        <f t="shared" si="10"/>
        <v>0</v>
      </c>
      <c r="I100" s="517">
        <f t="shared" si="11"/>
        <v>0</v>
      </c>
      <c r="J100" s="517">
        <f t="shared" si="12"/>
        <v>0</v>
      </c>
      <c r="K100" s="517">
        <f t="shared" si="13"/>
        <v>0</v>
      </c>
      <c r="L100" s="519">
        <f t="shared" si="15"/>
        <v>0</v>
      </c>
      <c r="M100" s="330">
        <f>L100*D100*VPI!Q100</f>
        <v>0</v>
      </c>
    </row>
    <row r="101" spans="1:13" x14ac:dyDescent="0.25">
      <c r="A101" s="173">
        <f>Données!A101</f>
        <v>5564</v>
      </c>
      <c r="B101" s="27" t="str">
        <f>Données!B101</f>
        <v>Novalles</v>
      </c>
      <c r="C101" s="387">
        <f>VPI!R101</f>
        <v>2091.5278618421053</v>
      </c>
      <c r="D101" s="27">
        <f>Données!Z101</f>
        <v>99</v>
      </c>
      <c r="E101" s="118">
        <f t="shared" si="14"/>
        <v>21.126544059011163</v>
      </c>
      <c r="F101" s="206">
        <f t="shared" si="8"/>
        <v>0.45756533454297671</v>
      </c>
      <c r="G101" s="517">
        <f t="shared" si="9"/>
        <v>0</v>
      </c>
      <c r="H101" s="517">
        <f t="shared" si="10"/>
        <v>0</v>
      </c>
      <c r="I101" s="517">
        <f t="shared" si="11"/>
        <v>0</v>
      </c>
      <c r="J101" s="517">
        <f t="shared" si="12"/>
        <v>0</v>
      </c>
      <c r="K101" s="517">
        <f t="shared" si="13"/>
        <v>0</v>
      </c>
      <c r="L101" s="519">
        <f t="shared" si="15"/>
        <v>0</v>
      </c>
      <c r="M101" s="330">
        <f>L101*D101*VPI!Q101</f>
        <v>0</v>
      </c>
    </row>
    <row r="102" spans="1:13" x14ac:dyDescent="0.25">
      <c r="A102" s="173">
        <f>Données!A102</f>
        <v>5565</v>
      </c>
      <c r="B102" s="27" t="str">
        <f>Données!B102</f>
        <v>Onnens</v>
      </c>
      <c r="C102" s="387">
        <f>VPI!R102</f>
        <v>19614.777543776931</v>
      </c>
      <c r="D102" s="27">
        <f>Données!Z102</f>
        <v>505</v>
      </c>
      <c r="E102" s="118">
        <f t="shared" si="14"/>
        <v>38.841143651043424</v>
      </c>
      <c r="F102" s="206">
        <f t="shared" si="8"/>
        <v>0.84123370292269861</v>
      </c>
      <c r="G102" s="517">
        <f t="shared" si="9"/>
        <v>0</v>
      </c>
      <c r="H102" s="517">
        <f t="shared" si="10"/>
        <v>0</v>
      </c>
      <c r="I102" s="517">
        <f t="shared" si="11"/>
        <v>0</v>
      </c>
      <c r="J102" s="517">
        <f t="shared" si="12"/>
        <v>0</v>
      </c>
      <c r="K102" s="517">
        <f t="shared" si="13"/>
        <v>0</v>
      </c>
      <c r="L102" s="519">
        <f t="shared" si="15"/>
        <v>0</v>
      </c>
      <c r="M102" s="330">
        <f>L102*D102*VPI!Q102</f>
        <v>0</v>
      </c>
    </row>
    <row r="103" spans="1:13" x14ac:dyDescent="0.25">
      <c r="A103" s="173">
        <f>Données!A103</f>
        <v>5566</v>
      </c>
      <c r="B103" s="27" t="str">
        <f>Données!B103</f>
        <v>Provence</v>
      </c>
      <c r="C103" s="387">
        <f>VPI!R103</f>
        <v>7592.3490248426833</v>
      </c>
      <c r="D103" s="27">
        <f>Données!Z103</f>
        <v>392</v>
      </c>
      <c r="E103" s="118">
        <f t="shared" si="14"/>
        <v>19.36823730827215</v>
      </c>
      <c r="F103" s="206">
        <f t="shared" si="8"/>
        <v>0.41948337402999314</v>
      </c>
      <c r="G103" s="517">
        <f t="shared" si="9"/>
        <v>0</v>
      </c>
      <c r="H103" s="517">
        <f t="shared" si="10"/>
        <v>0</v>
      </c>
      <c r="I103" s="517">
        <f t="shared" si="11"/>
        <v>0</v>
      </c>
      <c r="J103" s="517">
        <f t="shared" si="12"/>
        <v>0</v>
      </c>
      <c r="K103" s="517">
        <f t="shared" si="13"/>
        <v>0</v>
      </c>
      <c r="L103" s="519">
        <f t="shared" si="15"/>
        <v>0</v>
      </c>
      <c r="M103" s="330">
        <f>L103*D103*VPI!Q103</f>
        <v>0</v>
      </c>
    </row>
    <row r="104" spans="1:13" x14ac:dyDescent="0.25">
      <c r="A104" s="173">
        <f>Données!A104</f>
        <v>5568</v>
      </c>
      <c r="B104" s="27" t="str">
        <f>Données!B104</f>
        <v>Sainte-Croix</v>
      </c>
      <c r="C104" s="387">
        <f>VPI!R104</f>
        <v>106408.06903013417</v>
      </c>
      <c r="D104" s="27">
        <f>Données!Z104</f>
        <v>4917</v>
      </c>
      <c r="E104" s="118">
        <f t="shared" si="14"/>
        <v>21.640851948369772</v>
      </c>
      <c r="F104" s="206">
        <f t="shared" si="8"/>
        <v>0.46870437653655295</v>
      </c>
      <c r="G104" s="517">
        <f t="shared" si="9"/>
        <v>0</v>
      </c>
      <c r="H104" s="517">
        <f t="shared" si="10"/>
        <v>0</v>
      </c>
      <c r="I104" s="517">
        <f t="shared" si="11"/>
        <v>0</v>
      </c>
      <c r="J104" s="517">
        <f t="shared" si="12"/>
        <v>0</v>
      </c>
      <c r="K104" s="517">
        <f t="shared" si="13"/>
        <v>0</v>
      </c>
      <c r="L104" s="519">
        <f t="shared" si="15"/>
        <v>0</v>
      </c>
      <c r="M104" s="330">
        <f>L104*D104*VPI!Q104</f>
        <v>0</v>
      </c>
    </row>
    <row r="105" spans="1:13" x14ac:dyDescent="0.25">
      <c r="A105" s="173">
        <f>Données!A105</f>
        <v>5571</v>
      </c>
      <c r="B105" s="27" t="str">
        <f>Données!B105</f>
        <v>Tévenon</v>
      </c>
      <c r="C105" s="387">
        <f>VPI!R105</f>
        <v>21375.598965432913</v>
      </c>
      <c r="D105" s="27">
        <f>Données!Z105</f>
        <v>894</v>
      </c>
      <c r="E105" s="118">
        <f t="shared" si="14"/>
        <v>23.91006595686008</v>
      </c>
      <c r="F105" s="206">
        <f t="shared" si="8"/>
        <v>0.51785172709442151</v>
      </c>
      <c r="G105" s="517">
        <f t="shared" si="9"/>
        <v>0</v>
      </c>
      <c r="H105" s="517">
        <f t="shared" si="10"/>
        <v>0</v>
      </c>
      <c r="I105" s="517">
        <f t="shared" si="11"/>
        <v>0</v>
      </c>
      <c r="J105" s="517">
        <f t="shared" si="12"/>
        <v>0</v>
      </c>
      <c r="K105" s="517">
        <f t="shared" si="13"/>
        <v>0</v>
      </c>
      <c r="L105" s="519">
        <f t="shared" si="15"/>
        <v>0</v>
      </c>
      <c r="M105" s="330">
        <f>L105*D105*VPI!Q105</f>
        <v>0</v>
      </c>
    </row>
    <row r="106" spans="1:13" x14ac:dyDescent="0.25">
      <c r="A106" s="173">
        <f>Données!A106</f>
        <v>5581</v>
      </c>
      <c r="B106" s="27" t="str">
        <f>Données!B106</f>
        <v>Belmont-sur-Lausanne</v>
      </c>
      <c r="C106" s="387">
        <f>VPI!R106</f>
        <v>212399.01953543225</v>
      </c>
      <c r="D106" s="27">
        <f>Données!Z106</f>
        <v>3756</v>
      </c>
      <c r="E106" s="118">
        <f t="shared" si="14"/>
        <v>56.549259727218384</v>
      </c>
      <c r="F106" s="206">
        <f t="shared" si="8"/>
        <v>1.2247616492772198</v>
      </c>
      <c r="G106" s="517">
        <f t="shared" si="9"/>
        <v>10.377615015293955</v>
      </c>
      <c r="H106" s="517">
        <f t="shared" si="10"/>
        <v>1.1432860729090706</v>
      </c>
      <c r="I106" s="517">
        <f t="shared" si="11"/>
        <v>0</v>
      </c>
      <c r="J106" s="517">
        <f t="shared" si="12"/>
        <v>0</v>
      </c>
      <c r="K106" s="517">
        <f t="shared" si="13"/>
        <v>0</v>
      </c>
      <c r="L106" s="519">
        <f t="shared" si="15"/>
        <v>2.1898516103496983</v>
      </c>
      <c r="M106" s="330">
        <f>L106*D106*VPI!Q106</f>
        <v>592205.95069008961</v>
      </c>
    </row>
    <row r="107" spans="1:13" x14ac:dyDescent="0.25">
      <c r="A107" s="173">
        <f>Données!A107</f>
        <v>5582</v>
      </c>
      <c r="B107" s="27" t="str">
        <f>Données!B107</f>
        <v>Cheseaux-sur-Lausanne</v>
      </c>
      <c r="C107" s="387">
        <f>VPI!R107</f>
        <v>163661.81439852438</v>
      </c>
      <c r="D107" s="27">
        <f>Données!Z107</f>
        <v>4367</v>
      </c>
      <c r="E107" s="118">
        <f t="shared" si="14"/>
        <v>37.47694398867057</v>
      </c>
      <c r="F107" s="206">
        <f t="shared" si="8"/>
        <v>0.81168743765785023</v>
      </c>
      <c r="G107" s="517">
        <f t="shared" si="9"/>
        <v>0</v>
      </c>
      <c r="H107" s="517">
        <f t="shared" si="10"/>
        <v>0</v>
      </c>
      <c r="I107" s="517">
        <f t="shared" si="11"/>
        <v>0</v>
      </c>
      <c r="J107" s="517">
        <f t="shared" si="12"/>
        <v>0</v>
      </c>
      <c r="K107" s="517">
        <f t="shared" si="13"/>
        <v>0</v>
      </c>
      <c r="L107" s="519">
        <f t="shared" si="15"/>
        <v>0</v>
      </c>
      <c r="M107" s="330">
        <f>L107*D107*VPI!Q107</f>
        <v>0</v>
      </c>
    </row>
    <row r="108" spans="1:13" x14ac:dyDescent="0.25">
      <c r="A108" s="173">
        <f>Données!A108</f>
        <v>5583</v>
      </c>
      <c r="B108" s="27" t="str">
        <f>Données!B108</f>
        <v>Crissier</v>
      </c>
      <c r="C108" s="387">
        <f>VPI!R108</f>
        <v>366439.37058398779</v>
      </c>
      <c r="D108" s="27">
        <f>Données!Z108</f>
        <v>8700</v>
      </c>
      <c r="E108" s="118">
        <f t="shared" si="14"/>
        <v>42.119467883216991</v>
      </c>
      <c r="F108" s="206">
        <f t="shared" si="8"/>
        <v>0.91223668002320679</v>
      </c>
      <c r="G108" s="517">
        <f t="shared" si="9"/>
        <v>0</v>
      </c>
      <c r="H108" s="517">
        <f t="shared" si="10"/>
        <v>0</v>
      </c>
      <c r="I108" s="517">
        <f t="shared" si="11"/>
        <v>0</v>
      </c>
      <c r="J108" s="517">
        <f t="shared" si="12"/>
        <v>0</v>
      </c>
      <c r="K108" s="517">
        <f t="shared" si="13"/>
        <v>0</v>
      </c>
      <c r="L108" s="519">
        <f t="shared" si="15"/>
        <v>0</v>
      </c>
      <c r="M108" s="330">
        <f>L108*D108*VPI!Q108</f>
        <v>0</v>
      </c>
    </row>
    <row r="109" spans="1:13" x14ac:dyDescent="0.25">
      <c r="A109" s="173">
        <f>Données!A109</f>
        <v>5584</v>
      </c>
      <c r="B109" s="27" t="str">
        <f>Données!B109</f>
        <v>Epalinges</v>
      </c>
      <c r="C109" s="387">
        <f>VPI!R109</f>
        <v>481828.05446555291</v>
      </c>
      <c r="D109" s="27">
        <f>Données!Z109</f>
        <v>9755</v>
      </c>
      <c r="E109" s="118">
        <f t="shared" si="14"/>
        <v>49.392932287601525</v>
      </c>
      <c r="F109" s="206">
        <f t="shared" si="8"/>
        <v>1.0697676592587388</v>
      </c>
      <c r="G109" s="517">
        <f t="shared" si="9"/>
        <v>3.2212875756770956</v>
      </c>
      <c r="H109" s="517">
        <f t="shared" si="10"/>
        <v>0</v>
      </c>
      <c r="I109" s="517">
        <f t="shared" si="11"/>
        <v>0</v>
      </c>
      <c r="J109" s="517">
        <f t="shared" si="12"/>
        <v>0</v>
      </c>
      <c r="K109" s="517">
        <f t="shared" si="13"/>
        <v>0</v>
      </c>
      <c r="L109" s="519">
        <f t="shared" si="15"/>
        <v>0.64425751513541918</v>
      </c>
      <c r="M109" s="330">
        <f>L109*D109*VPI!Q109</f>
        <v>405365.21787941793</v>
      </c>
    </row>
    <row r="110" spans="1:13" x14ac:dyDescent="0.25">
      <c r="A110" s="173">
        <f>Données!A110</f>
        <v>5585</v>
      </c>
      <c r="B110" s="27" t="str">
        <f>Données!B110</f>
        <v>Jouxtens-Mézery</v>
      </c>
      <c r="C110" s="387">
        <f>VPI!R110</f>
        <v>202456.81185453033</v>
      </c>
      <c r="D110" s="27">
        <f>Données!Z110</f>
        <v>1411</v>
      </c>
      <c r="E110" s="118">
        <f t="shared" si="14"/>
        <v>143.48462923779613</v>
      </c>
      <c r="F110" s="206">
        <f t="shared" si="8"/>
        <v>3.1076352192569687</v>
      </c>
      <c r="G110" s="517">
        <f t="shared" si="9"/>
        <v>97.312984525871698</v>
      </c>
      <c r="H110" s="517">
        <f t="shared" si="10"/>
        <v>88.078655583486807</v>
      </c>
      <c r="I110" s="517">
        <f t="shared" si="11"/>
        <v>74.227162169909491</v>
      </c>
      <c r="J110" s="517">
        <f t="shared" si="12"/>
        <v>51.141339813947269</v>
      </c>
      <c r="K110" s="517">
        <f t="shared" si="13"/>
        <v>4.9696951020228539</v>
      </c>
      <c r="L110" s="519">
        <f t="shared" si="15"/>
        <v>41.30428217211098</v>
      </c>
      <c r="M110" s="330">
        <f>L110*D110*VPI!Q110</f>
        <v>3438540.1865460668</v>
      </c>
    </row>
    <row r="111" spans="1:13" x14ac:dyDescent="0.25">
      <c r="A111" s="173">
        <f>Données!A111</f>
        <v>5586</v>
      </c>
      <c r="B111" s="27" t="str">
        <f>Données!B111</f>
        <v>Lausanne</v>
      </c>
      <c r="C111" s="387">
        <f>VPI!R111</f>
        <v>6147866.1896833694</v>
      </c>
      <c r="D111" s="27">
        <f>Données!Z111</f>
        <v>140430</v>
      </c>
      <c r="E111" s="118">
        <f t="shared" si="14"/>
        <v>43.778866265636751</v>
      </c>
      <c r="F111" s="206">
        <f t="shared" si="8"/>
        <v>0.94817645199306244</v>
      </c>
      <c r="G111" s="517">
        <f t="shared" si="9"/>
        <v>0</v>
      </c>
      <c r="H111" s="517">
        <f t="shared" si="10"/>
        <v>0</v>
      </c>
      <c r="I111" s="517">
        <f t="shared" si="11"/>
        <v>0</v>
      </c>
      <c r="J111" s="517">
        <f t="shared" si="12"/>
        <v>0</v>
      </c>
      <c r="K111" s="517">
        <f t="shared" si="13"/>
        <v>0</v>
      </c>
      <c r="L111" s="519">
        <f t="shared" si="15"/>
        <v>0</v>
      </c>
      <c r="M111" s="330">
        <f>L111*D111*VPI!Q111</f>
        <v>0</v>
      </c>
    </row>
    <row r="112" spans="1:13" x14ac:dyDescent="0.25">
      <c r="A112" s="173">
        <f>Données!A112</f>
        <v>5587</v>
      </c>
      <c r="B112" s="27" t="str">
        <f>Données!B112</f>
        <v>Le Mont-sur-Lausanne</v>
      </c>
      <c r="C112" s="387">
        <f>VPI!R112</f>
        <v>442283.52488437272</v>
      </c>
      <c r="D112" s="27">
        <f>Données!Z112</f>
        <v>9136</v>
      </c>
      <c r="E112" s="118">
        <f t="shared" si="14"/>
        <v>48.411068835855154</v>
      </c>
      <c r="F112" s="206">
        <f t="shared" si="8"/>
        <v>1.0485021518705475</v>
      </c>
      <c r="G112" s="517">
        <f t="shared" si="9"/>
        <v>2.2394241239307249</v>
      </c>
      <c r="H112" s="517">
        <f t="shared" si="10"/>
        <v>0</v>
      </c>
      <c r="I112" s="517">
        <f t="shared" si="11"/>
        <v>0</v>
      </c>
      <c r="J112" s="517">
        <f t="shared" si="12"/>
        <v>0</v>
      </c>
      <c r="K112" s="517">
        <f t="shared" si="13"/>
        <v>0</v>
      </c>
      <c r="L112" s="519">
        <f t="shared" si="15"/>
        <v>0.447884824786145</v>
      </c>
      <c r="M112" s="330">
        <f>L112*D112*VPI!Q112</f>
        <v>300752.86830459721</v>
      </c>
    </row>
    <row r="113" spans="1:13" x14ac:dyDescent="0.25">
      <c r="A113" s="173">
        <f>Données!A113</f>
        <v>5588</v>
      </c>
      <c r="B113" s="27" t="str">
        <f>Données!B113</f>
        <v>Paudex</v>
      </c>
      <c r="C113" s="387">
        <f>VPI!R113</f>
        <v>135325.41739882343</v>
      </c>
      <c r="D113" s="27">
        <f>Données!Z113</f>
        <v>1538</v>
      </c>
      <c r="E113" s="118">
        <f t="shared" si="14"/>
        <v>87.987917684540591</v>
      </c>
      <c r="F113" s="206">
        <f t="shared" si="8"/>
        <v>1.9056699893087534</v>
      </c>
      <c r="G113" s="517">
        <f t="shared" si="9"/>
        <v>41.816272972616161</v>
      </c>
      <c r="H113" s="517">
        <f t="shared" si="10"/>
        <v>32.581944030231277</v>
      </c>
      <c r="I113" s="517">
        <f t="shared" si="11"/>
        <v>18.730450616653954</v>
      </c>
      <c r="J113" s="517">
        <f t="shared" si="12"/>
        <v>0</v>
      </c>
      <c r="K113" s="517">
        <f t="shared" si="13"/>
        <v>0</v>
      </c>
      <c r="L113" s="519">
        <f t="shared" si="15"/>
        <v>13.494494059211757</v>
      </c>
      <c r="M113" s="330">
        <f>L113*D113*VPI!Q113</f>
        <v>1380176.3688940008</v>
      </c>
    </row>
    <row r="114" spans="1:13" x14ac:dyDescent="0.25">
      <c r="A114" s="173">
        <f>Données!A114</f>
        <v>5589</v>
      </c>
      <c r="B114" s="27" t="str">
        <f>Données!B114</f>
        <v>Prilly</v>
      </c>
      <c r="C114" s="387">
        <f>VPI!R114</f>
        <v>453159.46835878264</v>
      </c>
      <c r="D114" s="27">
        <f>Données!Z114</f>
        <v>12383</v>
      </c>
      <c r="E114" s="118">
        <f t="shared" si="14"/>
        <v>36.595289377273893</v>
      </c>
      <c r="F114" s="206">
        <f t="shared" si="8"/>
        <v>0.79259228484495992</v>
      </c>
      <c r="G114" s="517">
        <f t="shared" si="9"/>
        <v>0</v>
      </c>
      <c r="H114" s="517">
        <f t="shared" si="10"/>
        <v>0</v>
      </c>
      <c r="I114" s="517">
        <f t="shared" si="11"/>
        <v>0</v>
      </c>
      <c r="J114" s="517">
        <f t="shared" si="12"/>
        <v>0</v>
      </c>
      <c r="K114" s="517">
        <f t="shared" si="13"/>
        <v>0</v>
      </c>
      <c r="L114" s="519">
        <f t="shared" si="15"/>
        <v>0</v>
      </c>
      <c r="M114" s="330">
        <f>L114*D114*VPI!Q114</f>
        <v>0</v>
      </c>
    </row>
    <row r="115" spans="1:13" x14ac:dyDescent="0.25">
      <c r="A115" s="173">
        <f>Données!A115</f>
        <v>5590</v>
      </c>
      <c r="B115" s="27" t="str">
        <f>Données!B115</f>
        <v>Pully</v>
      </c>
      <c r="C115" s="387">
        <f>VPI!R115</f>
        <v>1476232.2063472071</v>
      </c>
      <c r="D115" s="27">
        <f>Données!Z115</f>
        <v>18688</v>
      </c>
      <c r="E115" s="118">
        <f t="shared" si="14"/>
        <v>78.993589808818868</v>
      </c>
      <c r="F115" s="206">
        <f t="shared" si="8"/>
        <v>1.7108680078796878</v>
      </c>
      <c r="G115" s="517">
        <f t="shared" si="9"/>
        <v>32.821945096894439</v>
      </c>
      <c r="H115" s="517">
        <f t="shared" si="10"/>
        <v>23.587616154509554</v>
      </c>
      <c r="I115" s="517">
        <f t="shared" si="11"/>
        <v>9.7361227409322311</v>
      </c>
      <c r="J115" s="517">
        <f t="shared" si="12"/>
        <v>0</v>
      </c>
      <c r="K115" s="517">
        <f t="shared" si="13"/>
        <v>0</v>
      </c>
      <c r="L115" s="519">
        <f t="shared" si="15"/>
        <v>9.8967629089230655</v>
      </c>
      <c r="M115" s="330">
        <f>L115*D115*VPI!Q115</f>
        <v>11281993.01975921</v>
      </c>
    </row>
    <row r="116" spans="1:13" x14ac:dyDescent="0.25">
      <c r="A116" s="173">
        <f>Données!A116</f>
        <v>5591</v>
      </c>
      <c r="B116" s="27" t="str">
        <f>Données!B116</f>
        <v>Renens</v>
      </c>
      <c r="C116" s="387">
        <f>VPI!R116</f>
        <v>594878.13045762118</v>
      </c>
      <c r="D116" s="27">
        <f>Données!Z116</f>
        <v>20863</v>
      </c>
      <c r="E116" s="118">
        <f t="shared" si="14"/>
        <v>28.513546971079002</v>
      </c>
      <c r="F116" s="206">
        <f t="shared" si="8"/>
        <v>0.61755536648047993</v>
      </c>
      <c r="G116" s="517">
        <f t="shared" si="9"/>
        <v>0</v>
      </c>
      <c r="H116" s="517">
        <f t="shared" si="10"/>
        <v>0</v>
      </c>
      <c r="I116" s="517">
        <f t="shared" si="11"/>
        <v>0</v>
      </c>
      <c r="J116" s="517">
        <f t="shared" si="12"/>
        <v>0</v>
      </c>
      <c r="K116" s="517">
        <f t="shared" si="13"/>
        <v>0</v>
      </c>
      <c r="L116" s="519">
        <f t="shared" si="15"/>
        <v>0</v>
      </c>
      <c r="M116" s="330">
        <f>L116*D116*VPI!Q116</f>
        <v>0</v>
      </c>
    </row>
    <row r="117" spans="1:13" x14ac:dyDescent="0.25">
      <c r="A117" s="173">
        <f>Données!A117</f>
        <v>5592</v>
      </c>
      <c r="B117" s="27" t="str">
        <f>Données!B117</f>
        <v>Romanel-sur-Lausanne</v>
      </c>
      <c r="C117" s="387">
        <f>VPI!R117</f>
        <v>121107.61842839372</v>
      </c>
      <c r="D117" s="27">
        <f>Données!Z117</f>
        <v>3247</v>
      </c>
      <c r="E117" s="118">
        <f t="shared" si="14"/>
        <v>37.298311804248144</v>
      </c>
      <c r="F117" s="206">
        <f t="shared" si="8"/>
        <v>0.80781856563613741</v>
      </c>
      <c r="G117" s="517">
        <f t="shared" si="9"/>
        <v>0</v>
      </c>
      <c r="H117" s="517">
        <f t="shared" si="10"/>
        <v>0</v>
      </c>
      <c r="I117" s="517">
        <f t="shared" si="11"/>
        <v>0</v>
      </c>
      <c r="J117" s="517">
        <f t="shared" si="12"/>
        <v>0</v>
      </c>
      <c r="K117" s="517">
        <f t="shared" si="13"/>
        <v>0</v>
      </c>
      <c r="L117" s="519">
        <f t="shared" si="15"/>
        <v>0</v>
      </c>
      <c r="M117" s="330">
        <f>L117*D117*VPI!Q117</f>
        <v>0</v>
      </c>
    </row>
    <row r="118" spans="1:13" x14ac:dyDescent="0.25">
      <c r="A118" s="173">
        <f>Données!A118</f>
        <v>5601</v>
      </c>
      <c r="B118" s="27" t="str">
        <f>Données!B118</f>
        <v>Chexbres</v>
      </c>
      <c r="C118" s="387">
        <f>VPI!R118</f>
        <v>98052.639768384004</v>
      </c>
      <c r="D118" s="27">
        <f>Données!Z118</f>
        <v>2251</v>
      </c>
      <c r="E118" s="118">
        <f t="shared" si="14"/>
        <v>43.559591189864065</v>
      </c>
      <c r="F118" s="206">
        <f t="shared" si="8"/>
        <v>0.94342732345019176</v>
      </c>
      <c r="G118" s="517">
        <f t="shared" si="9"/>
        <v>0</v>
      </c>
      <c r="H118" s="517">
        <f t="shared" si="10"/>
        <v>0</v>
      </c>
      <c r="I118" s="517">
        <f t="shared" si="11"/>
        <v>0</v>
      </c>
      <c r="J118" s="517">
        <f t="shared" si="12"/>
        <v>0</v>
      </c>
      <c r="K118" s="517">
        <f t="shared" si="13"/>
        <v>0</v>
      </c>
      <c r="L118" s="519">
        <f t="shared" si="15"/>
        <v>0</v>
      </c>
      <c r="M118" s="330">
        <f>L118*D118*VPI!Q118</f>
        <v>0</v>
      </c>
    </row>
    <row r="119" spans="1:13" x14ac:dyDescent="0.25">
      <c r="A119" s="173">
        <f>Données!A119</f>
        <v>5604</v>
      </c>
      <c r="B119" s="27" t="str">
        <f>Données!B119</f>
        <v>Forel (Lavaux)</v>
      </c>
      <c r="C119" s="387">
        <f>VPI!R119</f>
        <v>71266.170275257027</v>
      </c>
      <c r="D119" s="27">
        <f>Données!Z119</f>
        <v>2105</v>
      </c>
      <c r="E119" s="118">
        <f t="shared" si="14"/>
        <v>33.855662838601916</v>
      </c>
      <c r="F119" s="206">
        <f t="shared" si="8"/>
        <v>0.73325659178561275</v>
      </c>
      <c r="G119" s="517">
        <f t="shared" si="9"/>
        <v>0</v>
      </c>
      <c r="H119" s="517">
        <f t="shared" si="10"/>
        <v>0</v>
      </c>
      <c r="I119" s="517">
        <f t="shared" si="11"/>
        <v>0</v>
      </c>
      <c r="J119" s="517">
        <f t="shared" si="12"/>
        <v>0</v>
      </c>
      <c r="K119" s="517">
        <f t="shared" si="13"/>
        <v>0</v>
      </c>
      <c r="L119" s="519">
        <f t="shared" si="15"/>
        <v>0</v>
      </c>
      <c r="M119" s="330">
        <f>L119*D119*VPI!Q119</f>
        <v>0</v>
      </c>
    </row>
    <row r="120" spans="1:13" x14ac:dyDescent="0.25">
      <c r="A120" s="173">
        <f>Données!A120</f>
        <v>5606</v>
      </c>
      <c r="B120" s="27" t="str">
        <f>Données!B120</f>
        <v>Lutry</v>
      </c>
      <c r="C120" s="387">
        <f>VPI!R120</f>
        <v>874192.86279135477</v>
      </c>
      <c r="D120" s="27">
        <f>Données!Z120</f>
        <v>10455</v>
      </c>
      <c r="E120" s="118">
        <f t="shared" si="14"/>
        <v>83.614812318637476</v>
      </c>
      <c r="F120" s="206">
        <f t="shared" si="8"/>
        <v>1.8109558981563172</v>
      </c>
      <c r="G120" s="517">
        <f t="shared" si="9"/>
        <v>37.443167606713047</v>
      </c>
      <c r="H120" s="517">
        <f t="shared" si="10"/>
        <v>28.208838664328162</v>
      </c>
      <c r="I120" s="517">
        <f t="shared" si="11"/>
        <v>14.357345250750839</v>
      </c>
      <c r="J120" s="517">
        <f t="shared" si="12"/>
        <v>0</v>
      </c>
      <c r="K120" s="517">
        <f t="shared" si="13"/>
        <v>0</v>
      </c>
      <c r="L120" s="519">
        <f t="shared" si="15"/>
        <v>11.74525191285051</v>
      </c>
      <c r="M120" s="330">
        <f>L120*D120*VPI!Q120</f>
        <v>6631016.8724380117</v>
      </c>
    </row>
    <row r="121" spans="1:13" x14ac:dyDescent="0.25">
      <c r="A121" s="173">
        <f>Données!A121</f>
        <v>5607</v>
      </c>
      <c r="B121" s="27" t="str">
        <f>Données!B121</f>
        <v>Puidoux</v>
      </c>
      <c r="C121" s="387">
        <f>VPI!R121</f>
        <v>102748.27893179639</v>
      </c>
      <c r="D121" s="27">
        <f>Données!Z121</f>
        <v>2894</v>
      </c>
      <c r="E121" s="118">
        <f t="shared" si="14"/>
        <v>35.503897350309742</v>
      </c>
      <c r="F121" s="206">
        <f t="shared" si="8"/>
        <v>0.76895457313307269</v>
      </c>
      <c r="G121" s="517">
        <f t="shared" si="9"/>
        <v>0</v>
      </c>
      <c r="H121" s="517">
        <f t="shared" si="10"/>
        <v>0</v>
      </c>
      <c r="I121" s="517">
        <f t="shared" si="11"/>
        <v>0</v>
      </c>
      <c r="J121" s="517">
        <f t="shared" si="12"/>
        <v>0</v>
      </c>
      <c r="K121" s="517">
        <f t="shared" si="13"/>
        <v>0</v>
      </c>
      <c r="L121" s="519">
        <f t="shared" si="15"/>
        <v>0</v>
      </c>
      <c r="M121" s="330">
        <f>L121*D121*VPI!Q121</f>
        <v>0</v>
      </c>
    </row>
    <row r="122" spans="1:13" x14ac:dyDescent="0.25">
      <c r="A122" s="173">
        <f>Données!A122</f>
        <v>5609</v>
      </c>
      <c r="B122" s="27" t="str">
        <f>Données!B122</f>
        <v>Rivaz</v>
      </c>
      <c r="C122" s="387">
        <f>VPI!R122</f>
        <v>16045.690421494986</v>
      </c>
      <c r="D122" s="27">
        <f>Données!Z122</f>
        <v>337</v>
      </c>
      <c r="E122" s="118">
        <f t="shared" si="14"/>
        <v>47.613324692863458</v>
      </c>
      <c r="F122" s="206">
        <f t="shared" si="8"/>
        <v>1.0312243583683016</v>
      </c>
      <c r="G122" s="517">
        <f t="shared" si="9"/>
        <v>1.4416799809390284</v>
      </c>
      <c r="H122" s="517">
        <f t="shared" si="10"/>
        <v>0</v>
      </c>
      <c r="I122" s="517">
        <f t="shared" si="11"/>
        <v>0</v>
      </c>
      <c r="J122" s="517">
        <f t="shared" si="12"/>
        <v>0</v>
      </c>
      <c r="K122" s="517">
        <f t="shared" si="13"/>
        <v>0</v>
      </c>
      <c r="L122" s="519">
        <f t="shared" si="15"/>
        <v>0.2883359961878057</v>
      </c>
      <c r="M122" s="330">
        <f>L122*D122*VPI!Q122</f>
        <v>6024.4923043480121</v>
      </c>
    </row>
    <row r="123" spans="1:13" x14ac:dyDescent="0.25">
      <c r="A123" s="173">
        <f>Données!A123</f>
        <v>5610</v>
      </c>
      <c r="B123" s="27" t="str">
        <f>Données!B123</f>
        <v>St-Saphorin (Lavaux)</v>
      </c>
      <c r="C123" s="387">
        <f>VPI!R123</f>
        <v>19212.066388684874</v>
      </c>
      <c r="D123" s="27">
        <f>Données!Z123</f>
        <v>388</v>
      </c>
      <c r="E123" s="118">
        <f t="shared" si="14"/>
        <v>49.515635022383698</v>
      </c>
      <c r="F123" s="206">
        <f t="shared" si="8"/>
        <v>1.0724251936729392</v>
      </c>
      <c r="G123" s="517">
        <f t="shared" si="9"/>
        <v>3.3439903104592688</v>
      </c>
      <c r="H123" s="517">
        <f t="shared" si="10"/>
        <v>0</v>
      </c>
      <c r="I123" s="517">
        <f t="shared" si="11"/>
        <v>0</v>
      </c>
      <c r="J123" s="517">
        <f t="shared" si="12"/>
        <v>0</v>
      </c>
      <c r="K123" s="517">
        <f t="shared" si="13"/>
        <v>0</v>
      </c>
      <c r="L123" s="519">
        <f t="shared" si="15"/>
        <v>0.66879806209185377</v>
      </c>
      <c r="M123" s="330">
        <f>L123*D123*VPI!Q123</f>
        <v>18683.542662598029</v>
      </c>
    </row>
    <row r="124" spans="1:13" x14ac:dyDescent="0.25">
      <c r="A124" s="173">
        <f>Données!A124</f>
        <v>5611</v>
      </c>
      <c r="B124" s="27" t="str">
        <f>Données!B124</f>
        <v>Savigny</v>
      </c>
      <c r="C124" s="387">
        <f>VPI!R124</f>
        <v>136601.19868900886</v>
      </c>
      <c r="D124" s="27">
        <f>Données!Z124</f>
        <v>3348</v>
      </c>
      <c r="E124" s="118">
        <f t="shared" si="14"/>
        <v>40.800835928616742</v>
      </c>
      <c r="F124" s="206">
        <f t="shared" si="8"/>
        <v>0.88367733450221653</v>
      </c>
      <c r="G124" s="517">
        <f t="shared" si="9"/>
        <v>0</v>
      </c>
      <c r="H124" s="517">
        <f t="shared" si="10"/>
        <v>0</v>
      </c>
      <c r="I124" s="517">
        <f t="shared" si="11"/>
        <v>0</v>
      </c>
      <c r="J124" s="517">
        <f t="shared" si="12"/>
        <v>0</v>
      </c>
      <c r="K124" s="517">
        <f t="shared" si="13"/>
        <v>0</v>
      </c>
      <c r="L124" s="519">
        <f t="shared" si="15"/>
        <v>0</v>
      </c>
      <c r="M124" s="330">
        <f>L124*D124*VPI!Q124</f>
        <v>0</v>
      </c>
    </row>
    <row r="125" spans="1:13" x14ac:dyDescent="0.25">
      <c r="A125" s="173">
        <f>Données!A125</f>
        <v>5613</v>
      </c>
      <c r="B125" s="27" t="str">
        <f>Données!B125</f>
        <v>Bourg-en-Lavaux</v>
      </c>
      <c r="C125" s="387">
        <f>VPI!R125</f>
        <v>343743.87305637199</v>
      </c>
      <c r="D125" s="27">
        <f>Données!Z125</f>
        <v>5389</v>
      </c>
      <c r="E125" s="118">
        <f t="shared" si="14"/>
        <v>63.786207655663759</v>
      </c>
      <c r="F125" s="206">
        <f t="shared" si="8"/>
        <v>1.3815017431941328</v>
      </c>
      <c r="G125" s="517">
        <f t="shared" si="9"/>
        <v>17.61456294373933</v>
      </c>
      <c r="H125" s="517">
        <f t="shared" si="10"/>
        <v>8.3802340013544452</v>
      </c>
      <c r="I125" s="517">
        <f t="shared" si="11"/>
        <v>0</v>
      </c>
      <c r="J125" s="517">
        <f t="shared" si="12"/>
        <v>0</v>
      </c>
      <c r="K125" s="517">
        <f t="shared" si="13"/>
        <v>0</v>
      </c>
      <c r="L125" s="519">
        <f t="shared" si="15"/>
        <v>4.3609359888833108</v>
      </c>
      <c r="M125" s="330">
        <f>L125*D125*VPI!Q125</f>
        <v>1468817.75275576</v>
      </c>
    </row>
    <row r="126" spans="1:13" x14ac:dyDescent="0.25">
      <c r="A126" s="173">
        <f>Données!A126</f>
        <v>5621</v>
      </c>
      <c r="B126" s="27" t="str">
        <f>Données!B126</f>
        <v>Aclens</v>
      </c>
      <c r="C126" s="387">
        <f>VPI!R126</f>
        <v>32263.209585065993</v>
      </c>
      <c r="D126" s="27">
        <f>Données!Z126</f>
        <v>528</v>
      </c>
      <c r="E126" s="118">
        <f t="shared" si="14"/>
        <v>61.10456360807953</v>
      </c>
      <c r="F126" s="206">
        <f t="shared" si="8"/>
        <v>1.3234218531595536</v>
      </c>
      <c r="G126" s="517">
        <f t="shared" si="9"/>
        <v>14.932918896155101</v>
      </c>
      <c r="H126" s="517">
        <f t="shared" si="10"/>
        <v>5.6985899537702167</v>
      </c>
      <c r="I126" s="517">
        <f t="shared" si="11"/>
        <v>0</v>
      </c>
      <c r="J126" s="517">
        <f t="shared" si="12"/>
        <v>0</v>
      </c>
      <c r="K126" s="517">
        <f t="shared" si="13"/>
        <v>0</v>
      </c>
      <c r="L126" s="519">
        <f t="shared" si="15"/>
        <v>3.5564427746080423</v>
      </c>
      <c r="M126" s="330">
        <f>L126*D126*VPI!Q126</f>
        <v>116423.71066956887</v>
      </c>
    </row>
    <row r="127" spans="1:13" x14ac:dyDescent="0.25">
      <c r="A127" s="173">
        <f>Données!A127</f>
        <v>5622</v>
      </c>
      <c r="B127" s="27" t="str">
        <f>Données!B127</f>
        <v>Bremblens</v>
      </c>
      <c r="C127" s="387">
        <f>VPI!R127</f>
        <v>27798.843685819211</v>
      </c>
      <c r="D127" s="27">
        <f>Données!Z127</f>
        <v>583</v>
      </c>
      <c r="E127" s="118">
        <f t="shared" si="14"/>
        <v>47.682407694372571</v>
      </c>
      <c r="F127" s="206">
        <f t="shared" si="8"/>
        <v>1.0327205797383685</v>
      </c>
      <c r="G127" s="517">
        <f t="shared" si="9"/>
        <v>1.5107629824481421</v>
      </c>
      <c r="H127" s="517">
        <f t="shared" si="10"/>
        <v>0</v>
      </c>
      <c r="I127" s="517">
        <f t="shared" si="11"/>
        <v>0</v>
      </c>
      <c r="J127" s="517">
        <f t="shared" si="12"/>
        <v>0</v>
      </c>
      <c r="K127" s="517">
        <f t="shared" si="13"/>
        <v>0</v>
      </c>
      <c r="L127" s="519">
        <f t="shared" si="15"/>
        <v>0.30215259648962844</v>
      </c>
      <c r="M127" s="330">
        <f>L127*D127*VPI!Q127</f>
        <v>11978.537535234831</v>
      </c>
    </row>
    <row r="128" spans="1:13" x14ac:dyDescent="0.25">
      <c r="A128" s="173">
        <f>Données!A128</f>
        <v>5623</v>
      </c>
      <c r="B128" s="27" t="str">
        <f>Données!B128</f>
        <v>Buchillon</v>
      </c>
      <c r="C128" s="387">
        <f>VPI!R128</f>
        <v>94505.231730769228</v>
      </c>
      <c r="D128" s="27">
        <f>Données!Z128</f>
        <v>686</v>
      </c>
      <c r="E128" s="118">
        <f t="shared" si="14"/>
        <v>137.76272847050907</v>
      </c>
      <c r="F128" s="206">
        <f t="shared" si="8"/>
        <v>2.9837084931681037</v>
      </c>
      <c r="G128" s="517">
        <f t="shared" si="9"/>
        <v>91.591083758584645</v>
      </c>
      <c r="H128" s="517">
        <f t="shared" si="10"/>
        <v>82.356754816199754</v>
      </c>
      <c r="I128" s="517">
        <f t="shared" si="11"/>
        <v>68.505261402622438</v>
      </c>
      <c r="J128" s="517">
        <f t="shared" si="12"/>
        <v>45.419439046660216</v>
      </c>
      <c r="K128" s="517">
        <f t="shared" si="13"/>
        <v>0</v>
      </c>
      <c r="L128" s="519">
        <f t="shared" si="15"/>
        <v>37.94636227826517</v>
      </c>
      <c r="M128" s="330">
        <f>L128*D128*VPI!Q128</f>
        <v>1353622.6351902753</v>
      </c>
    </row>
    <row r="129" spans="1:13" x14ac:dyDescent="0.25">
      <c r="A129" s="173">
        <f>Données!A129</f>
        <v>5624</v>
      </c>
      <c r="B129" s="27" t="str">
        <f>Données!B129</f>
        <v>Bussigny</v>
      </c>
      <c r="C129" s="387">
        <f>VPI!R129</f>
        <v>350915.44619957998</v>
      </c>
      <c r="D129" s="27">
        <f>Données!Z129</f>
        <v>9614</v>
      </c>
      <c r="E129" s="118">
        <f t="shared" si="14"/>
        <v>36.500462471352193</v>
      </c>
      <c r="F129" s="206">
        <f t="shared" si="8"/>
        <v>0.7905384938978679</v>
      </c>
      <c r="G129" s="517">
        <f t="shared" si="9"/>
        <v>0</v>
      </c>
      <c r="H129" s="517">
        <f t="shared" si="10"/>
        <v>0</v>
      </c>
      <c r="I129" s="517">
        <f t="shared" si="11"/>
        <v>0</v>
      </c>
      <c r="J129" s="517">
        <f t="shared" si="12"/>
        <v>0</v>
      </c>
      <c r="K129" s="517">
        <f t="shared" si="13"/>
        <v>0</v>
      </c>
      <c r="L129" s="519">
        <f t="shared" si="15"/>
        <v>0</v>
      </c>
      <c r="M129" s="330">
        <f>L129*D129*VPI!Q129</f>
        <v>0</v>
      </c>
    </row>
    <row r="130" spans="1:13" x14ac:dyDescent="0.25">
      <c r="A130" s="173">
        <f>Données!A130</f>
        <v>5627</v>
      </c>
      <c r="B130" s="27" t="str">
        <f>Données!B130</f>
        <v>Chavannes-près-Renens</v>
      </c>
      <c r="C130" s="387">
        <f>VPI!R130</f>
        <v>162426.10008602153</v>
      </c>
      <c r="D130" s="27">
        <f>Données!Z130</f>
        <v>8487</v>
      </c>
      <c r="E130" s="118">
        <f t="shared" si="14"/>
        <v>19.138223174976027</v>
      </c>
      <c r="F130" s="206">
        <f t="shared" si="8"/>
        <v>0.41450165560234703</v>
      </c>
      <c r="G130" s="517">
        <f t="shared" si="9"/>
        <v>0</v>
      </c>
      <c r="H130" s="517">
        <f t="shared" si="10"/>
        <v>0</v>
      </c>
      <c r="I130" s="517">
        <f t="shared" si="11"/>
        <v>0</v>
      </c>
      <c r="J130" s="517">
        <f t="shared" si="12"/>
        <v>0</v>
      </c>
      <c r="K130" s="517">
        <f t="shared" si="13"/>
        <v>0</v>
      </c>
      <c r="L130" s="519">
        <f t="shared" si="15"/>
        <v>0</v>
      </c>
      <c r="M130" s="330">
        <f>L130*D130*VPI!Q130</f>
        <v>0</v>
      </c>
    </row>
    <row r="131" spans="1:13" x14ac:dyDescent="0.25">
      <c r="A131" s="173">
        <f>Données!A131</f>
        <v>5628</v>
      </c>
      <c r="B131" s="27" t="str">
        <f>Données!B131</f>
        <v>Chigny</v>
      </c>
      <c r="C131" s="387">
        <f>VPI!R131</f>
        <v>24622.507795875023</v>
      </c>
      <c r="D131" s="27">
        <f>Données!Z131</f>
        <v>396</v>
      </c>
      <c r="E131" s="118">
        <f t="shared" si="14"/>
        <v>62.178049989583393</v>
      </c>
      <c r="F131" s="206">
        <f t="shared" si="8"/>
        <v>1.3466717587715713</v>
      </c>
      <c r="G131" s="517">
        <f t="shared" si="9"/>
        <v>16.006405277658963</v>
      </c>
      <c r="H131" s="517">
        <f t="shared" si="10"/>
        <v>6.7720763352740789</v>
      </c>
      <c r="I131" s="517">
        <f t="shared" si="11"/>
        <v>0</v>
      </c>
      <c r="J131" s="517">
        <f t="shared" si="12"/>
        <v>0</v>
      </c>
      <c r="K131" s="517">
        <f t="shared" si="13"/>
        <v>0</v>
      </c>
      <c r="L131" s="519">
        <f t="shared" si="15"/>
        <v>3.8784886890592007</v>
      </c>
      <c r="M131" s="330">
        <f>L131*D131*VPI!Q131</f>
        <v>95224.654293781496</v>
      </c>
    </row>
    <row r="132" spans="1:13" x14ac:dyDescent="0.25">
      <c r="A132" s="173">
        <f>Données!A132</f>
        <v>5629</v>
      </c>
      <c r="B132" s="27" t="str">
        <f>Données!B132</f>
        <v>Clarmont</v>
      </c>
      <c r="C132" s="387">
        <f>VPI!R132</f>
        <v>8520.6241427524346</v>
      </c>
      <c r="D132" s="27">
        <f>Données!Z132</f>
        <v>201</v>
      </c>
      <c r="E132" s="118">
        <f t="shared" si="14"/>
        <v>42.391164889315597</v>
      </c>
      <c r="F132" s="206">
        <f t="shared" si="8"/>
        <v>0.91812117921732872</v>
      </c>
      <c r="G132" s="517">
        <f t="shared" si="9"/>
        <v>0</v>
      </c>
      <c r="H132" s="517">
        <f t="shared" si="10"/>
        <v>0</v>
      </c>
      <c r="I132" s="517">
        <f t="shared" si="11"/>
        <v>0</v>
      </c>
      <c r="J132" s="517">
        <f t="shared" si="12"/>
        <v>0</v>
      </c>
      <c r="K132" s="517">
        <f t="shared" si="13"/>
        <v>0</v>
      </c>
      <c r="L132" s="519">
        <f t="shared" si="15"/>
        <v>0</v>
      </c>
      <c r="M132" s="330">
        <f>L132*D132*VPI!Q132</f>
        <v>0</v>
      </c>
    </row>
    <row r="133" spans="1:13" x14ac:dyDescent="0.25">
      <c r="A133" s="173">
        <f>Données!A133</f>
        <v>5631</v>
      </c>
      <c r="B133" s="27" t="str">
        <f>Données!B133</f>
        <v>Denens</v>
      </c>
      <c r="C133" s="387">
        <f>VPI!R133</f>
        <v>43443.742275876699</v>
      </c>
      <c r="D133" s="27">
        <f>Données!Z133</f>
        <v>742</v>
      </c>
      <c r="E133" s="118">
        <f t="shared" si="14"/>
        <v>58.549517892017114</v>
      </c>
      <c r="F133" s="206">
        <f t="shared" si="8"/>
        <v>1.2680838695983454</v>
      </c>
      <c r="G133" s="517">
        <f t="shared" si="9"/>
        <v>12.377873180092685</v>
      </c>
      <c r="H133" s="517">
        <f t="shared" si="10"/>
        <v>3.1435442377078004</v>
      </c>
      <c r="I133" s="517">
        <f t="shared" si="11"/>
        <v>0</v>
      </c>
      <c r="J133" s="517">
        <f t="shared" si="12"/>
        <v>0</v>
      </c>
      <c r="K133" s="517">
        <f t="shared" si="13"/>
        <v>0</v>
      </c>
      <c r="L133" s="519">
        <f t="shared" si="15"/>
        <v>2.7899290597893174</v>
      </c>
      <c r="M133" s="330">
        <f>L133*D133*VPI!Q133</f>
        <v>140768.66064072979</v>
      </c>
    </row>
    <row r="134" spans="1:13" x14ac:dyDescent="0.25">
      <c r="A134" s="173">
        <f>Données!A134</f>
        <v>5632</v>
      </c>
      <c r="B134" s="27" t="str">
        <f>Données!B134</f>
        <v>Denges</v>
      </c>
      <c r="C134" s="387">
        <f>VPI!R134</f>
        <v>76401.256884060669</v>
      </c>
      <c r="D134" s="27">
        <f>Données!Z134</f>
        <v>1730</v>
      </c>
      <c r="E134" s="118">
        <f t="shared" si="14"/>
        <v>44.162576233561083</v>
      </c>
      <c r="F134" s="206">
        <f t="shared" ref="F134:F197" si="16">E134/$E$306</f>
        <v>0.95648696313725901</v>
      </c>
      <c r="G134" s="517">
        <f t="shared" ref="G134:G197" si="17">IF(E134-$G$3&lt;0,0,E134-$G$3)</f>
        <v>0</v>
      </c>
      <c r="H134" s="517">
        <f t="shared" ref="H134:H197" si="18">IF(E134-$H$3&lt;0,0,E134-$H$3)</f>
        <v>0</v>
      </c>
      <c r="I134" s="517">
        <f t="shared" ref="I134:I197" si="19">IF(E134-$I$3&lt;0,0,E134-$I$3)</f>
        <v>0</v>
      </c>
      <c r="J134" s="517">
        <f t="shared" ref="J134:J197" si="20">IF(E134-$J$3&lt;0,0,E134-$J$3)</f>
        <v>0</v>
      </c>
      <c r="K134" s="517">
        <f t="shared" ref="K134:K197" si="21">IF(E134-$K$3&lt;0,0,E134-$K$3)</f>
        <v>0</v>
      </c>
      <c r="L134" s="519">
        <f t="shared" si="15"/>
        <v>0</v>
      </c>
      <c r="M134" s="330">
        <f>L134*D134*VPI!Q134</f>
        <v>0</v>
      </c>
    </row>
    <row r="135" spans="1:13" x14ac:dyDescent="0.25">
      <c r="A135" s="173">
        <f>Données!A135</f>
        <v>5633</v>
      </c>
      <c r="B135" s="27" t="str">
        <f>Données!B135</f>
        <v>Echandens</v>
      </c>
      <c r="C135" s="387">
        <f>VPI!R135</f>
        <v>148314.25599471925</v>
      </c>
      <c r="D135" s="27">
        <f>Données!Z135</f>
        <v>2743</v>
      </c>
      <c r="E135" s="118">
        <f t="shared" ref="E135:E198" si="22">C135/D135</f>
        <v>54.070089680903848</v>
      </c>
      <c r="F135" s="206">
        <f t="shared" si="16"/>
        <v>1.171067004830771</v>
      </c>
      <c r="G135" s="517">
        <f t="shared" si="17"/>
        <v>7.8984449689794189</v>
      </c>
      <c r="H135" s="517">
        <f t="shared" si="18"/>
        <v>0</v>
      </c>
      <c r="I135" s="517">
        <f t="shared" si="19"/>
        <v>0</v>
      </c>
      <c r="J135" s="517">
        <f t="shared" si="20"/>
        <v>0</v>
      </c>
      <c r="K135" s="517">
        <f t="shared" si="21"/>
        <v>0</v>
      </c>
      <c r="L135" s="519">
        <f t="shared" ref="L135:L198" si="23">(G135-H135)*$G$4+(H135-I135)*$H$4+(I135-J135)*$I$4+(J135-K135)*$J$4+(K135*$K$4)</f>
        <v>1.5796889937958838</v>
      </c>
      <c r="M135" s="330">
        <f>L135*D135*VPI!Q135</f>
        <v>262151.75805391761</v>
      </c>
    </row>
    <row r="136" spans="1:13" x14ac:dyDescent="0.25">
      <c r="A136" s="173">
        <f>Données!A136</f>
        <v>5634</v>
      </c>
      <c r="B136" s="27" t="str">
        <f>Données!B136</f>
        <v>Echichens</v>
      </c>
      <c r="C136" s="387">
        <f>VPI!R136</f>
        <v>164062.1340206177</v>
      </c>
      <c r="D136" s="27">
        <f>Données!Z136</f>
        <v>3127</v>
      </c>
      <c r="E136" s="118">
        <f t="shared" si="22"/>
        <v>52.466304451748542</v>
      </c>
      <c r="F136" s="206">
        <f t="shared" si="16"/>
        <v>1.1363317200220602</v>
      </c>
      <c r="G136" s="517">
        <f t="shared" si="17"/>
        <v>6.2946597398241124</v>
      </c>
      <c r="H136" s="517">
        <f t="shared" si="18"/>
        <v>0</v>
      </c>
      <c r="I136" s="517">
        <f t="shared" si="19"/>
        <v>0</v>
      </c>
      <c r="J136" s="517">
        <f t="shared" si="20"/>
        <v>0</v>
      </c>
      <c r="K136" s="517">
        <f t="shared" si="21"/>
        <v>0</v>
      </c>
      <c r="L136" s="519">
        <f t="shared" si="23"/>
        <v>1.2589319479648227</v>
      </c>
      <c r="M136" s="330">
        <f>L136*D136*VPI!Q136</f>
        <v>259820.89328487602</v>
      </c>
    </row>
    <row r="137" spans="1:13" x14ac:dyDescent="0.25">
      <c r="A137" s="173">
        <f>Données!A137</f>
        <v>5635</v>
      </c>
      <c r="B137" s="27" t="str">
        <f>Données!B137</f>
        <v>Ecublens</v>
      </c>
      <c r="C137" s="387">
        <f>VPI!R137</f>
        <v>502164.08712629444</v>
      </c>
      <c r="D137" s="27">
        <f>Données!Z137</f>
        <v>13164</v>
      </c>
      <c r="E137" s="118">
        <f t="shared" si="22"/>
        <v>38.146770520077062</v>
      </c>
      <c r="F137" s="206">
        <f t="shared" si="16"/>
        <v>0.82619475130426012</v>
      </c>
      <c r="G137" s="517">
        <f t="shared" si="17"/>
        <v>0</v>
      </c>
      <c r="H137" s="517">
        <f t="shared" si="18"/>
        <v>0</v>
      </c>
      <c r="I137" s="517">
        <f t="shared" si="19"/>
        <v>0</v>
      </c>
      <c r="J137" s="517">
        <f t="shared" si="20"/>
        <v>0</v>
      </c>
      <c r="K137" s="517">
        <f t="shared" si="21"/>
        <v>0</v>
      </c>
      <c r="L137" s="519">
        <f t="shared" si="23"/>
        <v>0</v>
      </c>
      <c r="M137" s="330">
        <f>L137*D137*VPI!Q137</f>
        <v>0</v>
      </c>
    </row>
    <row r="138" spans="1:13" x14ac:dyDescent="0.25">
      <c r="A138" s="173">
        <f>Données!A138</f>
        <v>5636</v>
      </c>
      <c r="B138" s="27" t="str">
        <f>Données!B138</f>
        <v>Etoy</v>
      </c>
      <c r="C138" s="387">
        <f>VPI!R138</f>
        <v>170184.11203181112</v>
      </c>
      <c r="D138" s="27">
        <f>Données!Z138</f>
        <v>2909</v>
      </c>
      <c r="E138" s="118">
        <f t="shared" si="22"/>
        <v>58.502616717707504</v>
      </c>
      <c r="F138" s="206">
        <f t="shared" si="16"/>
        <v>1.2670680692169158</v>
      </c>
      <c r="G138" s="517">
        <f t="shared" si="17"/>
        <v>12.330972005783075</v>
      </c>
      <c r="H138" s="517">
        <f t="shared" si="18"/>
        <v>3.0966430633981901</v>
      </c>
      <c r="I138" s="517">
        <f t="shared" si="19"/>
        <v>0</v>
      </c>
      <c r="J138" s="517">
        <f t="shared" si="20"/>
        <v>0</v>
      </c>
      <c r="K138" s="517">
        <f t="shared" si="21"/>
        <v>0</v>
      </c>
      <c r="L138" s="519">
        <f t="shared" si="23"/>
        <v>2.7758587074964343</v>
      </c>
      <c r="M138" s="330">
        <f>L138*D138*VPI!Q138</f>
        <v>484498.37880642765</v>
      </c>
    </row>
    <row r="139" spans="1:13" x14ac:dyDescent="0.25">
      <c r="A139" s="173">
        <f>Données!A139</f>
        <v>5637</v>
      </c>
      <c r="B139" s="27" t="str">
        <f>Données!B139</f>
        <v>Lavigny</v>
      </c>
      <c r="C139" s="387">
        <f>VPI!R139</f>
        <v>41191.053632524527</v>
      </c>
      <c r="D139" s="27">
        <f>Données!Z139</f>
        <v>1008</v>
      </c>
      <c r="E139" s="118">
        <f t="shared" si="22"/>
        <v>40.86414050845687</v>
      </c>
      <c r="F139" s="206">
        <f t="shared" si="16"/>
        <v>0.88504840499873239</v>
      </c>
      <c r="G139" s="517">
        <f t="shared" si="17"/>
        <v>0</v>
      </c>
      <c r="H139" s="517">
        <f t="shared" si="18"/>
        <v>0</v>
      </c>
      <c r="I139" s="517">
        <f t="shared" si="19"/>
        <v>0</v>
      </c>
      <c r="J139" s="517">
        <f t="shared" si="20"/>
        <v>0</v>
      </c>
      <c r="K139" s="517">
        <f t="shared" si="21"/>
        <v>0</v>
      </c>
      <c r="L139" s="519">
        <f t="shared" si="23"/>
        <v>0</v>
      </c>
      <c r="M139" s="330">
        <f>L139*D139*VPI!Q139</f>
        <v>0</v>
      </c>
    </row>
    <row r="140" spans="1:13" x14ac:dyDescent="0.25">
      <c r="A140" s="173">
        <f>Données!A140</f>
        <v>5638</v>
      </c>
      <c r="B140" s="27" t="str">
        <f>Données!B140</f>
        <v>Lonay</v>
      </c>
      <c r="C140" s="387">
        <f>VPI!R140</f>
        <v>145471.80629203771</v>
      </c>
      <c r="D140" s="27">
        <f>Données!Z140</f>
        <v>2679</v>
      </c>
      <c r="E140" s="118">
        <f t="shared" si="22"/>
        <v>54.300786223231697</v>
      </c>
      <c r="F140" s="206">
        <f t="shared" si="16"/>
        <v>1.1760635030878119</v>
      </c>
      <c r="G140" s="517">
        <f t="shared" si="17"/>
        <v>8.1291415113072674</v>
      </c>
      <c r="H140" s="517">
        <f t="shared" si="18"/>
        <v>0</v>
      </c>
      <c r="I140" s="517">
        <f t="shared" si="19"/>
        <v>0</v>
      </c>
      <c r="J140" s="517">
        <f t="shared" si="20"/>
        <v>0</v>
      </c>
      <c r="K140" s="517">
        <f t="shared" si="21"/>
        <v>0</v>
      </c>
      <c r="L140" s="519">
        <f t="shared" si="23"/>
        <v>1.6258283022614535</v>
      </c>
      <c r="M140" s="330">
        <f>L140*D140*VPI!Q140</f>
        <v>239557.67119671387</v>
      </c>
    </row>
    <row r="141" spans="1:13" x14ac:dyDescent="0.25">
      <c r="A141" s="173">
        <f>Données!A141</f>
        <v>5639</v>
      </c>
      <c r="B141" s="27" t="str">
        <f>Données!B141</f>
        <v>Lully</v>
      </c>
      <c r="C141" s="387">
        <f>VPI!R141</f>
        <v>45737.117540983607</v>
      </c>
      <c r="D141" s="27">
        <f>Données!Z141</f>
        <v>825</v>
      </c>
      <c r="E141" s="118">
        <f t="shared" si="22"/>
        <v>55.438930352707402</v>
      </c>
      <c r="F141" s="206">
        <f t="shared" si="16"/>
        <v>1.2007137865372506</v>
      </c>
      <c r="G141" s="517">
        <f t="shared" si="17"/>
        <v>9.2672856407829727</v>
      </c>
      <c r="H141" s="517">
        <f t="shared" si="18"/>
        <v>3.2956698398088236E-2</v>
      </c>
      <c r="I141" s="517">
        <f t="shared" si="19"/>
        <v>0</v>
      </c>
      <c r="J141" s="517">
        <f t="shared" si="20"/>
        <v>0</v>
      </c>
      <c r="K141" s="517">
        <f t="shared" si="21"/>
        <v>0</v>
      </c>
      <c r="L141" s="519">
        <f t="shared" si="23"/>
        <v>1.8567527979964036</v>
      </c>
      <c r="M141" s="330">
        <f>L141*D141*VPI!Q141</f>
        <v>93441.084559169016</v>
      </c>
    </row>
    <row r="142" spans="1:13" x14ac:dyDescent="0.25">
      <c r="A142" s="173">
        <f>Données!A142</f>
        <v>5640</v>
      </c>
      <c r="B142" s="27" t="str">
        <f>Données!B142</f>
        <v>Lussy-sur-Morges</v>
      </c>
      <c r="C142" s="387">
        <f>VPI!R142</f>
        <v>57022.810752581783</v>
      </c>
      <c r="D142" s="27">
        <f>Données!Z142</f>
        <v>722</v>
      </c>
      <c r="E142" s="118">
        <f t="shared" si="22"/>
        <v>78.978962261193601</v>
      </c>
      <c r="F142" s="206">
        <f t="shared" si="16"/>
        <v>1.7105511998535381</v>
      </c>
      <c r="G142" s="517">
        <f t="shared" si="17"/>
        <v>32.807317549269172</v>
      </c>
      <c r="H142" s="517">
        <f t="shared" si="18"/>
        <v>23.572988606884287</v>
      </c>
      <c r="I142" s="517">
        <f t="shared" si="19"/>
        <v>9.7214951933069642</v>
      </c>
      <c r="J142" s="517">
        <f t="shared" si="20"/>
        <v>0</v>
      </c>
      <c r="K142" s="517">
        <f t="shared" si="21"/>
        <v>0</v>
      </c>
      <c r="L142" s="519">
        <f t="shared" si="23"/>
        <v>9.8909118898729602</v>
      </c>
      <c r="M142" s="330">
        <f>L142*D142*VPI!Q142</f>
        <v>471321.73337622627</v>
      </c>
    </row>
    <row r="143" spans="1:13" x14ac:dyDescent="0.25">
      <c r="A143" s="173">
        <f>Données!A143</f>
        <v>5642</v>
      </c>
      <c r="B143" s="27" t="str">
        <f>Données!B143</f>
        <v>Morges</v>
      </c>
      <c r="C143" s="387">
        <f>VPI!R143</f>
        <v>872528.88072343986</v>
      </c>
      <c r="D143" s="27">
        <f>Données!Z143</f>
        <v>16095</v>
      </c>
      <c r="E143" s="118">
        <f t="shared" si="22"/>
        <v>54.211176186607013</v>
      </c>
      <c r="F143" s="206">
        <f t="shared" si="16"/>
        <v>1.174122700736417</v>
      </c>
      <c r="G143" s="517">
        <f t="shared" si="17"/>
        <v>8.0395314746825832</v>
      </c>
      <c r="H143" s="517">
        <f t="shared" si="18"/>
        <v>0</v>
      </c>
      <c r="I143" s="517">
        <f t="shared" si="19"/>
        <v>0</v>
      </c>
      <c r="J143" s="517">
        <f t="shared" si="20"/>
        <v>0</v>
      </c>
      <c r="K143" s="517">
        <f t="shared" si="21"/>
        <v>0</v>
      </c>
      <c r="L143" s="519">
        <f t="shared" si="23"/>
        <v>1.6079062949365168</v>
      </c>
      <c r="M143" s="330">
        <f>L143*D143*VPI!Q143</f>
        <v>1733909.8717392168</v>
      </c>
    </row>
    <row r="144" spans="1:13" x14ac:dyDescent="0.25">
      <c r="A144" s="173">
        <f>Données!A144</f>
        <v>5643</v>
      </c>
      <c r="B144" s="27" t="str">
        <f>Données!B144</f>
        <v>Préverenges</v>
      </c>
      <c r="C144" s="387">
        <f>VPI!R144</f>
        <v>262179.27559609117</v>
      </c>
      <c r="D144" s="27">
        <f>Données!Z144</f>
        <v>5241</v>
      </c>
      <c r="E144" s="118">
        <f t="shared" si="22"/>
        <v>50.024666207992972</v>
      </c>
      <c r="F144" s="206">
        <f t="shared" si="16"/>
        <v>1.0834499511574351</v>
      </c>
      <c r="G144" s="517">
        <f t="shared" si="17"/>
        <v>3.8530214960685427</v>
      </c>
      <c r="H144" s="517">
        <f t="shared" si="18"/>
        <v>0</v>
      </c>
      <c r="I144" s="517">
        <f t="shared" si="19"/>
        <v>0</v>
      </c>
      <c r="J144" s="517">
        <f t="shared" si="20"/>
        <v>0</v>
      </c>
      <c r="K144" s="517">
        <f t="shared" si="21"/>
        <v>0</v>
      </c>
      <c r="L144" s="519">
        <f t="shared" si="23"/>
        <v>0.77060429921370854</v>
      </c>
      <c r="M144" s="330">
        <f>L144*D144*VPI!Q144</f>
        <v>252421.07076119041</v>
      </c>
    </row>
    <row r="145" spans="1:13" x14ac:dyDescent="0.25">
      <c r="A145" s="173">
        <f>Données!A145</f>
        <v>5645</v>
      </c>
      <c r="B145" s="27" t="str">
        <f>Données!B145</f>
        <v>Romanel-sur-Morges</v>
      </c>
      <c r="C145" s="387">
        <f>VPI!R145</f>
        <v>27311.487285492814</v>
      </c>
      <c r="D145" s="27">
        <f>Données!Z145</f>
        <v>466</v>
      </c>
      <c r="E145" s="118">
        <f t="shared" si="22"/>
        <v>58.608341814362262</v>
      </c>
      <c r="F145" s="206">
        <f t="shared" si="16"/>
        <v>1.2693578966058772</v>
      </c>
      <c r="G145" s="517">
        <f t="shared" si="17"/>
        <v>12.436697102437833</v>
      </c>
      <c r="H145" s="517">
        <f t="shared" si="18"/>
        <v>3.2023681600529486</v>
      </c>
      <c r="I145" s="517">
        <f t="shared" si="19"/>
        <v>0</v>
      </c>
      <c r="J145" s="517">
        <f t="shared" si="20"/>
        <v>0</v>
      </c>
      <c r="K145" s="517">
        <f t="shared" si="21"/>
        <v>0</v>
      </c>
      <c r="L145" s="519">
        <f t="shared" si="23"/>
        <v>2.8075762364928618</v>
      </c>
      <c r="M145" s="330">
        <f>L145*D145*VPI!Q145</f>
        <v>73266.509467517724</v>
      </c>
    </row>
    <row r="146" spans="1:13" x14ac:dyDescent="0.25">
      <c r="A146" s="173">
        <f>Données!A146</f>
        <v>5646</v>
      </c>
      <c r="B146" s="27" t="str">
        <f>Données!B146</f>
        <v>Saint-Prex</v>
      </c>
      <c r="C146" s="387">
        <f>VPI!R146</f>
        <v>536854.93998205999</v>
      </c>
      <c r="D146" s="27">
        <f>Données!Z146</f>
        <v>5865</v>
      </c>
      <c r="E146" s="118">
        <f t="shared" si="22"/>
        <v>91.535369135901107</v>
      </c>
      <c r="F146" s="206">
        <f t="shared" si="16"/>
        <v>1.9825018083503727</v>
      </c>
      <c r="G146" s="517">
        <f t="shared" si="17"/>
        <v>45.363724423976677</v>
      </c>
      <c r="H146" s="517">
        <f t="shared" si="18"/>
        <v>36.129395481591793</v>
      </c>
      <c r="I146" s="517">
        <f t="shared" si="19"/>
        <v>22.27790206801447</v>
      </c>
      <c r="J146" s="517">
        <f t="shared" si="20"/>
        <v>0</v>
      </c>
      <c r="K146" s="517">
        <f t="shared" si="21"/>
        <v>0</v>
      </c>
      <c r="L146" s="519">
        <f t="shared" si="23"/>
        <v>14.913474639755963</v>
      </c>
      <c r="M146" s="330">
        <f>L146*D146*VPI!Q146</f>
        <v>4810714.0819192789</v>
      </c>
    </row>
    <row r="147" spans="1:13" x14ac:dyDescent="0.25">
      <c r="A147" s="173">
        <f>Données!A147</f>
        <v>5648</v>
      </c>
      <c r="B147" s="27" t="str">
        <f>Données!B147</f>
        <v>Saint-Sulpice</v>
      </c>
      <c r="C147" s="387">
        <f>VPI!R147</f>
        <v>395932.06546066038</v>
      </c>
      <c r="D147" s="27">
        <f>Données!Z147</f>
        <v>4909</v>
      </c>
      <c r="E147" s="118">
        <f t="shared" si="22"/>
        <v>80.654321747944664</v>
      </c>
      <c r="F147" s="206">
        <f t="shared" si="16"/>
        <v>1.7468366624400242</v>
      </c>
      <c r="G147" s="517">
        <f t="shared" si="17"/>
        <v>34.482677036020235</v>
      </c>
      <c r="H147" s="517">
        <f t="shared" si="18"/>
        <v>25.24834809363535</v>
      </c>
      <c r="I147" s="517">
        <f t="shared" si="19"/>
        <v>11.396854680058027</v>
      </c>
      <c r="J147" s="517">
        <f t="shared" si="20"/>
        <v>0</v>
      </c>
      <c r="K147" s="517">
        <f t="shared" si="21"/>
        <v>0</v>
      </c>
      <c r="L147" s="519">
        <f t="shared" si="23"/>
        <v>10.561055684573386</v>
      </c>
      <c r="M147" s="330">
        <f>L147*D147*VPI!Q147</f>
        <v>2851432.2295563915</v>
      </c>
    </row>
    <row r="148" spans="1:13" x14ac:dyDescent="0.25">
      <c r="A148" s="173">
        <f>Données!A148</f>
        <v>5649</v>
      </c>
      <c r="B148" s="27" t="str">
        <f>Données!B148</f>
        <v>Tolochenaz</v>
      </c>
      <c r="C148" s="387">
        <f>VPI!R148</f>
        <v>197599.65546190951</v>
      </c>
      <c r="D148" s="27">
        <f>Données!Z148</f>
        <v>1889</v>
      </c>
      <c r="E148" s="118">
        <f t="shared" si="22"/>
        <v>104.60542904283193</v>
      </c>
      <c r="F148" s="206">
        <f t="shared" si="16"/>
        <v>2.2655772757390253</v>
      </c>
      <c r="G148" s="517">
        <f t="shared" si="17"/>
        <v>58.4337843309075</v>
      </c>
      <c r="H148" s="517">
        <f t="shared" si="18"/>
        <v>49.199455388522615</v>
      </c>
      <c r="I148" s="517">
        <f t="shared" si="19"/>
        <v>35.347961974945292</v>
      </c>
      <c r="J148" s="517">
        <f t="shared" si="20"/>
        <v>12.26213961898307</v>
      </c>
      <c r="K148" s="517">
        <f t="shared" si="21"/>
        <v>0</v>
      </c>
      <c r="L148" s="519">
        <f t="shared" si="23"/>
        <v>21.367712564426597</v>
      </c>
      <c r="M148" s="330">
        <f>L148*D148*VPI!Q148</f>
        <v>2623634.58722312</v>
      </c>
    </row>
    <row r="149" spans="1:13" x14ac:dyDescent="0.25">
      <c r="A149" s="173">
        <f>Données!A149</f>
        <v>5650</v>
      </c>
      <c r="B149" s="27" t="str">
        <f>Données!B149</f>
        <v>Vaux-sur-Morges</v>
      </c>
      <c r="C149" s="387">
        <f>VPI!R149</f>
        <v>63000.299031725983</v>
      </c>
      <c r="D149" s="27">
        <f>Données!Z149</f>
        <v>194</v>
      </c>
      <c r="E149" s="118">
        <f t="shared" si="22"/>
        <v>324.74380944188653</v>
      </c>
      <c r="F149" s="206">
        <f t="shared" si="16"/>
        <v>7.0334035416766776</v>
      </c>
      <c r="G149" s="517">
        <f t="shared" si="17"/>
        <v>278.57216472996208</v>
      </c>
      <c r="H149" s="517">
        <f t="shared" si="18"/>
        <v>269.33783578757721</v>
      </c>
      <c r="I149" s="517">
        <f t="shared" si="19"/>
        <v>255.48634237399989</v>
      </c>
      <c r="J149" s="517">
        <f t="shared" si="20"/>
        <v>232.40052001803767</v>
      </c>
      <c r="K149" s="517">
        <f t="shared" si="21"/>
        <v>186.22887530611325</v>
      </c>
      <c r="L149" s="519">
        <f t="shared" si="23"/>
        <v>150.05979029456523</v>
      </c>
      <c r="M149" s="330">
        <f>L149*D149*VPI!Q149</f>
        <v>1630249.5617601566</v>
      </c>
    </row>
    <row r="150" spans="1:13" x14ac:dyDescent="0.25">
      <c r="A150" s="173">
        <f>Données!A150</f>
        <v>5651</v>
      </c>
      <c r="B150" s="27" t="str">
        <f>Données!B150</f>
        <v>Villars-Sainte-Croix</v>
      </c>
      <c r="C150" s="387">
        <f>VPI!R150</f>
        <v>55609.921242717981</v>
      </c>
      <c r="D150" s="27">
        <f>Données!Z150</f>
        <v>958</v>
      </c>
      <c r="E150" s="118">
        <f t="shared" si="22"/>
        <v>58.047934491354887</v>
      </c>
      <c r="F150" s="206">
        <f t="shared" si="16"/>
        <v>1.2572204185822138</v>
      </c>
      <c r="G150" s="517">
        <f t="shared" si="17"/>
        <v>11.876289779430458</v>
      </c>
      <c r="H150" s="517">
        <f t="shared" si="18"/>
        <v>2.6419608370455734</v>
      </c>
      <c r="I150" s="517">
        <f t="shared" si="19"/>
        <v>0</v>
      </c>
      <c r="J150" s="517">
        <f t="shared" si="20"/>
        <v>0</v>
      </c>
      <c r="K150" s="517">
        <f t="shared" si="21"/>
        <v>0</v>
      </c>
      <c r="L150" s="519">
        <f t="shared" si="23"/>
        <v>2.6394540395906492</v>
      </c>
      <c r="M150" s="330">
        <f>L150*D150*VPI!Q150</f>
        <v>152980.11668063444</v>
      </c>
    </row>
    <row r="151" spans="1:13" x14ac:dyDescent="0.25">
      <c r="A151" s="173">
        <f>Données!A151</f>
        <v>5652</v>
      </c>
      <c r="B151" s="27" t="str">
        <f>Données!B151</f>
        <v>Villars-sous-Yens</v>
      </c>
      <c r="C151" s="387">
        <f>VPI!R151</f>
        <v>25655.145757874605</v>
      </c>
      <c r="D151" s="27">
        <f>Données!Z151</f>
        <v>615</v>
      </c>
      <c r="E151" s="118">
        <f t="shared" si="22"/>
        <v>41.715684159145702</v>
      </c>
      <c r="F151" s="206">
        <f t="shared" si="16"/>
        <v>0.90349140515611914</v>
      </c>
      <c r="G151" s="517">
        <f t="shared" si="17"/>
        <v>0</v>
      </c>
      <c r="H151" s="517">
        <f t="shared" si="18"/>
        <v>0</v>
      </c>
      <c r="I151" s="517">
        <f t="shared" si="19"/>
        <v>0</v>
      </c>
      <c r="J151" s="517">
        <f t="shared" si="20"/>
        <v>0</v>
      </c>
      <c r="K151" s="517">
        <f t="shared" si="21"/>
        <v>0</v>
      </c>
      <c r="L151" s="519">
        <f t="shared" si="23"/>
        <v>0</v>
      </c>
      <c r="M151" s="330">
        <f>L151*D151*VPI!Q151</f>
        <v>0</v>
      </c>
    </row>
    <row r="152" spans="1:13" x14ac:dyDescent="0.25">
      <c r="A152" s="173">
        <f>Données!A152</f>
        <v>5653</v>
      </c>
      <c r="B152" s="27" t="str">
        <f>Données!B152</f>
        <v>Vufflens-le-Château</v>
      </c>
      <c r="C152" s="387">
        <f>VPI!R152</f>
        <v>68766.939221326931</v>
      </c>
      <c r="D152" s="27">
        <f>Données!Z152</f>
        <v>870</v>
      </c>
      <c r="E152" s="118">
        <f t="shared" si="22"/>
        <v>79.042458875088428</v>
      </c>
      <c r="F152" s="206">
        <f t="shared" si="16"/>
        <v>1.7119264294839964</v>
      </c>
      <c r="G152" s="517">
        <f t="shared" si="17"/>
        <v>32.870814163163999</v>
      </c>
      <c r="H152" s="517">
        <f t="shared" si="18"/>
        <v>23.636485220779115</v>
      </c>
      <c r="I152" s="517">
        <f t="shared" si="19"/>
        <v>9.7849918072017914</v>
      </c>
      <c r="J152" s="517">
        <f t="shared" si="20"/>
        <v>0</v>
      </c>
      <c r="K152" s="517">
        <f t="shared" si="21"/>
        <v>0</v>
      </c>
      <c r="L152" s="519">
        <f t="shared" si="23"/>
        <v>9.91631053543089</v>
      </c>
      <c r="M152" s="330">
        <f>L152*D152*VPI!Q152</f>
        <v>504690.62470075511</v>
      </c>
    </row>
    <row r="153" spans="1:13" x14ac:dyDescent="0.25">
      <c r="A153" s="173">
        <f>Données!A153</f>
        <v>5654</v>
      </c>
      <c r="B153" s="27" t="str">
        <f>Données!B153</f>
        <v>Vullierens</v>
      </c>
      <c r="C153" s="387">
        <f>VPI!R153</f>
        <v>19265.305994004091</v>
      </c>
      <c r="D153" s="27">
        <f>Données!Z153</f>
        <v>542</v>
      </c>
      <c r="E153" s="118">
        <f t="shared" si="22"/>
        <v>35.544845007387622</v>
      </c>
      <c r="F153" s="206">
        <f t="shared" si="16"/>
        <v>0.76984143036619401</v>
      </c>
      <c r="G153" s="517">
        <f t="shared" si="17"/>
        <v>0</v>
      </c>
      <c r="H153" s="517">
        <f t="shared" si="18"/>
        <v>0</v>
      </c>
      <c r="I153" s="517">
        <f t="shared" si="19"/>
        <v>0</v>
      </c>
      <c r="J153" s="517">
        <f t="shared" si="20"/>
        <v>0</v>
      </c>
      <c r="K153" s="517">
        <f t="shared" si="21"/>
        <v>0</v>
      </c>
      <c r="L153" s="519">
        <f t="shared" si="23"/>
        <v>0</v>
      </c>
      <c r="M153" s="330">
        <f>L153*D153*VPI!Q153</f>
        <v>0</v>
      </c>
    </row>
    <row r="154" spans="1:13" x14ac:dyDescent="0.25">
      <c r="A154" s="173">
        <f>Données!A154</f>
        <v>5655</v>
      </c>
      <c r="B154" s="27" t="str">
        <f>Données!B154</f>
        <v>Yens</v>
      </c>
      <c r="C154" s="387">
        <f>VPI!R154</f>
        <v>90850.412022589255</v>
      </c>
      <c r="D154" s="27">
        <f>Données!Z154</f>
        <v>1480</v>
      </c>
      <c r="E154" s="118">
        <f t="shared" si="22"/>
        <v>61.385413528776525</v>
      </c>
      <c r="F154" s="206">
        <f t="shared" si="16"/>
        <v>1.3295045890562123</v>
      </c>
      <c r="G154" s="517">
        <f t="shared" si="17"/>
        <v>15.213768816852095</v>
      </c>
      <c r="H154" s="517">
        <f t="shared" si="18"/>
        <v>5.9794398744672108</v>
      </c>
      <c r="I154" s="517">
        <f t="shared" si="19"/>
        <v>0</v>
      </c>
      <c r="J154" s="517">
        <f t="shared" si="20"/>
        <v>0</v>
      </c>
      <c r="K154" s="517">
        <f t="shared" si="21"/>
        <v>0</v>
      </c>
      <c r="L154" s="519">
        <f t="shared" si="23"/>
        <v>3.6406977508171403</v>
      </c>
      <c r="M154" s="330">
        <f>L154*D154*VPI!Q154</f>
        <v>385258.63599146978</v>
      </c>
    </row>
    <row r="155" spans="1:13" x14ac:dyDescent="0.25">
      <c r="A155" s="173">
        <f>Données!A155</f>
        <v>5656</v>
      </c>
      <c r="B155" s="27" t="str">
        <f>Données!B155</f>
        <v>Hautemorges</v>
      </c>
      <c r="C155" s="387">
        <f>VPI!R155</f>
        <v>160995.06048587704</v>
      </c>
      <c r="D155" s="27">
        <f>Données!Z155</f>
        <v>4101</v>
      </c>
      <c r="E155" s="118">
        <f t="shared" si="22"/>
        <v>39.257512920233367</v>
      </c>
      <c r="F155" s="206">
        <f t="shared" si="16"/>
        <v>0.85025155948353304</v>
      </c>
      <c r="G155" s="517">
        <f t="shared" si="17"/>
        <v>0</v>
      </c>
      <c r="H155" s="517">
        <f t="shared" si="18"/>
        <v>0</v>
      </c>
      <c r="I155" s="517">
        <f t="shared" si="19"/>
        <v>0</v>
      </c>
      <c r="J155" s="517">
        <f t="shared" si="20"/>
        <v>0</v>
      </c>
      <c r="K155" s="517">
        <f t="shared" si="21"/>
        <v>0</v>
      </c>
      <c r="L155" s="519">
        <f t="shared" si="23"/>
        <v>0</v>
      </c>
      <c r="M155" s="330">
        <f>L155*D155*VPI!Q155</f>
        <v>0</v>
      </c>
    </row>
    <row r="156" spans="1:13" x14ac:dyDescent="0.25">
      <c r="A156" s="173">
        <f>Données!A156</f>
        <v>5661</v>
      </c>
      <c r="B156" s="27" t="str">
        <f>Données!B156</f>
        <v>Boulens</v>
      </c>
      <c r="C156" s="387">
        <f>VPI!R156</f>
        <v>10163.82569082424</v>
      </c>
      <c r="D156" s="27">
        <f>Données!Z156</f>
        <v>369</v>
      </c>
      <c r="E156" s="118">
        <f t="shared" si="22"/>
        <v>27.544243064564338</v>
      </c>
      <c r="F156" s="206">
        <f t="shared" si="16"/>
        <v>0.59656187767230817</v>
      </c>
      <c r="G156" s="517">
        <f t="shared" si="17"/>
        <v>0</v>
      </c>
      <c r="H156" s="517">
        <f t="shared" si="18"/>
        <v>0</v>
      </c>
      <c r="I156" s="517">
        <f t="shared" si="19"/>
        <v>0</v>
      </c>
      <c r="J156" s="517">
        <f t="shared" si="20"/>
        <v>0</v>
      </c>
      <c r="K156" s="517">
        <f t="shared" si="21"/>
        <v>0</v>
      </c>
      <c r="L156" s="519">
        <f t="shared" si="23"/>
        <v>0</v>
      </c>
      <c r="M156" s="330">
        <f>L156*D156*VPI!Q156</f>
        <v>0</v>
      </c>
    </row>
    <row r="157" spans="1:13" x14ac:dyDescent="0.25">
      <c r="A157" s="173">
        <f>Données!A157</f>
        <v>5663</v>
      </c>
      <c r="B157" s="27" t="str">
        <f>Données!B157</f>
        <v>Bussy-sur-Moudon</v>
      </c>
      <c r="C157" s="387">
        <f>VPI!R157</f>
        <v>5406.7758852371026</v>
      </c>
      <c r="D157" s="27">
        <f>Données!Z157</f>
        <v>219</v>
      </c>
      <c r="E157" s="118">
        <f t="shared" si="22"/>
        <v>24.688474361813253</v>
      </c>
      <c r="F157" s="206">
        <f t="shared" si="16"/>
        <v>0.5347107411020412</v>
      </c>
      <c r="G157" s="517">
        <f t="shared" si="17"/>
        <v>0</v>
      </c>
      <c r="H157" s="517">
        <f t="shared" si="18"/>
        <v>0</v>
      </c>
      <c r="I157" s="517">
        <f t="shared" si="19"/>
        <v>0</v>
      </c>
      <c r="J157" s="517">
        <f t="shared" si="20"/>
        <v>0</v>
      </c>
      <c r="K157" s="517">
        <f t="shared" si="21"/>
        <v>0</v>
      </c>
      <c r="L157" s="519">
        <f t="shared" si="23"/>
        <v>0</v>
      </c>
      <c r="M157" s="330">
        <f>L157*D157*VPI!Q157</f>
        <v>0</v>
      </c>
    </row>
    <row r="158" spans="1:13" x14ac:dyDescent="0.25">
      <c r="A158" s="173">
        <f>Données!A158</f>
        <v>5665</v>
      </c>
      <c r="B158" s="27" t="str">
        <f>Données!B158</f>
        <v>Chavannes-sur-Moudon</v>
      </c>
      <c r="C158" s="387">
        <f>VPI!R158</f>
        <v>6834.7640808977276</v>
      </c>
      <c r="D158" s="27">
        <f>Données!Z158</f>
        <v>223</v>
      </c>
      <c r="E158" s="118">
        <f t="shared" si="22"/>
        <v>30.64916628205259</v>
      </c>
      <c r="F158" s="206">
        <f t="shared" si="16"/>
        <v>0.66380928107022885</v>
      </c>
      <c r="G158" s="517">
        <f t="shared" si="17"/>
        <v>0</v>
      </c>
      <c r="H158" s="517">
        <f t="shared" si="18"/>
        <v>0</v>
      </c>
      <c r="I158" s="517">
        <f t="shared" si="19"/>
        <v>0</v>
      </c>
      <c r="J158" s="517">
        <f t="shared" si="20"/>
        <v>0</v>
      </c>
      <c r="K158" s="517">
        <f t="shared" si="21"/>
        <v>0</v>
      </c>
      <c r="L158" s="519">
        <f t="shared" si="23"/>
        <v>0</v>
      </c>
      <c r="M158" s="330">
        <f>L158*D158*VPI!Q158</f>
        <v>0</v>
      </c>
    </row>
    <row r="159" spans="1:13" x14ac:dyDescent="0.25">
      <c r="A159" s="173">
        <f>Données!A159</f>
        <v>5669</v>
      </c>
      <c r="B159" s="27" t="str">
        <f>Données!B159</f>
        <v>Curtilles</v>
      </c>
      <c r="C159" s="387">
        <f>VPI!R159</f>
        <v>10284.99372876246</v>
      </c>
      <c r="D159" s="27">
        <f>Données!Z159</f>
        <v>301</v>
      </c>
      <c r="E159" s="118">
        <f t="shared" si="22"/>
        <v>34.169414381270627</v>
      </c>
      <c r="F159" s="206">
        <f t="shared" si="16"/>
        <v>0.74005192135696063</v>
      </c>
      <c r="G159" s="517">
        <f t="shared" si="17"/>
        <v>0</v>
      </c>
      <c r="H159" s="517">
        <f t="shared" si="18"/>
        <v>0</v>
      </c>
      <c r="I159" s="517">
        <f t="shared" si="19"/>
        <v>0</v>
      </c>
      <c r="J159" s="517">
        <f t="shared" si="20"/>
        <v>0</v>
      </c>
      <c r="K159" s="517">
        <f t="shared" si="21"/>
        <v>0</v>
      </c>
      <c r="L159" s="519">
        <f t="shared" si="23"/>
        <v>0</v>
      </c>
      <c r="M159" s="330">
        <f>L159*D159*VPI!Q159</f>
        <v>0</v>
      </c>
    </row>
    <row r="160" spans="1:13" x14ac:dyDescent="0.25">
      <c r="A160" s="173">
        <f>Données!A160</f>
        <v>5671</v>
      </c>
      <c r="B160" s="27" t="str">
        <f>Données!B160</f>
        <v>Dompierre</v>
      </c>
      <c r="C160" s="387">
        <f>VPI!R160</f>
        <v>6033.0922485669453</v>
      </c>
      <c r="D160" s="27">
        <f>Données!Z160</f>
        <v>245</v>
      </c>
      <c r="E160" s="118">
        <f t="shared" si="22"/>
        <v>24.624866320681409</v>
      </c>
      <c r="F160" s="206">
        <f t="shared" si="16"/>
        <v>0.53333309814544505</v>
      </c>
      <c r="G160" s="517">
        <f t="shared" si="17"/>
        <v>0</v>
      </c>
      <c r="H160" s="517">
        <f t="shared" si="18"/>
        <v>0</v>
      </c>
      <c r="I160" s="517">
        <f t="shared" si="19"/>
        <v>0</v>
      </c>
      <c r="J160" s="517">
        <f t="shared" si="20"/>
        <v>0</v>
      </c>
      <c r="K160" s="517">
        <f t="shared" si="21"/>
        <v>0</v>
      </c>
      <c r="L160" s="519">
        <f t="shared" si="23"/>
        <v>0</v>
      </c>
      <c r="M160" s="330">
        <f>L160*D160*VPI!Q160</f>
        <v>0</v>
      </c>
    </row>
    <row r="161" spans="1:13" x14ac:dyDescent="0.25">
      <c r="A161" s="173">
        <f>Données!A161</f>
        <v>5673</v>
      </c>
      <c r="B161" s="27" t="str">
        <f>Données!B161</f>
        <v>Hermenches</v>
      </c>
      <c r="C161" s="387">
        <f>VPI!R161</f>
        <v>10638.00475305371</v>
      </c>
      <c r="D161" s="27">
        <f>Données!Z161</f>
        <v>384</v>
      </c>
      <c r="E161" s="118">
        <f t="shared" si="22"/>
        <v>27.703137377744039</v>
      </c>
      <c r="F161" s="206">
        <f t="shared" si="16"/>
        <v>0.60000326067200593</v>
      </c>
      <c r="G161" s="517">
        <f t="shared" si="17"/>
        <v>0</v>
      </c>
      <c r="H161" s="517">
        <f t="shared" si="18"/>
        <v>0</v>
      </c>
      <c r="I161" s="517">
        <f t="shared" si="19"/>
        <v>0</v>
      </c>
      <c r="J161" s="517">
        <f t="shared" si="20"/>
        <v>0</v>
      </c>
      <c r="K161" s="517">
        <f t="shared" si="21"/>
        <v>0</v>
      </c>
      <c r="L161" s="519">
        <f t="shared" si="23"/>
        <v>0</v>
      </c>
      <c r="M161" s="330">
        <f>L161*D161*VPI!Q161</f>
        <v>0</v>
      </c>
    </row>
    <row r="162" spans="1:13" x14ac:dyDescent="0.25">
      <c r="A162" s="173">
        <f>Données!A162</f>
        <v>5674</v>
      </c>
      <c r="B162" s="27" t="str">
        <f>Données!B162</f>
        <v>Lovatens</v>
      </c>
      <c r="C162" s="387">
        <f>VPI!R162</f>
        <v>3430.6671539886806</v>
      </c>
      <c r="D162" s="27">
        <f>Données!Z162</f>
        <v>142</v>
      </c>
      <c r="E162" s="118">
        <f t="shared" si="22"/>
        <v>24.159627844990709</v>
      </c>
      <c r="F162" s="206">
        <f t="shared" si="16"/>
        <v>0.52325681694313064</v>
      </c>
      <c r="G162" s="517">
        <f t="shared" si="17"/>
        <v>0</v>
      </c>
      <c r="H162" s="517">
        <f t="shared" si="18"/>
        <v>0</v>
      </c>
      <c r="I162" s="517">
        <f t="shared" si="19"/>
        <v>0</v>
      </c>
      <c r="J162" s="517">
        <f t="shared" si="20"/>
        <v>0</v>
      </c>
      <c r="K162" s="517">
        <f t="shared" si="21"/>
        <v>0</v>
      </c>
      <c r="L162" s="519">
        <f t="shared" si="23"/>
        <v>0</v>
      </c>
      <c r="M162" s="330">
        <f>L162*D162*VPI!Q162</f>
        <v>0</v>
      </c>
    </row>
    <row r="163" spans="1:13" x14ac:dyDescent="0.25">
      <c r="A163" s="173">
        <f>Données!A163</f>
        <v>5675</v>
      </c>
      <c r="B163" s="27" t="str">
        <f>Données!B163</f>
        <v>Lucens</v>
      </c>
      <c r="C163" s="387">
        <f>VPI!R163</f>
        <v>96952.062979645387</v>
      </c>
      <c r="D163" s="27">
        <f>Données!Z163</f>
        <v>4309</v>
      </c>
      <c r="E163" s="118">
        <f t="shared" si="22"/>
        <v>22.499898579634575</v>
      </c>
      <c r="F163" s="206">
        <f t="shared" si="16"/>
        <v>0.4873098786065917</v>
      </c>
      <c r="G163" s="517">
        <f t="shared" si="17"/>
        <v>0</v>
      </c>
      <c r="H163" s="517">
        <f t="shared" si="18"/>
        <v>0</v>
      </c>
      <c r="I163" s="517">
        <f t="shared" si="19"/>
        <v>0</v>
      </c>
      <c r="J163" s="517">
        <f t="shared" si="20"/>
        <v>0</v>
      </c>
      <c r="K163" s="517">
        <f t="shared" si="21"/>
        <v>0</v>
      </c>
      <c r="L163" s="519">
        <f t="shared" si="23"/>
        <v>0</v>
      </c>
      <c r="M163" s="330">
        <f>L163*D163*VPI!Q163</f>
        <v>0</v>
      </c>
    </row>
    <row r="164" spans="1:13" x14ac:dyDescent="0.25">
      <c r="A164" s="173">
        <f>Données!A164</f>
        <v>5678</v>
      </c>
      <c r="B164" s="27" t="str">
        <f>Données!B164</f>
        <v>Moudon</v>
      </c>
      <c r="C164" s="387">
        <f>VPI!R164</f>
        <v>124861.70956096463</v>
      </c>
      <c r="D164" s="27">
        <f>Données!Z164</f>
        <v>6109</v>
      </c>
      <c r="E164" s="118">
        <f t="shared" si="22"/>
        <v>20.438976847432418</v>
      </c>
      <c r="F164" s="206">
        <f t="shared" si="16"/>
        <v>0.44267378766677951</v>
      </c>
      <c r="G164" s="517">
        <f t="shared" si="17"/>
        <v>0</v>
      </c>
      <c r="H164" s="517">
        <f t="shared" si="18"/>
        <v>0</v>
      </c>
      <c r="I164" s="517">
        <f t="shared" si="19"/>
        <v>0</v>
      </c>
      <c r="J164" s="517">
        <f t="shared" si="20"/>
        <v>0</v>
      </c>
      <c r="K164" s="517">
        <f t="shared" si="21"/>
        <v>0</v>
      </c>
      <c r="L164" s="519">
        <f t="shared" si="23"/>
        <v>0</v>
      </c>
      <c r="M164" s="330">
        <f>L164*D164*VPI!Q164</f>
        <v>0</v>
      </c>
    </row>
    <row r="165" spans="1:13" x14ac:dyDescent="0.25">
      <c r="A165" s="173">
        <f>Données!A165</f>
        <v>5680</v>
      </c>
      <c r="B165" s="27" t="str">
        <f>Données!B165</f>
        <v>Ogens</v>
      </c>
      <c r="C165" s="387">
        <f>VPI!R165</f>
        <v>8674.1647445530853</v>
      </c>
      <c r="D165" s="27">
        <f>Données!Z165</f>
        <v>301</v>
      </c>
      <c r="E165" s="118">
        <f t="shared" si="22"/>
        <v>28.817823071604934</v>
      </c>
      <c r="F165" s="206">
        <f t="shared" si="16"/>
        <v>0.62414547394631481</v>
      </c>
      <c r="G165" s="517">
        <f t="shared" si="17"/>
        <v>0</v>
      </c>
      <c r="H165" s="517">
        <f t="shared" si="18"/>
        <v>0</v>
      </c>
      <c r="I165" s="517">
        <f t="shared" si="19"/>
        <v>0</v>
      </c>
      <c r="J165" s="517">
        <f t="shared" si="20"/>
        <v>0</v>
      </c>
      <c r="K165" s="517">
        <f t="shared" si="21"/>
        <v>0</v>
      </c>
      <c r="L165" s="519">
        <f t="shared" si="23"/>
        <v>0</v>
      </c>
      <c r="M165" s="330">
        <f>L165*D165*VPI!Q165</f>
        <v>0</v>
      </c>
    </row>
    <row r="166" spans="1:13" x14ac:dyDescent="0.25">
      <c r="A166" s="173">
        <f>Données!A166</f>
        <v>5683</v>
      </c>
      <c r="B166" s="27" t="str">
        <f>Données!B166</f>
        <v>Prévonloup</v>
      </c>
      <c r="C166" s="387">
        <f>VPI!R166</f>
        <v>5010.6526896551723</v>
      </c>
      <c r="D166" s="27">
        <f>Données!Z166</f>
        <v>202</v>
      </c>
      <c r="E166" s="118">
        <f t="shared" si="22"/>
        <v>24.805211334926597</v>
      </c>
      <c r="F166" s="206">
        <f t="shared" si="16"/>
        <v>0.53723906717406422</v>
      </c>
      <c r="G166" s="517">
        <f t="shared" si="17"/>
        <v>0</v>
      </c>
      <c r="H166" s="517">
        <f t="shared" si="18"/>
        <v>0</v>
      </c>
      <c r="I166" s="517">
        <f t="shared" si="19"/>
        <v>0</v>
      </c>
      <c r="J166" s="517">
        <f t="shared" si="20"/>
        <v>0</v>
      </c>
      <c r="K166" s="517">
        <f t="shared" si="21"/>
        <v>0</v>
      </c>
      <c r="L166" s="519">
        <f t="shared" si="23"/>
        <v>0</v>
      </c>
      <c r="M166" s="330">
        <f>L166*D166*VPI!Q166</f>
        <v>0</v>
      </c>
    </row>
    <row r="167" spans="1:13" x14ac:dyDescent="0.25">
      <c r="A167" s="173">
        <f>Données!A167</f>
        <v>5684</v>
      </c>
      <c r="B167" s="27" t="str">
        <f>Données!B167</f>
        <v>Rossenges</v>
      </c>
      <c r="C167" s="387">
        <f>VPI!R167</f>
        <v>4335.3702000000012</v>
      </c>
      <c r="D167" s="27">
        <f>Données!Z167</f>
        <v>84</v>
      </c>
      <c r="E167" s="118">
        <f t="shared" si="22"/>
        <v>51.611550000000015</v>
      </c>
      <c r="F167" s="206">
        <f t="shared" si="16"/>
        <v>1.1178191793256751</v>
      </c>
      <c r="G167" s="517">
        <f t="shared" si="17"/>
        <v>5.439905288075586</v>
      </c>
      <c r="H167" s="517">
        <f t="shared" si="18"/>
        <v>0</v>
      </c>
      <c r="I167" s="517">
        <f t="shared" si="19"/>
        <v>0</v>
      </c>
      <c r="J167" s="517">
        <f t="shared" si="20"/>
        <v>0</v>
      </c>
      <c r="K167" s="517">
        <f t="shared" si="21"/>
        <v>0</v>
      </c>
      <c r="L167" s="519">
        <f t="shared" si="23"/>
        <v>1.0879810576151172</v>
      </c>
      <c r="M167" s="330">
        <f>L167*D167*VPI!Q167</f>
        <v>6854.2806629752386</v>
      </c>
    </row>
    <row r="168" spans="1:13" x14ac:dyDescent="0.25">
      <c r="A168" s="173">
        <f>Données!A168</f>
        <v>5688</v>
      </c>
      <c r="B168" s="27" t="str">
        <f>Données!B168</f>
        <v>Syens</v>
      </c>
      <c r="C168" s="387">
        <f>VPI!R168</f>
        <v>5090.9474673292525</v>
      </c>
      <c r="D168" s="27">
        <f>Données!Z168</f>
        <v>156</v>
      </c>
      <c r="E168" s="118">
        <f t="shared" si="22"/>
        <v>32.634278636725981</v>
      </c>
      <c r="F168" s="206">
        <f t="shared" si="16"/>
        <v>0.70680346867300903</v>
      </c>
      <c r="G168" s="517">
        <f t="shared" si="17"/>
        <v>0</v>
      </c>
      <c r="H168" s="517">
        <f t="shared" si="18"/>
        <v>0</v>
      </c>
      <c r="I168" s="517">
        <f t="shared" si="19"/>
        <v>0</v>
      </c>
      <c r="J168" s="517">
        <f t="shared" si="20"/>
        <v>0</v>
      </c>
      <c r="K168" s="517">
        <f t="shared" si="21"/>
        <v>0</v>
      </c>
      <c r="L168" s="519">
        <f t="shared" si="23"/>
        <v>0</v>
      </c>
      <c r="M168" s="330">
        <f>L168*D168*VPI!Q168</f>
        <v>0</v>
      </c>
    </row>
    <row r="169" spans="1:13" x14ac:dyDescent="0.25">
      <c r="A169" s="173">
        <f>Données!A169</f>
        <v>5690</v>
      </c>
      <c r="B169" s="27" t="str">
        <f>Données!B169</f>
        <v>Villars-le-Comte</v>
      </c>
      <c r="C169" s="387">
        <f>VPI!R169</f>
        <v>3483.6555381452017</v>
      </c>
      <c r="D169" s="27">
        <f>Données!Z169</f>
        <v>120</v>
      </c>
      <c r="E169" s="118">
        <f t="shared" si="22"/>
        <v>29.030462817876682</v>
      </c>
      <c r="F169" s="206">
        <f t="shared" si="16"/>
        <v>0.62875089243635252</v>
      </c>
      <c r="G169" s="517">
        <f t="shared" si="17"/>
        <v>0</v>
      </c>
      <c r="H169" s="517">
        <f t="shared" si="18"/>
        <v>0</v>
      </c>
      <c r="I169" s="517">
        <f t="shared" si="19"/>
        <v>0</v>
      </c>
      <c r="J169" s="517">
        <f t="shared" si="20"/>
        <v>0</v>
      </c>
      <c r="K169" s="517">
        <f t="shared" si="21"/>
        <v>0</v>
      </c>
      <c r="L169" s="519">
        <f t="shared" si="23"/>
        <v>0</v>
      </c>
      <c r="M169" s="330">
        <f>L169*D169*VPI!Q169</f>
        <v>0</v>
      </c>
    </row>
    <row r="170" spans="1:13" x14ac:dyDescent="0.25">
      <c r="A170" s="173">
        <f>Données!A170</f>
        <v>5692</v>
      </c>
      <c r="B170" s="27" t="str">
        <f>Données!B170</f>
        <v>Vucherens</v>
      </c>
      <c r="C170" s="387">
        <f>VPI!R170</f>
        <v>18080.765402288005</v>
      </c>
      <c r="D170" s="27">
        <f>Données!Z170</f>
        <v>617</v>
      </c>
      <c r="E170" s="118">
        <f t="shared" si="22"/>
        <v>29.304319938878454</v>
      </c>
      <c r="F170" s="206">
        <f t="shared" si="16"/>
        <v>0.63468217607830268</v>
      </c>
      <c r="G170" s="517">
        <f t="shared" si="17"/>
        <v>0</v>
      </c>
      <c r="H170" s="517">
        <f t="shared" si="18"/>
        <v>0</v>
      </c>
      <c r="I170" s="517">
        <f t="shared" si="19"/>
        <v>0</v>
      </c>
      <c r="J170" s="517">
        <f t="shared" si="20"/>
        <v>0</v>
      </c>
      <c r="K170" s="517">
        <f t="shared" si="21"/>
        <v>0</v>
      </c>
      <c r="L170" s="519">
        <f t="shared" si="23"/>
        <v>0</v>
      </c>
      <c r="M170" s="330">
        <f>L170*D170*VPI!Q170</f>
        <v>0</v>
      </c>
    </row>
    <row r="171" spans="1:13" x14ac:dyDescent="0.25">
      <c r="A171" s="173">
        <f>Données!A171</f>
        <v>5693</v>
      </c>
      <c r="B171" s="27" t="str">
        <f>Données!B171</f>
        <v>Montanaire</v>
      </c>
      <c r="C171" s="387">
        <f>VPI!R171</f>
        <v>71109.274307717249</v>
      </c>
      <c r="D171" s="27">
        <f>Données!Z171</f>
        <v>2782</v>
      </c>
      <c r="E171" s="118">
        <f t="shared" si="22"/>
        <v>25.560486810825754</v>
      </c>
      <c r="F171" s="206">
        <f t="shared" si="16"/>
        <v>0.5535970609300046</v>
      </c>
      <c r="G171" s="517">
        <f t="shared" si="17"/>
        <v>0</v>
      </c>
      <c r="H171" s="517">
        <f t="shared" si="18"/>
        <v>0</v>
      </c>
      <c r="I171" s="517">
        <f t="shared" si="19"/>
        <v>0</v>
      </c>
      <c r="J171" s="517">
        <f t="shared" si="20"/>
        <v>0</v>
      </c>
      <c r="K171" s="517">
        <f t="shared" si="21"/>
        <v>0</v>
      </c>
      <c r="L171" s="519">
        <f t="shared" si="23"/>
        <v>0</v>
      </c>
      <c r="M171" s="330">
        <f>L171*D171*VPI!Q171</f>
        <v>0</v>
      </c>
    </row>
    <row r="172" spans="1:13" x14ac:dyDescent="0.25">
      <c r="A172" s="173">
        <f>Données!A172</f>
        <v>5701</v>
      </c>
      <c r="B172" s="27" t="str">
        <f>Données!B172</f>
        <v>Arnex-sur-Nyon</v>
      </c>
      <c r="C172" s="387">
        <f>VPI!R172</f>
        <v>12577.692288260665</v>
      </c>
      <c r="D172" s="27">
        <f>Données!Z172</f>
        <v>240</v>
      </c>
      <c r="E172" s="118">
        <f t="shared" si="22"/>
        <v>52.407051201086105</v>
      </c>
      <c r="F172" s="206">
        <f t="shared" si="16"/>
        <v>1.1350483944868288</v>
      </c>
      <c r="G172" s="517">
        <f t="shared" si="17"/>
        <v>6.2354064891616758</v>
      </c>
      <c r="H172" s="517">
        <f t="shared" si="18"/>
        <v>0</v>
      </c>
      <c r="I172" s="517">
        <f t="shared" si="19"/>
        <v>0</v>
      </c>
      <c r="J172" s="517">
        <f t="shared" si="20"/>
        <v>0</v>
      </c>
      <c r="K172" s="517">
        <f t="shared" si="21"/>
        <v>0</v>
      </c>
      <c r="L172" s="519">
        <f t="shared" si="23"/>
        <v>1.2470812978323353</v>
      </c>
      <c r="M172" s="330">
        <f>L172*D172*VPI!Q172</f>
        <v>20950.965803583236</v>
      </c>
    </row>
    <row r="173" spans="1:13" x14ac:dyDescent="0.25">
      <c r="A173" s="173">
        <f>Données!A173</f>
        <v>5702</v>
      </c>
      <c r="B173" s="27" t="str">
        <f>Données!B173</f>
        <v>Arzier-Le Muids</v>
      </c>
      <c r="C173" s="387">
        <f>VPI!R173</f>
        <v>167718.32276638702</v>
      </c>
      <c r="D173" s="27">
        <f>Données!Z173</f>
        <v>2912</v>
      </c>
      <c r="E173" s="118">
        <f t="shared" si="22"/>
        <v>57.595577873072465</v>
      </c>
      <c r="F173" s="206">
        <f t="shared" si="16"/>
        <v>1.2474231366983912</v>
      </c>
      <c r="G173" s="517">
        <f t="shared" si="17"/>
        <v>11.423933161148035</v>
      </c>
      <c r="H173" s="517">
        <f t="shared" si="18"/>
        <v>2.1896042187631508</v>
      </c>
      <c r="I173" s="517">
        <f t="shared" si="19"/>
        <v>0</v>
      </c>
      <c r="J173" s="517">
        <f t="shared" si="20"/>
        <v>0</v>
      </c>
      <c r="K173" s="517">
        <f t="shared" si="21"/>
        <v>0</v>
      </c>
      <c r="L173" s="519">
        <f t="shared" si="23"/>
        <v>2.5037470541059221</v>
      </c>
      <c r="M173" s="330">
        <f>L173*D173*VPI!Q173</f>
        <v>466618.33097961248</v>
      </c>
    </row>
    <row r="174" spans="1:13" x14ac:dyDescent="0.25">
      <c r="A174" s="173">
        <f>Données!A174</f>
        <v>5703</v>
      </c>
      <c r="B174" s="27" t="str">
        <f>Données!B174</f>
        <v>Bassins</v>
      </c>
      <c r="C174" s="387">
        <f>VPI!R174</f>
        <v>66886.981709814791</v>
      </c>
      <c r="D174" s="27">
        <f>Données!Z174</f>
        <v>1475</v>
      </c>
      <c r="E174" s="118">
        <f t="shared" si="22"/>
        <v>45.347106243942228</v>
      </c>
      <c r="F174" s="206">
        <f t="shared" si="16"/>
        <v>0.982141886581544</v>
      </c>
      <c r="G174" s="517">
        <f t="shared" si="17"/>
        <v>0</v>
      </c>
      <c r="H174" s="517">
        <f t="shared" si="18"/>
        <v>0</v>
      </c>
      <c r="I174" s="517">
        <f t="shared" si="19"/>
        <v>0</v>
      </c>
      <c r="J174" s="517">
        <f t="shared" si="20"/>
        <v>0</v>
      </c>
      <c r="K174" s="517">
        <f t="shared" si="21"/>
        <v>0</v>
      </c>
      <c r="L174" s="519">
        <f t="shared" si="23"/>
        <v>0</v>
      </c>
      <c r="M174" s="330">
        <f>L174*D174*VPI!Q174</f>
        <v>0</v>
      </c>
    </row>
    <row r="175" spans="1:13" x14ac:dyDescent="0.25">
      <c r="A175" s="173">
        <f>Données!A175</f>
        <v>5704</v>
      </c>
      <c r="B175" s="27" t="str">
        <f>Données!B175</f>
        <v>Begnins</v>
      </c>
      <c r="C175" s="387">
        <f>VPI!R175</f>
        <v>141530.02646227158</v>
      </c>
      <c r="D175" s="27">
        <f>Données!Z175</f>
        <v>1928</v>
      </c>
      <c r="E175" s="118">
        <f t="shared" si="22"/>
        <v>73.40769007379231</v>
      </c>
      <c r="F175" s="206">
        <f t="shared" si="16"/>
        <v>1.5898868349135029</v>
      </c>
      <c r="G175" s="517">
        <f t="shared" si="17"/>
        <v>27.23604536186788</v>
      </c>
      <c r="H175" s="517">
        <f t="shared" si="18"/>
        <v>18.001716419482996</v>
      </c>
      <c r="I175" s="517">
        <f t="shared" si="19"/>
        <v>4.1502230059056728</v>
      </c>
      <c r="J175" s="517">
        <f t="shared" si="20"/>
        <v>0</v>
      </c>
      <c r="K175" s="517">
        <f t="shared" si="21"/>
        <v>0</v>
      </c>
      <c r="L175" s="519">
        <f t="shared" si="23"/>
        <v>7.6624030149124431</v>
      </c>
      <c r="M175" s="330">
        <f>L175*D175*VPI!Q175</f>
        <v>923319.56329694937</v>
      </c>
    </row>
    <row r="176" spans="1:13" x14ac:dyDescent="0.25">
      <c r="A176" s="173">
        <f>Données!A176</f>
        <v>5705</v>
      </c>
      <c r="B176" s="27" t="str">
        <f>Données!B176</f>
        <v>Bogis-Bossey</v>
      </c>
      <c r="C176" s="387">
        <f>VPI!R176</f>
        <v>56143.373517355147</v>
      </c>
      <c r="D176" s="27">
        <f>Données!Z176</f>
        <v>835</v>
      </c>
      <c r="E176" s="118">
        <f t="shared" si="22"/>
        <v>67.237573074676817</v>
      </c>
      <c r="F176" s="206">
        <f t="shared" si="16"/>
        <v>1.4562525007325944</v>
      </c>
      <c r="G176" s="517">
        <f t="shared" si="17"/>
        <v>21.065928362752388</v>
      </c>
      <c r="H176" s="517">
        <f t="shared" si="18"/>
        <v>11.831599420367503</v>
      </c>
      <c r="I176" s="517">
        <f t="shared" si="19"/>
        <v>0</v>
      </c>
      <c r="J176" s="517">
        <f t="shared" si="20"/>
        <v>0</v>
      </c>
      <c r="K176" s="517">
        <f t="shared" si="21"/>
        <v>0</v>
      </c>
      <c r="L176" s="519">
        <f t="shared" si="23"/>
        <v>5.3963456145872275</v>
      </c>
      <c r="M176" s="330">
        <f>L176*D176*VPI!Q176</f>
        <v>335693.16981943493</v>
      </c>
    </row>
    <row r="177" spans="1:13" x14ac:dyDescent="0.25">
      <c r="A177" s="173">
        <f>Données!A177</f>
        <v>5706</v>
      </c>
      <c r="B177" s="27" t="str">
        <f>Données!B177</f>
        <v>Borex</v>
      </c>
      <c r="C177" s="387">
        <f>VPI!R177</f>
        <v>84061.533508771914</v>
      </c>
      <c r="D177" s="27">
        <f>Données!Z177</f>
        <v>1157</v>
      </c>
      <c r="E177" s="118">
        <f t="shared" si="22"/>
        <v>72.654739419854721</v>
      </c>
      <c r="F177" s="206">
        <f t="shared" si="16"/>
        <v>1.5735791928826544</v>
      </c>
      <c r="G177" s="517">
        <f t="shared" si="17"/>
        <v>26.483094707930292</v>
      </c>
      <c r="H177" s="517">
        <f t="shared" si="18"/>
        <v>17.248765765545407</v>
      </c>
      <c r="I177" s="517">
        <f t="shared" si="19"/>
        <v>3.3972723519680841</v>
      </c>
      <c r="J177" s="517">
        <f t="shared" si="20"/>
        <v>0</v>
      </c>
      <c r="K177" s="517">
        <f t="shared" si="21"/>
        <v>0</v>
      </c>
      <c r="L177" s="519">
        <f t="shared" si="23"/>
        <v>7.3612227533374073</v>
      </c>
      <c r="M177" s="330">
        <f>L177*D177*VPI!Q177</f>
        <v>485465.27935984865</v>
      </c>
    </row>
    <row r="178" spans="1:13" x14ac:dyDescent="0.25">
      <c r="A178" s="173">
        <f>Données!A178</f>
        <v>5707</v>
      </c>
      <c r="B178" s="27" t="str">
        <f>Données!B178</f>
        <v>Chavannes-de-Bogis</v>
      </c>
      <c r="C178" s="387">
        <f>VPI!R178</f>
        <v>81740.650607161704</v>
      </c>
      <c r="D178" s="27">
        <f>Données!Z178</f>
        <v>1329</v>
      </c>
      <c r="E178" s="118">
        <f t="shared" si="22"/>
        <v>61.505380441807148</v>
      </c>
      <c r="F178" s="206">
        <f t="shared" si="16"/>
        <v>1.3321028701826292</v>
      </c>
      <c r="G178" s="517">
        <f t="shared" si="17"/>
        <v>15.333735729882719</v>
      </c>
      <c r="H178" s="517">
        <f t="shared" si="18"/>
        <v>6.0994067874978342</v>
      </c>
      <c r="I178" s="517">
        <f t="shared" si="19"/>
        <v>0</v>
      </c>
      <c r="J178" s="517">
        <f t="shared" si="20"/>
        <v>0</v>
      </c>
      <c r="K178" s="517">
        <f t="shared" si="21"/>
        <v>0</v>
      </c>
      <c r="L178" s="519">
        <f t="shared" si="23"/>
        <v>3.6766878247263275</v>
      </c>
      <c r="M178" s="330">
        <f>L178*D178*VPI!Q178</f>
        <v>283406.45090555481</v>
      </c>
    </row>
    <row r="179" spans="1:13" x14ac:dyDescent="0.25">
      <c r="A179" s="173">
        <f>Données!A179</f>
        <v>5708</v>
      </c>
      <c r="B179" s="27" t="str">
        <f>Données!B179</f>
        <v>Chavannes-des-Bois</v>
      </c>
      <c r="C179" s="387">
        <f>VPI!R179</f>
        <v>67246.19149969735</v>
      </c>
      <c r="D179" s="27">
        <f>Données!Z179</f>
        <v>1013</v>
      </c>
      <c r="E179" s="118">
        <f t="shared" si="22"/>
        <v>66.383209772652862</v>
      </c>
      <c r="F179" s="206">
        <f t="shared" si="16"/>
        <v>1.4377484316799425</v>
      </c>
      <c r="G179" s="517">
        <f t="shared" si="17"/>
        <v>20.211565060728432</v>
      </c>
      <c r="H179" s="517">
        <f t="shared" si="18"/>
        <v>10.977236118343548</v>
      </c>
      <c r="I179" s="517">
        <f t="shared" si="19"/>
        <v>0</v>
      </c>
      <c r="J179" s="517">
        <f t="shared" si="20"/>
        <v>0</v>
      </c>
      <c r="K179" s="517">
        <f t="shared" si="21"/>
        <v>0</v>
      </c>
      <c r="L179" s="519">
        <f t="shared" si="23"/>
        <v>5.1400366239800412</v>
      </c>
      <c r="M179" s="330">
        <f>L179*D179*VPI!Q179</f>
        <v>354066.28280624119</v>
      </c>
    </row>
    <row r="180" spans="1:13" x14ac:dyDescent="0.25">
      <c r="A180" s="173">
        <f>Données!A180</f>
        <v>5709</v>
      </c>
      <c r="B180" s="27" t="str">
        <f>Données!B180</f>
        <v>Chéserex</v>
      </c>
      <c r="C180" s="387">
        <f>VPI!R180</f>
        <v>97363.543103732183</v>
      </c>
      <c r="D180" s="27">
        <f>Données!Z180</f>
        <v>1248</v>
      </c>
      <c r="E180" s="118">
        <f t="shared" si="22"/>
        <v>78.015659538246936</v>
      </c>
      <c r="F180" s="206">
        <f t="shared" si="16"/>
        <v>1.6896876865661745</v>
      </c>
      <c r="G180" s="517">
        <f t="shared" si="17"/>
        <v>31.844014826322507</v>
      </c>
      <c r="H180" s="517">
        <f t="shared" si="18"/>
        <v>22.609685883937622</v>
      </c>
      <c r="I180" s="517">
        <f t="shared" si="19"/>
        <v>8.7581924703602994</v>
      </c>
      <c r="J180" s="517">
        <f t="shared" si="20"/>
        <v>0</v>
      </c>
      <c r="K180" s="517">
        <f t="shared" si="21"/>
        <v>0</v>
      </c>
      <c r="L180" s="519">
        <f t="shared" si="23"/>
        <v>9.5055908006942929</v>
      </c>
      <c r="M180" s="330">
        <f>L180*D180*VPI!Q180</f>
        <v>676189.70719818922</v>
      </c>
    </row>
    <row r="181" spans="1:13" x14ac:dyDescent="0.25">
      <c r="A181" s="173">
        <f>Données!A181</f>
        <v>5710</v>
      </c>
      <c r="B181" s="27" t="str">
        <f>Données!B181</f>
        <v>Coinsins</v>
      </c>
      <c r="C181" s="387">
        <f>VPI!R181</f>
        <v>41089.8274990719</v>
      </c>
      <c r="D181" s="27">
        <f>Données!Z181</f>
        <v>509</v>
      </c>
      <c r="E181" s="118">
        <f t="shared" si="22"/>
        <v>80.726576619001762</v>
      </c>
      <c r="F181" s="206">
        <f t="shared" si="16"/>
        <v>1.7484015811581664</v>
      </c>
      <c r="G181" s="517">
        <f t="shared" si="17"/>
        <v>34.554931907077332</v>
      </c>
      <c r="H181" s="517">
        <f t="shared" si="18"/>
        <v>25.320602964692448</v>
      </c>
      <c r="I181" s="517">
        <f t="shared" si="19"/>
        <v>11.469109551115125</v>
      </c>
      <c r="J181" s="517">
        <f t="shared" si="20"/>
        <v>0</v>
      </c>
      <c r="K181" s="517">
        <f t="shared" si="21"/>
        <v>0</v>
      </c>
      <c r="L181" s="519">
        <f t="shared" si="23"/>
        <v>10.589957632996224</v>
      </c>
      <c r="M181" s="330">
        <f>L181*D181*VPI!Q181</f>
        <v>274904.71019494894</v>
      </c>
    </row>
    <row r="182" spans="1:13" x14ac:dyDescent="0.25">
      <c r="A182" s="173">
        <f>Données!A182</f>
        <v>5711</v>
      </c>
      <c r="B182" s="27" t="str">
        <f>Données!B182</f>
        <v>Commugny</v>
      </c>
      <c r="C182" s="387">
        <f>VPI!R182</f>
        <v>252751.28311656581</v>
      </c>
      <c r="D182" s="27">
        <f>Données!Z182</f>
        <v>2997</v>
      </c>
      <c r="E182" s="118">
        <f t="shared" si="22"/>
        <v>84.334762467989933</v>
      </c>
      <c r="F182" s="206">
        <f t="shared" si="16"/>
        <v>1.8265488048817411</v>
      </c>
      <c r="G182" s="517">
        <f t="shared" si="17"/>
        <v>38.163117756065503</v>
      </c>
      <c r="H182" s="517">
        <f t="shared" si="18"/>
        <v>28.928788813680619</v>
      </c>
      <c r="I182" s="517">
        <f t="shared" si="19"/>
        <v>15.077295400103296</v>
      </c>
      <c r="J182" s="517">
        <f t="shared" si="20"/>
        <v>0</v>
      </c>
      <c r="K182" s="517">
        <f t="shared" si="21"/>
        <v>0</v>
      </c>
      <c r="L182" s="519">
        <f t="shared" si="23"/>
        <v>12.033231972591492</v>
      </c>
      <c r="M182" s="330">
        <f>L182*D182*VPI!Q182</f>
        <v>2001529.5903130469</v>
      </c>
    </row>
    <row r="183" spans="1:13" x14ac:dyDescent="0.25">
      <c r="A183" s="173">
        <f>Données!A183</f>
        <v>5712</v>
      </c>
      <c r="B183" s="27" t="str">
        <f>Données!B183</f>
        <v>Coppet</v>
      </c>
      <c r="C183" s="387">
        <f>VPI!R183</f>
        <v>381936.87435905024</v>
      </c>
      <c r="D183" s="27">
        <f>Données!Z183</f>
        <v>3247</v>
      </c>
      <c r="E183" s="118">
        <f t="shared" si="22"/>
        <v>117.6276176036496</v>
      </c>
      <c r="F183" s="206">
        <f t="shared" si="16"/>
        <v>2.5476159304602533</v>
      </c>
      <c r="G183" s="517">
        <f t="shared" si="17"/>
        <v>71.455972891725168</v>
      </c>
      <c r="H183" s="517">
        <f t="shared" si="18"/>
        <v>62.221643949340283</v>
      </c>
      <c r="I183" s="517">
        <f t="shared" si="19"/>
        <v>48.37015053576296</v>
      </c>
      <c r="J183" s="517">
        <f t="shared" si="20"/>
        <v>25.284328179800738</v>
      </c>
      <c r="K183" s="517">
        <f t="shared" si="21"/>
        <v>0</v>
      </c>
      <c r="L183" s="519">
        <f t="shared" si="23"/>
        <v>27.878806844835431</v>
      </c>
      <c r="M183" s="330">
        <f>L183*D183*VPI!Q183</f>
        <v>4797691.7487345738</v>
      </c>
    </row>
    <row r="184" spans="1:13" x14ac:dyDescent="0.25">
      <c r="A184" s="173">
        <f>Données!A184</f>
        <v>5713</v>
      </c>
      <c r="B184" s="27" t="str">
        <f>Données!B184</f>
        <v>Crans-près-Céligny</v>
      </c>
      <c r="C184" s="387">
        <f>VPI!R184</f>
        <v>308655.70549910824</v>
      </c>
      <c r="D184" s="27">
        <f>Données!Z184</f>
        <v>2340</v>
      </c>
      <c r="E184" s="118">
        <f t="shared" si="22"/>
        <v>131.90414764919154</v>
      </c>
      <c r="F184" s="206">
        <f t="shared" si="16"/>
        <v>2.8568215074895433</v>
      </c>
      <c r="G184" s="517">
        <f t="shared" si="17"/>
        <v>85.732502937267114</v>
      </c>
      <c r="H184" s="517">
        <f t="shared" si="18"/>
        <v>76.498173994882222</v>
      </c>
      <c r="I184" s="517">
        <f t="shared" si="19"/>
        <v>62.646680581304906</v>
      </c>
      <c r="J184" s="517">
        <f t="shared" si="20"/>
        <v>39.560858225342685</v>
      </c>
      <c r="K184" s="517">
        <f t="shared" si="21"/>
        <v>0</v>
      </c>
      <c r="L184" s="519">
        <f t="shared" si="23"/>
        <v>35.017071867606404</v>
      </c>
      <c r="M184" s="330">
        <f>L184*D184*VPI!Q184</f>
        <v>4588637.0975311436</v>
      </c>
    </row>
    <row r="185" spans="1:13" x14ac:dyDescent="0.25">
      <c r="A185" s="173">
        <f>Données!A185</f>
        <v>5714</v>
      </c>
      <c r="B185" s="27" t="str">
        <f>Données!B185</f>
        <v>Crassier</v>
      </c>
      <c r="C185" s="387">
        <f>VPI!R185</f>
        <v>53565.625441176468</v>
      </c>
      <c r="D185" s="27">
        <f>Données!Z185</f>
        <v>1174</v>
      </c>
      <c r="E185" s="118">
        <f t="shared" si="22"/>
        <v>45.626597479707385</v>
      </c>
      <c r="F185" s="206">
        <f t="shared" si="16"/>
        <v>0.98819519565270586</v>
      </c>
      <c r="G185" s="517">
        <f t="shared" si="17"/>
        <v>0</v>
      </c>
      <c r="H185" s="517">
        <f t="shared" si="18"/>
        <v>0</v>
      </c>
      <c r="I185" s="517">
        <f t="shared" si="19"/>
        <v>0</v>
      </c>
      <c r="J185" s="517">
        <f t="shared" si="20"/>
        <v>0</v>
      </c>
      <c r="K185" s="517">
        <f t="shared" si="21"/>
        <v>0</v>
      </c>
      <c r="L185" s="519">
        <f t="shared" si="23"/>
        <v>0</v>
      </c>
      <c r="M185" s="330">
        <f>L185*D185*VPI!Q185</f>
        <v>0</v>
      </c>
    </row>
    <row r="186" spans="1:13" x14ac:dyDescent="0.25">
      <c r="A186" s="173">
        <f>Données!A186</f>
        <v>5715</v>
      </c>
      <c r="B186" s="27" t="str">
        <f>Données!B186</f>
        <v>Duillier</v>
      </c>
      <c r="C186" s="387">
        <f>VPI!R186</f>
        <v>61562.138656601084</v>
      </c>
      <c r="D186" s="27">
        <f>Données!Z186</f>
        <v>1128</v>
      </c>
      <c r="E186" s="118">
        <f t="shared" si="22"/>
        <v>54.576364057270467</v>
      </c>
      <c r="F186" s="206">
        <f t="shared" si="16"/>
        <v>1.1820320544738014</v>
      </c>
      <c r="G186" s="517">
        <f t="shared" si="17"/>
        <v>8.404719345346038</v>
      </c>
      <c r="H186" s="517">
        <f t="shared" si="18"/>
        <v>0</v>
      </c>
      <c r="I186" s="517">
        <f t="shared" si="19"/>
        <v>0</v>
      </c>
      <c r="J186" s="517">
        <f t="shared" si="20"/>
        <v>0</v>
      </c>
      <c r="K186" s="517">
        <f t="shared" si="21"/>
        <v>0</v>
      </c>
      <c r="L186" s="519">
        <f t="shared" si="23"/>
        <v>1.6809438690692078</v>
      </c>
      <c r="M186" s="330">
        <f>L186*D186*VPI!Q186</f>
        <v>125142.90916446438</v>
      </c>
    </row>
    <row r="187" spans="1:13" x14ac:dyDescent="0.25">
      <c r="A187" s="173">
        <f>Données!A187</f>
        <v>5716</v>
      </c>
      <c r="B187" s="27" t="str">
        <f>Données!B187</f>
        <v>Eysins</v>
      </c>
      <c r="C187" s="387">
        <f>VPI!R187</f>
        <v>307549.31539081637</v>
      </c>
      <c r="D187" s="27">
        <f>Données!Z187</f>
        <v>1740</v>
      </c>
      <c r="E187" s="118">
        <f t="shared" si="22"/>
        <v>176.75248010966459</v>
      </c>
      <c r="F187" s="206">
        <f t="shared" si="16"/>
        <v>3.8281607946276162</v>
      </c>
      <c r="G187" s="517">
        <f t="shared" si="17"/>
        <v>130.58083539774015</v>
      </c>
      <c r="H187" s="517">
        <f t="shared" si="18"/>
        <v>121.34650645535527</v>
      </c>
      <c r="I187" s="517">
        <f t="shared" si="19"/>
        <v>107.49501304177795</v>
      </c>
      <c r="J187" s="517">
        <f t="shared" si="20"/>
        <v>84.40919068581573</v>
      </c>
      <c r="K187" s="517">
        <f t="shared" si="21"/>
        <v>38.237545973891315</v>
      </c>
      <c r="L187" s="519">
        <f t="shared" si="23"/>
        <v>61.264992695232053</v>
      </c>
      <c r="M187" s="330">
        <f>L187*D187*VPI!Q187</f>
        <v>6342764.6937373746</v>
      </c>
    </row>
    <row r="188" spans="1:13" x14ac:dyDescent="0.25">
      <c r="A188" s="173">
        <f>Données!A188</f>
        <v>5717</v>
      </c>
      <c r="B188" s="27" t="str">
        <f>Données!B188</f>
        <v>Founex</v>
      </c>
      <c r="C188" s="387">
        <f>VPI!R188</f>
        <v>386760.37149934971</v>
      </c>
      <c r="D188" s="27">
        <f>Données!Z188</f>
        <v>3834</v>
      </c>
      <c r="E188" s="118">
        <f t="shared" si="22"/>
        <v>100.8764662230959</v>
      </c>
      <c r="F188" s="206">
        <f t="shared" si="16"/>
        <v>2.1848142264042685</v>
      </c>
      <c r="G188" s="517">
        <f t="shared" si="17"/>
        <v>54.704821511171474</v>
      </c>
      <c r="H188" s="517">
        <f t="shared" si="18"/>
        <v>45.47049256878659</v>
      </c>
      <c r="I188" s="517">
        <f t="shared" si="19"/>
        <v>31.618999155209266</v>
      </c>
      <c r="J188" s="517">
        <f t="shared" si="20"/>
        <v>8.5331767992470446</v>
      </c>
      <c r="K188" s="517">
        <f t="shared" si="21"/>
        <v>0</v>
      </c>
      <c r="L188" s="519">
        <f t="shared" si="23"/>
        <v>19.503231154558584</v>
      </c>
      <c r="M188" s="330">
        <f>L188*D188*VPI!Q188</f>
        <v>4262197.1300549237</v>
      </c>
    </row>
    <row r="189" spans="1:13" x14ac:dyDescent="0.25">
      <c r="A189" s="173">
        <f>Données!A189</f>
        <v>5718</v>
      </c>
      <c r="B189" s="27" t="str">
        <f>Données!B189</f>
        <v>Genolier</v>
      </c>
      <c r="C189" s="387">
        <f>VPI!R189</f>
        <v>244955.25679243167</v>
      </c>
      <c r="D189" s="27">
        <f>Données!Z189</f>
        <v>1996</v>
      </c>
      <c r="E189" s="118">
        <f t="shared" si="22"/>
        <v>122.72307454530645</v>
      </c>
      <c r="F189" s="206">
        <f t="shared" si="16"/>
        <v>2.6579749391862495</v>
      </c>
      <c r="G189" s="517">
        <f t="shared" si="17"/>
        <v>76.551429833382016</v>
      </c>
      <c r="H189" s="517">
        <f t="shared" si="18"/>
        <v>67.317100890997125</v>
      </c>
      <c r="I189" s="517">
        <f t="shared" si="19"/>
        <v>53.465607477419809</v>
      </c>
      <c r="J189" s="517">
        <f t="shared" si="20"/>
        <v>30.379785121457587</v>
      </c>
      <c r="K189" s="517">
        <f t="shared" si="21"/>
        <v>0</v>
      </c>
      <c r="L189" s="519">
        <f t="shared" si="23"/>
        <v>30.426535315663855</v>
      </c>
      <c r="M189" s="330">
        <f>L189*D189*VPI!Q189</f>
        <v>3340225.046953578</v>
      </c>
    </row>
    <row r="190" spans="1:13" x14ac:dyDescent="0.25">
      <c r="A190" s="173">
        <f>Données!A190</f>
        <v>5719</v>
      </c>
      <c r="B190" s="27" t="str">
        <f>Données!B190</f>
        <v>Gingins</v>
      </c>
      <c r="C190" s="387">
        <f>VPI!R190</f>
        <v>145581.00922504449</v>
      </c>
      <c r="D190" s="27">
        <f>Données!Z190</f>
        <v>1257</v>
      </c>
      <c r="E190" s="118">
        <f t="shared" si="22"/>
        <v>115.81623645588265</v>
      </c>
      <c r="F190" s="206">
        <f t="shared" si="16"/>
        <v>2.5083844679670158</v>
      </c>
      <c r="G190" s="517">
        <f t="shared" si="17"/>
        <v>69.644591743958216</v>
      </c>
      <c r="H190" s="517">
        <f t="shared" si="18"/>
        <v>60.410262801573332</v>
      </c>
      <c r="I190" s="517">
        <f t="shared" si="19"/>
        <v>46.558769387996009</v>
      </c>
      <c r="J190" s="517">
        <f t="shared" si="20"/>
        <v>23.472947032033787</v>
      </c>
      <c r="K190" s="517">
        <f t="shared" si="21"/>
        <v>0</v>
      </c>
      <c r="L190" s="519">
        <f t="shared" si="23"/>
        <v>26.973116270951955</v>
      </c>
      <c r="M190" s="330">
        <f>L190*D190*VPI!Q190</f>
        <v>1932596.8076974365</v>
      </c>
    </row>
    <row r="191" spans="1:13" x14ac:dyDescent="0.25">
      <c r="A191" s="173">
        <f>Données!A191</f>
        <v>5720</v>
      </c>
      <c r="B191" s="27" t="str">
        <f>Données!B191</f>
        <v>Givrins</v>
      </c>
      <c r="C191" s="387">
        <f>VPI!R191</f>
        <v>84157.481732617845</v>
      </c>
      <c r="D191" s="27">
        <f>Données!Z191</f>
        <v>1031</v>
      </c>
      <c r="E191" s="118">
        <f t="shared" si="22"/>
        <v>81.627043387602171</v>
      </c>
      <c r="F191" s="206">
        <f t="shared" si="16"/>
        <v>1.7679041735873213</v>
      </c>
      <c r="G191" s="517">
        <f t="shared" si="17"/>
        <v>35.455398675677742</v>
      </c>
      <c r="H191" s="517">
        <f t="shared" si="18"/>
        <v>26.221069733292858</v>
      </c>
      <c r="I191" s="517">
        <f t="shared" si="19"/>
        <v>12.369576319715534</v>
      </c>
      <c r="J191" s="517">
        <f t="shared" si="20"/>
        <v>0</v>
      </c>
      <c r="K191" s="517">
        <f t="shared" si="21"/>
        <v>0</v>
      </c>
      <c r="L191" s="519">
        <f t="shared" si="23"/>
        <v>10.950144340436388</v>
      </c>
      <c r="M191" s="330">
        <f>L191*D191*VPI!Q191</f>
        <v>756403.12060432439</v>
      </c>
    </row>
    <row r="192" spans="1:13" x14ac:dyDescent="0.25">
      <c r="A192" s="173">
        <f>Données!A192</f>
        <v>5721</v>
      </c>
      <c r="B192" s="27" t="str">
        <f>Données!B192</f>
        <v>Gland</v>
      </c>
      <c r="C192" s="387">
        <f>VPI!R192</f>
        <v>649754.37436659122</v>
      </c>
      <c r="D192" s="27">
        <f>Données!Z192</f>
        <v>13243</v>
      </c>
      <c r="E192" s="118">
        <f t="shared" si="22"/>
        <v>49.063986586618682</v>
      </c>
      <c r="F192" s="206">
        <f t="shared" si="16"/>
        <v>1.0626432498287692</v>
      </c>
      <c r="G192" s="517">
        <f t="shared" si="17"/>
        <v>2.8923418746942531</v>
      </c>
      <c r="H192" s="517">
        <f t="shared" si="18"/>
        <v>0</v>
      </c>
      <c r="I192" s="517">
        <f t="shared" si="19"/>
        <v>0</v>
      </c>
      <c r="J192" s="517">
        <f t="shared" si="20"/>
        <v>0</v>
      </c>
      <c r="K192" s="517">
        <f t="shared" si="21"/>
        <v>0</v>
      </c>
      <c r="L192" s="519">
        <f t="shared" si="23"/>
        <v>0.57846837493885062</v>
      </c>
      <c r="M192" s="330">
        <f>L192*D192*VPI!Q192</f>
        <v>467300.0580482271</v>
      </c>
    </row>
    <row r="193" spans="1:13" x14ac:dyDescent="0.25">
      <c r="A193" s="173">
        <f>Données!A193</f>
        <v>5722</v>
      </c>
      <c r="B193" s="27" t="str">
        <f>Données!B193</f>
        <v>Grens</v>
      </c>
      <c r="C193" s="387">
        <f>VPI!R193</f>
        <v>25522.027975307101</v>
      </c>
      <c r="D193" s="27">
        <f>Données!Z193</f>
        <v>405</v>
      </c>
      <c r="E193" s="118">
        <f t="shared" si="22"/>
        <v>63.01735302544963</v>
      </c>
      <c r="F193" s="206">
        <f t="shared" si="16"/>
        <v>1.364849647844028</v>
      </c>
      <c r="G193" s="517">
        <f t="shared" si="17"/>
        <v>16.845708313525201</v>
      </c>
      <c r="H193" s="517">
        <f t="shared" si="18"/>
        <v>7.6113793711403162</v>
      </c>
      <c r="I193" s="517">
        <f t="shared" si="19"/>
        <v>0</v>
      </c>
      <c r="J193" s="517">
        <f t="shared" si="20"/>
        <v>0</v>
      </c>
      <c r="K193" s="517">
        <f t="shared" si="21"/>
        <v>0</v>
      </c>
      <c r="L193" s="519">
        <f t="shared" si="23"/>
        <v>4.1302795998190716</v>
      </c>
      <c r="M193" s="330">
        <f>L193*D193*VPI!Q193</f>
        <v>103711.32075145689</v>
      </c>
    </row>
    <row r="194" spans="1:13" x14ac:dyDescent="0.25">
      <c r="A194" s="173">
        <f>Données!A194</f>
        <v>5723</v>
      </c>
      <c r="B194" s="27" t="str">
        <f>Données!B194</f>
        <v>Mies</v>
      </c>
      <c r="C194" s="387">
        <f>VPI!R194</f>
        <v>197671.04481157771</v>
      </c>
      <c r="D194" s="27">
        <f>Données!Z194</f>
        <v>2172</v>
      </c>
      <c r="E194" s="118">
        <f t="shared" si="22"/>
        <v>91.008768329455663</v>
      </c>
      <c r="F194" s="206">
        <f t="shared" si="16"/>
        <v>1.9710965224929806</v>
      </c>
      <c r="G194" s="517">
        <f t="shared" si="17"/>
        <v>44.837123617531233</v>
      </c>
      <c r="H194" s="517">
        <f t="shared" si="18"/>
        <v>35.602794675146349</v>
      </c>
      <c r="I194" s="517">
        <f t="shared" si="19"/>
        <v>21.751301261569026</v>
      </c>
      <c r="J194" s="517">
        <f t="shared" si="20"/>
        <v>0</v>
      </c>
      <c r="K194" s="517">
        <f t="shared" si="21"/>
        <v>0</v>
      </c>
      <c r="L194" s="519">
        <f t="shared" si="23"/>
        <v>14.702834317177784</v>
      </c>
      <c r="M194" s="330">
        <f>L194*D194*VPI!Q194</f>
        <v>1660596.9191193276</v>
      </c>
    </row>
    <row r="195" spans="1:13" x14ac:dyDescent="0.25">
      <c r="A195" s="173">
        <f>Données!A195</f>
        <v>5724</v>
      </c>
      <c r="B195" s="27" t="str">
        <f>Données!B195</f>
        <v>Nyon</v>
      </c>
      <c r="C195" s="387">
        <f>VPI!R195</f>
        <v>1412863.5932076953</v>
      </c>
      <c r="D195" s="27">
        <f>Données!Z195</f>
        <v>21743</v>
      </c>
      <c r="E195" s="118">
        <f t="shared" si="22"/>
        <v>64.980158819284156</v>
      </c>
      <c r="F195" s="206">
        <f t="shared" si="16"/>
        <v>1.4073607129377868</v>
      </c>
      <c r="G195" s="517">
        <f t="shared" si="17"/>
        <v>18.808514107359727</v>
      </c>
      <c r="H195" s="517">
        <f t="shared" si="18"/>
        <v>9.5741851649748426</v>
      </c>
      <c r="I195" s="517">
        <f t="shared" si="19"/>
        <v>0</v>
      </c>
      <c r="J195" s="517">
        <f t="shared" si="20"/>
        <v>0</v>
      </c>
      <c r="K195" s="517">
        <f t="shared" si="21"/>
        <v>0</v>
      </c>
      <c r="L195" s="519">
        <f t="shared" si="23"/>
        <v>4.7191213379694297</v>
      </c>
      <c r="M195" s="330">
        <f>L195*D195*VPI!Q195</f>
        <v>6259079.1703396281</v>
      </c>
    </row>
    <row r="196" spans="1:13" x14ac:dyDescent="0.25">
      <c r="A196" s="173">
        <f>Données!A196</f>
        <v>5725</v>
      </c>
      <c r="B196" s="27" t="str">
        <f>Données!B196</f>
        <v>Prangins</v>
      </c>
      <c r="C196" s="387">
        <f>VPI!R196</f>
        <v>312426.41305318987</v>
      </c>
      <c r="D196" s="27">
        <f>Données!Z196</f>
        <v>4101</v>
      </c>
      <c r="E196" s="118">
        <f t="shared" si="22"/>
        <v>76.182982943962415</v>
      </c>
      <c r="F196" s="206">
        <f t="shared" si="16"/>
        <v>1.6499950005958346</v>
      </c>
      <c r="G196" s="517">
        <f t="shared" si="17"/>
        <v>30.011338232037986</v>
      </c>
      <c r="H196" s="517">
        <f t="shared" si="18"/>
        <v>20.777009289653101</v>
      </c>
      <c r="I196" s="517">
        <f t="shared" si="19"/>
        <v>6.925515876075778</v>
      </c>
      <c r="J196" s="517">
        <f t="shared" si="20"/>
        <v>0</v>
      </c>
      <c r="K196" s="517">
        <f t="shared" si="21"/>
        <v>0</v>
      </c>
      <c r="L196" s="519">
        <f t="shared" si="23"/>
        <v>8.7725201629804843</v>
      </c>
      <c r="M196" s="330">
        <f>L196*D196*VPI!Q196</f>
        <v>1978685.785361063</v>
      </c>
    </row>
    <row r="197" spans="1:13" x14ac:dyDescent="0.25">
      <c r="A197" s="173">
        <f>Données!A197</f>
        <v>5726</v>
      </c>
      <c r="B197" s="27" t="str">
        <f>Données!B197</f>
        <v>La Rippe</v>
      </c>
      <c r="C197" s="387">
        <f>VPI!R197</f>
        <v>66314.954154633349</v>
      </c>
      <c r="D197" s="27">
        <f>Données!Z197</f>
        <v>1131</v>
      </c>
      <c r="E197" s="118">
        <f t="shared" si="22"/>
        <v>58.633911719392884</v>
      </c>
      <c r="F197" s="206">
        <f t="shared" si="16"/>
        <v>1.269911697649573</v>
      </c>
      <c r="G197" s="517">
        <f t="shared" si="17"/>
        <v>12.462267007468455</v>
      </c>
      <c r="H197" s="517">
        <f t="shared" si="18"/>
        <v>3.2279380650835705</v>
      </c>
      <c r="I197" s="517">
        <f t="shared" si="19"/>
        <v>0</v>
      </c>
      <c r="J197" s="517">
        <f t="shared" si="20"/>
        <v>0</v>
      </c>
      <c r="K197" s="517">
        <f t="shared" si="21"/>
        <v>0</v>
      </c>
      <c r="L197" s="519">
        <f t="shared" si="23"/>
        <v>2.8152472080020479</v>
      </c>
      <c r="M197" s="330">
        <f>L197*D197*VPI!Q197</f>
        <v>206962.89849627056</v>
      </c>
    </row>
    <row r="198" spans="1:13" x14ac:dyDescent="0.25">
      <c r="A198" s="173">
        <f>Données!A198</f>
        <v>5727</v>
      </c>
      <c r="B198" s="27" t="str">
        <f>Données!B198</f>
        <v>Saint-Cergue</v>
      </c>
      <c r="C198" s="387">
        <f>VPI!R198</f>
        <v>105108.96305797539</v>
      </c>
      <c r="D198" s="27">
        <f>Données!Z198</f>
        <v>2674</v>
      </c>
      <c r="E198" s="118">
        <f t="shared" si="22"/>
        <v>39.307764793558484</v>
      </c>
      <c r="F198" s="206">
        <f t="shared" ref="F198:F261" si="24">E198/$E$306</f>
        <v>0.85133993035787914</v>
      </c>
      <c r="G198" s="517">
        <f t="shared" ref="G198:G261" si="25">IF(E198-$G$3&lt;0,0,E198-$G$3)</f>
        <v>0</v>
      </c>
      <c r="H198" s="517">
        <f t="shared" ref="H198:H261" si="26">IF(E198-$H$3&lt;0,0,E198-$H$3)</f>
        <v>0</v>
      </c>
      <c r="I198" s="517">
        <f t="shared" ref="I198:I261" si="27">IF(E198-$I$3&lt;0,0,E198-$I$3)</f>
        <v>0</v>
      </c>
      <c r="J198" s="517">
        <f t="shared" ref="J198:J261" si="28">IF(E198-$J$3&lt;0,0,E198-$J$3)</f>
        <v>0</v>
      </c>
      <c r="K198" s="517">
        <f t="shared" ref="K198:K261" si="29">IF(E198-$K$3&lt;0,0,E198-$K$3)</f>
        <v>0</v>
      </c>
      <c r="L198" s="519">
        <f t="shared" si="23"/>
        <v>0</v>
      </c>
      <c r="M198" s="330">
        <f>L198*D198*VPI!Q198</f>
        <v>0</v>
      </c>
    </row>
    <row r="199" spans="1:13" x14ac:dyDescent="0.25">
      <c r="A199" s="173">
        <f>Données!A199</f>
        <v>5728</v>
      </c>
      <c r="B199" s="27" t="str">
        <f>Données!B199</f>
        <v>Signy-Avenex</v>
      </c>
      <c r="C199" s="387">
        <f>VPI!R199</f>
        <v>49029.515425987986</v>
      </c>
      <c r="D199" s="27">
        <f>Données!Z199</f>
        <v>581</v>
      </c>
      <c r="E199" s="118">
        <f t="shared" ref="E199:E262" si="30">C199/D199</f>
        <v>84.388150475022357</v>
      </c>
      <c r="F199" s="206">
        <f t="shared" si="24"/>
        <v>1.8277050991260879</v>
      </c>
      <c r="G199" s="517">
        <f t="shared" si="25"/>
        <v>38.216505763097928</v>
      </c>
      <c r="H199" s="517">
        <f t="shared" si="26"/>
        <v>28.982176820713043</v>
      </c>
      <c r="I199" s="517">
        <f t="shared" si="27"/>
        <v>15.13068340713572</v>
      </c>
      <c r="J199" s="517">
        <f t="shared" si="28"/>
        <v>0</v>
      </c>
      <c r="K199" s="517">
        <f t="shared" si="29"/>
        <v>0</v>
      </c>
      <c r="L199" s="519">
        <f t="shared" ref="L199:L262" si="31">(G199-H199)*$G$4+(H199-I199)*$H$4+(I199-J199)*$I$4+(J199-K199)*$J$4+(K199*$K$4)</f>
        <v>12.054587175404462</v>
      </c>
      <c r="M199" s="330">
        <f>L199*D199*VPI!Q199</f>
        <v>406215.47863677959</v>
      </c>
    </row>
    <row r="200" spans="1:13" x14ac:dyDescent="0.25">
      <c r="A200" s="173">
        <f>Données!A200</f>
        <v>5729</v>
      </c>
      <c r="B200" s="27" t="str">
        <f>Données!B200</f>
        <v>Tannay</v>
      </c>
      <c r="C200" s="387">
        <f>VPI!R200</f>
        <v>130705.91189021352</v>
      </c>
      <c r="D200" s="27">
        <f>Données!Z200</f>
        <v>1636</v>
      </c>
      <c r="E200" s="118">
        <f t="shared" si="30"/>
        <v>79.893589174947138</v>
      </c>
      <c r="F200" s="206">
        <f t="shared" si="24"/>
        <v>1.7303604771591248</v>
      </c>
      <c r="G200" s="517">
        <f t="shared" si="25"/>
        <v>33.721944463022709</v>
      </c>
      <c r="H200" s="517">
        <f t="shared" si="26"/>
        <v>24.487615520637824</v>
      </c>
      <c r="I200" s="517">
        <f t="shared" si="27"/>
        <v>10.636122107060501</v>
      </c>
      <c r="J200" s="517">
        <f t="shared" si="28"/>
        <v>0</v>
      </c>
      <c r="K200" s="517">
        <f t="shared" si="29"/>
        <v>0</v>
      </c>
      <c r="L200" s="519">
        <f t="shared" si="31"/>
        <v>10.256762655374374</v>
      </c>
      <c r="M200" s="330">
        <f>L200*D200*VPI!Q200</f>
        <v>1015193.8541036447</v>
      </c>
    </row>
    <row r="201" spans="1:13" x14ac:dyDescent="0.25">
      <c r="A201" s="173">
        <f>Données!A201</f>
        <v>5730</v>
      </c>
      <c r="B201" s="27" t="str">
        <f>Données!B201</f>
        <v>Trélex</v>
      </c>
      <c r="C201" s="387">
        <f>VPI!R201</f>
        <v>111635.7900900901</v>
      </c>
      <c r="D201" s="27">
        <f>Données!Z201</f>
        <v>1445</v>
      </c>
      <c r="E201" s="118">
        <f t="shared" si="30"/>
        <v>77.256602138470654</v>
      </c>
      <c r="F201" s="206">
        <f t="shared" si="24"/>
        <v>1.6732477827136647</v>
      </c>
      <c r="G201" s="517">
        <f t="shared" si="25"/>
        <v>31.084957426546225</v>
      </c>
      <c r="H201" s="517">
        <f t="shared" si="26"/>
        <v>21.850628484161341</v>
      </c>
      <c r="I201" s="517">
        <f t="shared" si="27"/>
        <v>7.9991350705840176</v>
      </c>
      <c r="J201" s="517">
        <f t="shared" si="28"/>
        <v>0</v>
      </c>
      <c r="K201" s="517">
        <f t="shared" si="29"/>
        <v>0</v>
      </c>
      <c r="L201" s="519">
        <f t="shared" si="31"/>
        <v>9.2019678407837802</v>
      </c>
      <c r="M201" s="330">
        <f>L201*D201*VPI!Q201</f>
        <v>737974.81591125729</v>
      </c>
    </row>
    <row r="202" spans="1:13" x14ac:dyDescent="0.25">
      <c r="A202" s="173">
        <f>Données!A202</f>
        <v>5731</v>
      </c>
      <c r="B202" s="27" t="str">
        <f>Données!B202</f>
        <v>Le Vaud</v>
      </c>
      <c r="C202" s="387">
        <f>VPI!R202</f>
        <v>63939.29295717035</v>
      </c>
      <c r="D202" s="27">
        <f>Données!Z202</f>
        <v>1366</v>
      </c>
      <c r="E202" s="118">
        <f t="shared" si="30"/>
        <v>46.807681520622509</v>
      </c>
      <c r="F202" s="206">
        <f t="shared" si="24"/>
        <v>1.0137754852066991</v>
      </c>
      <c r="G202" s="517">
        <f t="shared" si="25"/>
        <v>0.63603680869807988</v>
      </c>
      <c r="H202" s="517">
        <f t="shared" si="26"/>
        <v>0</v>
      </c>
      <c r="I202" s="517">
        <f t="shared" si="27"/>
        <v>0</v>
      </c>
      <c r="J202" s="517">
        <f t="shared" si="28"/>
        <v>0</v>
      </c>
      <c r="K202" s="517">
        <f t="shared" si="29"/>
        <v>0</v>
      </c>
      <c r="L202" s="519">
        <f t="shared" si="31"/>
        <v>0.12720736173961597</v>
      </c>
      <c r="M202" s="330">
        <f>L202*D202*VPI!Q202</f>
        <v>12858.628954087342</v>
      </c>
    </row>
    <row r="203" spans="1:13" x14ac:dyDescent="0.25">
      <c r="A203" s="173">
        <f>Données!A203</f>
        <v>5732</v>
      </c>
      <c r="B203" s="27" t="str">
        <f>Données!B203</f>
        <v>Vich</v>
      </c>
      <c r="C203" s="387">
        <f>VPI!R203</f>
        <v>70997.378198271268</v>
      </c>
      <c r="D203" s="27">
        <f>Données!Z203</f>
        <v>1156</v>
      </c>
      <c r="E203" s="118">
        <f t="shared" si="30"/>
        <v>61.416417126532238</v>
      </c>
      <c r="F203" s="206">
        <f t="shared" si="24"/>
        <v>1.3301760747255913</v>
      </c>
      <c r="G203" s="517">
        <f t="shared" si="25"/>
        <v>15.244772414607809</v>
      </c>
      <c r="H203" s="517">
        <f t="shared" si="26"/>
        <v>6.0104434722229243</v>
      </c>
      <c r="I203" s="517">
        <f t="shared" si="27"/>
        <v>0</v>
      </c>
      <c r="J203" s="517">
        <f t="shared" si="28"/>
        <v>0</v>
      </c>
      <c r="K203" s="517">
        <f t="shared" si="29"/>
        <v>0</v>
      </c>
      <c r="L203" s="519">
        <f t="shared" si="31"/>
        <v>3.6499988301438542</v>
      </c>
      <c r="M203" s="330">
        <f>L203*D203*VPI!Q203</f>
        <v>265822.11480171658</v>
      </c>
    </row>
    <row r="204" spans="1:13" x14ac:dyDescent="0.25">
      <c r="A204" s="173">
        <f>Données!A204</f>
        <v>5741</v>
      </c>
      <c r="B204" s="27" t="str">
        <f>Données!B204</f>
        <v>L'Abergement</v>
      </c>
      <c r="C204" s="387">
        <f>VPI!R204</f>
        <v>7367.4577774246782</v>
      </c>
      <c r="D204" s="27">
        <f>Données!Z204</f>
        <v>256</v>
      </c>
      <c r="E204" s="118">
        <f t="shared" si="30"/>
        <v>28.779131943065149</v>
      </c>
      <c r="F204" s="206">
        <f t="shared" si="24"/>
        <v>0.62330748931784452</v>
      </c>
      <c r="G204" s="517">
        <f t="shared" si="25"/>
        <v>0</v>
      </c>
      <c r="H204" s="517">
        <f t="shared" si="26"/>
        <v>0</v>
      </c>
      <c r="I204" s="517">
        <f t="shared" si="27"/>
        <v>0</v>
      </c>
      <c r="J204" s="517">
        <f t="shared" si="28"/>
        <v>0</v>
      </c>
      <c r="K204" s="517">
        <f t="shared" si="29"/>
        <v>0</v>
      </c>
      <c r="L204" s="519">
        <f t="shared" si="31"/>
        <v>0</v>
      </c>
      <c r="M204" s="330">
        <f>L204*D204*VPI!Q204</f>
        <v>0</v>
      </c>
    </row>
    <row r="205" spans="1:13" x14ac:dyDescent="0.25">
      <c r="A205" s="173">
        <f>Données!A205</f>
        <v>5742</v>
      </c>
      <c r="B205" s="27" t="str">
        <f>Données!B205</f>
        <v>Agiez</v>
      </c>
      <c r="C205" s="387">
        <f>VPI!R205</f>
        <v>8959.2362433179314</v>
      </c>
      <c r="D205" s="27">
        <f>Données!Z205</f>
        <v>377</v>
      </c>
      <c r="E205" s="118">
        <f t="shared" si="30"/>
        <v>23.764552369543583</v>
      </c>
      <c r="F205" s="206">
        <f t="shared" si="24"/>
        <v>0.5147001480630834</v>
      </c>
      <c r="G205" s="517">
        <f t="shared" si="25"/>
        <v>0</v>
      </c>
      <c r="H205" s="517">
        <f t="shared" si="26"/>
        <v>0</v>
      </c>
      <c r="I205" s="517">
        <f t="shared" si="27"/>
        <v>0</v>
      </c>
      <c r="J205" s="517">
        <f t="shared" si="28"/>
        <v>0</v>
      </c>
      <c r="K205" s="517">
        <f t="shared" si="29"/>
        <v>0</v>
      </c>
      <c r="L205" s="519">
        <f t="shared" si="31"/>
        <v>0</v>
      </c>
      <c r="M205" s="330">
        <f>L205*D205*VPI!Q205</f>
        <v>0</v>
      </c>
    </row>
    <row r="206" spans="1:13" x14ac:dyDescent="0.25">
      <c r="A206" s="173">
        <f>Données!A206</f>
        <v>5743</v>
      </c>
      <c r="B206" s="27" t="str">
        <f>Données!B206</f>
        <v>Arnex-sur-Orbe</v>
      </c>
      <c r="C206" s="387">
        <f>VPI!R206</f>
        <v>20545.993510231569</v>
      </c>
      <c r="D206" s="27">
        <f>Données!Z206</f>
        <v>637</v>
      </c>
      <c r="E206" s="118">
        <f t="shared" si="30"/>
        <v>32.254306923440453</v>
      </c>
      <c r="F206" s="206">
        <f t="shared" si="24"/>
        <v>0.69857392182328648</v>
      </c>
      <c r="G206" s="517">
        <f t="shared" si="25"/>
        <v>0</v>
      </c>
      <c r="H206" s="517">
        <f t="shared" si="26"/>
        <v>0</v>
      </c>
      <c r="I206" s="517">
        <f t="shared" si="27"/>
        <v>0</v>
      </c>
      <c r="J206" s="517">
        <f t="shared" si="28"/>
        <v>0</v>
      </c>
      <c r="K206" s="517">
        <f t="shared" si="29"/>
        <v>0</v>
      </c>
      <c r="L206" s="519">
        <f t="shared" si="31"/>
        <v>0</v>
      </c>
      <c r="M206" s="330">
        <f>L206*D206*VPI!Q206</f>
        <v>0</v>
      </c>
    </row>
    <row r="207" spans="1:13" x14ac:dyDescent="0.25">
      <c r="A207" s="173">
        <f>Données!A207</f>
        <v>5744</v>
      </c>
      <c r="B207" s="27" t="str">
        <f>Données!B207</f>
        <v>Ballaigues</v>
      </c>
      <c r="C207" s="387">
        <f>VPI!R207</f>
        <v>40192.729547040028</v>
      </c>
      <c r="D207" s="27">
        <f>Données!Z207</f>
        <v>1143</v>
      </c>
      <c r="E207" s="118">
        <f t="shared" si="30"/>
        <v>35.164242823307113</v>
      </c>
      <c r="F207" s="206">
        <f t="shared" si="24"/>
        <v>0.76159822858174009</v>
      </c>
      <c r="G207" s="517">
        <f t="shared" si="25"/>
        <v>0</v>
      </c>
      <c r="H207" s="517">
        <f t="shared" si="26"/>
        <v>0</v>
      </c>
      <c r="I207" s="517">
        <f t="shared" si="27"/>
        <v>0</v>
      </c>
      <c r="J207" s="517">
        <f t="shared" si="28"/>
        <v>0</v>
      </c>
      <c r="K207" s="517">
        <f t="shared" si="29"/>
        <v>0</v>
      </c>
      <c r="L207" s="519">
        <f t="shared" si="31"/>
        <v>0</v>
      </c>
      <c r="M207" s="330">
        <f>L207*D207*VPI!Q207</f>
        <v>0</v>
      </c>
    </row>
    <row r="208" spans="1:13" x14ac:dyDescent="0.25">
      <c r="A208" s="173">
        <f>Données!A208</f>
        <v>5745</v>
      </c>
      <c r="B208" s="27" t="str">
        <f>Données!B208</f>
        <v>Baulmes</v>
      </c>
      <c r="C208" s="387">
        <f>VPI!R208</f>
        <v>26823.608187065354</v>
      </c>
      <c r="D208" s="27">
        <f>Données!Z208</f>
        <v>1074</v>
      </c>
      <c r="E208" s="118">
        <f t="shared" si="30"/>
        <v>24.975426617379288</v>
      </c>
      <c r="F208" s="206">
        <f t="shared" si="24"/>
        <v>0.5409256432861933</v>
      </c>
      <c r="G208" s="517">
        <f t="shared" si="25"/>
        <v>0</v>
      </c>
      <c r="H208" s="517">
        <f t="shared" si="26"/>
        <v>0</v>
      </c>
      <c r="I208" s="517">
        <f t="shared" si="27"/>
        <v>0</v>
      </c>
      <c r="J208" s="517">
        <f t="shared" si="28"/>
        <v>0</v>
      </c>
      <c r="K208" s="517">
        <f t="shared" si="29"/>
        <v>0</v>
      </c>
      <c r="L208" s="519">
        <f t="shared" si="31"/>
        <v>0</v>
      </c>
      <c r="M208" s="330">
        <f>L208*D208*VPI!Q208</f>
        <v>0</v>
      </c>
    </row>
    <row r="209" spans="1:13" x14ac:dyDescent="0.25">
      <c r="A209" s="173">
        <f>Données!A209</f>
        <v>5746</v>
      </c>
      <c r="B209" s="27" t="str">
        <f>Données!B209</f>
        <v>Bavois</v>
      </c>
      <c r="C209" s="387">
        <f>VPI!R209</f>
        <v>30464.573561146077</v>
      </c>
      <c r="D209" s="27">
        <f>Données!Z209</f>
        <v>994</v>
      </c>
      <c r="E209" s="118">
        <f t="shared" si="30"/>
        <v>30.648464347229453</v>
      </c>
      <c r="F209" s="206">
        <f t="shared" si="24"/>
        <v>0.66379407834510362</v>
      </c>
      <c r="G209" s="517">
        <f t="shared" si="25"/>
        <v>0</v>
      </c>
      <c r="H209" s="517">
        <f t="shared" si="26"/>
        <v>0</v>
      </c>
      <c r="I209" s="517">
        <f t="shared" si="27"/>
        <v>0</v>
      </c>
      <c r="J209" s="517">
        <f t="shared" si="28"/>
        <v>0</v>
      </c>
      <c r="K209" s="517">
        <f t="shared" si="29"/>
        <v>0</v>
      </c>
      <c r="L209" s="519">
        <f t="shared" si="31"/>
        <v>0</v>
      </c>
      <c r="M209" s="330">
        <f>L209*D209*VPI!Q209</f>
        <v>0</v>
      </c>
    </row>
    <row r="210" spans="1:13" x14ac:dyDescent="0.25">
      <c r="A210" s="173">
        <f>Données!A210</f>
        <v>5747</v>
      </c>
      <c r="B210" s="27" t="str">
        <f>Données!B210</f>
        <v>Bofflens</v>
      </c>
      <c r="C210" s="387">
        <f>VPI!R210</f>
        <v>5602.2513601016635</v>
      </c>
      <c r="D210" s="27">
        <f>Données!Z210</f>
        <v>206</v>
      </c>
      <c r="E210" s="118">
        <f t="shared" si="30"/>
        <v>27.195394951949822</v>
      </c>
      <c r="F210" s="206">
        <f t="shared" si="24"/>
        <v>0.5890064155528395</v>
      </c>
      <c r="G210" s="517">
        <f t="shared" si="25"/>
        <v>0</v>
      </c>
      <c r="H210" s="517">
        <f t="shared" si="26"/>
        <v>0</v>
      </c>
      <c r="I210" s="517">
        <f t="shared" si="27"/>
        <v>0</v>
      </c>
      <c r="J210" s="517">
        <f t="shared" si="28"/>
        <v>0</v>
      </c>
      <c r="K210" s="517">
        <f t="shared" si="29"/>
        <v>0</v>
      </c>
      <c r="L210" s="519">
        <f t="shared" si="31"/>
        <v>0</v>
      </c>
      <c r="M210" s="330">
        <f>L210*D210*VPI!Q210</f>
        <v>0</v>
      </c>
    </row>
    <row r="211" spans="1:13" x14ac:dyDescent="0.25">
      <c r="A211" s="173">
        <f>Données!A211</f>
        <v>5748</v>
      </c>
      <c r="B211" s="27" t="str">
        <f>Données!B211</f>
        <v>Bretonnières</v>
      </c>
      <c r="C211" s="387">
        <f>VPI!R211</f>
        <v>5788.8837637987526</v>
      </c>
      <c r="D211" s="27">
        <f>Données!Z211</f>
        <v>268</v>
      </c>
      <c r="E211" s="118">
        <f t="shared" si="30"/>
        <v>21.600312551487882</v>
      </c>
      <c r="F211" s="206">
        <f t="shared" si="24"/>
        <v>0.46782636153113516</v>
      </c>
      <c r="G211" s="517">
        <f t="shared" si="25"/>
        <v>0</v>
      </c>
      <c r="H211" s="517">
        <f t="shared" si="26"/>
        <v>0</v>
      </c>
      <c r="I211" s="517">
        <f t="shared" si="27"/>
        <v>0</v>
      </c>
      <c r="J211" s="517">
        <f t="shared" si="28"/>
        <v>0</v>
      </c>
      <c r="K211" s="517">
        <f t="shared" si="29"/>
        <v>0</v>
      </c>
      <c r="L211" s="519">
        <f t="shared" si="31"/>
        <v>0</v>
      </c>
      <c r="M211" s="330">
        <f>L211*D211*VPI!Q211</f>
        <v>0</v>
      </c>
    </row>
    <row r="212" spans="1:13" x14ac:dyDescent="0.25">
      <c r="A212" s="173">
        <f>Données!A212</f>
        <v>5749</v>
      </c>
      <c r="B212" s="27" t="str">
        <f>Données!B212</f>
        <v>Chavornay</v>
      </c>
      <c r="C212" s="387">
        <f>VPI!R212</f>
        <v>140636.14212812972</v>
      </c>
      <c r="D212" s="27">
        <f>Données!Z212</f>
        <v>5227</v>
      </c>
      <c r="E212" s="118">
        <f t="shared" si="30"/>
        <v>26.905709226732299</v>
      </c>
      <c r="F212" s="206">
        <f t="shared" si="24"/>
        <v>0.5827323110234266</v>
      </c>
      <c r="G212" s="517">
        <f t="shared" si="25"/>
        <v>0</v>
      </c>
      <c r="H212" s="517">
        <f t="shared" si="26"/>
        <v>0</v>
      </c>
      <c r="I212" s="517">
        <f t="shared" si="27"/>
        <v>0</v>
      </c>
      <c r="J212" s="517">
        <f t="shared" si="28"/>
        <v>0</v>
      </c>
      <c r="K212" s="517">
        <f t="shared" si="29"/>
        <v>0</v>
      </c>
      <c r="L212" s="519">
        <f t="shared" si="31"/>
        <v>0</v>
      </c>
      <c r="M212" s="330">
        <f>L212*D212*VPI!Q212</f>
        <v>0</v>
      </c>
    </row>
    <row r="213" spans="1:13" x14ac:dyDescent="0.25">
      <c r="A213" s="173">
        <f>Données!A213</f>
        <v>5750</v>
      </c>
      <c r="B213" s="27" t="str">
        <f>Données!B213</f>
        <v>Les Clées</v>
      </c>
      <c r="C213" s="387">
        <f>VPI!R213</f>
        <v>6038.046875</v>
      </c>
      <c r="D213" s="27">
        <f>Données!Z213</f>
        <v>187</v>
      </c>
      <c r="E213" s="118">
        <f t="shared" si="30"/>
        <v>32.289020721925134</v>
      </c>
      <c r="F213" s="206">
        <f t="shared" si="24"/>
        <v>0.69932576418673842</v>
      </c>
      <c r="G213" s="517">
        <f t="shared" si="25"/>
        <v>0</v>
      </c>
      <c r="H213" s="517">
        <f t="shared" si="26"/>
        <v>0</v>
      </c>
      <c r="I213" s="517">
        <f t="shared" si="27"/>
        <v>0</v>
      </c>
      <c r="J213" s="517">
        <f t="shared" si="28"/>
        <v>0</v>
      </c>
      <c r="K213" s="517">
        <f t="shared" si="29"/>
        <v>0</v>
      </c>
      <c r="L213" s="519">
        <f t="shared" si="31"/>
        <v>0</v>
      </c>
      <c r="M213" s="330">
        <f>L213*D213*VPI!Q213</f>
        <v>0</v>
      </c>
    </row>
    <row r="214" spans="1:13" x14ac:dyDescent="0.25">
      <c r="A214" s="173">
        <f>Données!A214</f>
        <v>5752</v>
      </c>
      <c r="B214" s="27" t="str">
        <f>Données!B214</f>
        <v>Croy</v>
      </c>
      <c r="C214" s="387">
        <f>VPI!R214</f>
        <v>9413.4881132598912</v>
      </c>
      <c r="D214" s="27">
        <f>Données!Z214</f>
        <v>397</v>
      </c>
      <c r="E214" s="118">
        <f t="shared" si="30"/>
        <v>23.711556960352372</v>
      </c>
      <c r="F214" s="206">
        <f t="shared" si="24"/>
        <v>0.51355235682623523</v>
      </c>
      <c r="G214" s="517">
        <f t="shared" si="25"/>
        <v>0</v>
      </c>
      <c r="H214" s="517">
        <f t="shared" si="26"/>
        <v>0</v>
      </c>
      <c r="I214" s="517">
        <f t="shared" si="27"/>
        <v>0</v>
      </c>
      <c r="J214" s="517">
        <f t="shared" si="28"/>
        <v>0</v>
      </c>
      <c r="K214" s="517">
        <f t="shared" si="29"/>
        <v>0</v>
      </c>
      <c r="L214" s="519">
        <f t="shared" si="31"/>
        <v>0</v>
      </c>
      <c r="M214" s="330">
        <f>L214*D214*VPI!Q214</f>
        <v>0</v>
      </c>
    </row>
    <row r="215" spans="1:13" x14ac:dyDescent="0.25">
      <c r="A215" s="173">
        <f>Données!A215</f>
        <v>5754</v>
      </c>
      <c r="B215" s="27" t="str">
        <f>Données!B215</f>
        <v>Juriens</v>
      </c>
      <c r="C215" s="387">
        <f>VPI!R215</f>
        <v>8043.2571951290693</v>
      </c>
      <c r="D215" s="27">
        <f>Données!Z215</f>
        <v>336</v>
      </c>
      <c r="E215" s="118">
        <f t="shared" si="30"/>
        <v>23.938265461693657</v>
      </c>
      <c r="F215" s="206">
        <f t="shared" si="24"/>
        <v>0.51846248083753632</v>
      </c>
      <c r="G215" s="517">
        <f t="shared" si="25"/>
        <v>0</v>
      </c>
      <c r="H215" s="517">
        <f t="shared" si="26"/>
        <v>0</v>
      </c>
      <c r="I215" s="517">
        <f t="shared" si="27"/>
        <v>0</v>
      </c>
      <c r="J215" s="517">
        <f t="shared" si="28"/>
        <v>0</v>
      </c>
      <c r="K215" s="517">
        <f t="shared" si="29"/>
        <v>0</v>
      </c>
      <c r="L215" s="519">
        <f t="shared" si="31"/>
        <v>0</v>
      </c>
      <c r="M215" s="330">
        <f>L215*D215*VPI!Q215</f>
        <v>0</v>
      </c>
    </row>
    <row r="216" spans="1:13" x14ac:dyDescent="0.25">
      <c r="A216" s="173">
        <f>Données!A216</f>
        <v>5755</v>
      </c>
      <c r="B216" s="27" t="str">
        <f>Données!B216</f>
        <v>Lignerolle</v>
      </c>
      <c r="C216" s="387">
        <f>VPI!R216</f>
        <v>9053.1652859085789</v>
      </c>
      <c r="D216" s="27">
        <f>Données!Z216</f>
        <v>435</v>
      </c>
      <c r="E216" s="118">
        <f t="shared" si="30"/>
        <v>20.811874220479492</v>
      </c>
      <c r="F216" s="206">
        <f t="shared" si="24"/>
        <v>0.45075011623106753</v>
      </c>
      <c r="G216" s="517">
        <f t="shared" si="25"/>
        <v>0</v>
      </c>
      <c r="H216" s="517">
        <f t="shared" si="26"/>
        <v>0</v>
      </c>
      <c r="I216" s="517">
        <f t="shared" si="27"/>
        <v>0</v>
      </c>
      <c r="J216" s="517">
        <f t="shared" si="28"/>
        <v>0</v>
      </c>
      <c r="K216" s="517">
        <f t="shared" si="29"/>
        <v>0</v>
      </c>
      <c r="L216" s="519">
        <f t="shared" si="31"/>
        <v>0</v>
      </c>
      <c r="M216" s="330">
        <f>L216*D216*VPI!Q216</f>
        <v>0</v>
      </c>
    </row>
    <row r="217" spans="1:13" x14ac:dyDescent="0.25">
      <c r="A217" s="173">
        <f>Données!A217</f>
        <v>5756</v>
      </c>
      <c r="B217" s="27" t="str">
        <f>Données!B217</f>
        <v>Montcherand</v>
      </c>
      <c r="C217" s="387">
        <f>VPI!R217</f>
        <v>15753.043205801514</v>
      </c>
      <c r="D217" s="27">
        <f>Données!Z217</f>
        <v>506</v>
      </c>
      <c r="E217" s="118">
        <f t="shared" si="30"/>
        <v>31.132496454153191</v>
      </c>
      <c r="F217" s="206">
        <f t="shared" si="24"/>
        <v>0.67427739792238373</v>
      </c>
      <c r="G217" s="517">
        <f t="shared" si="25"/>
        <v>0</v>
      </c>
      <c r="H217" s="517">
        <f t="shared" si="26"/>
        <v>0</v>
      </c>
      <c r="I217" s="517">
        <f t="shared" si="27"/>
        <v>0</v>
      </c>
      <c r="J217" s="517">
        <f t="shared" si="28"/>
        <v>0</v>
      </c>
      <c r="K217" s="517">
        <f t="shared" si="29"/>
        <v>0</v>
      </c>
      <c r="L217" s="519">
        <f t="shared" si="31"/>
        <v>0</v>
      </c>
      <c r="M217" s="330">
        <f>L217*D217*VPI!Q217</f>
        <v>0</v>
      </c>
    </row>
    <row r="218" spans="1:13" x14ac:dyDescent="0.25">
      <c r="A218" s="173">
        <f>Données!A218</f>
        <v>5757</v>
      </c>
      <c r="B218" s="27" t="str">
        <f>Données!B218</f>
        <v>Orbe</v>
      </c>
      <c r="C218" s="387">
        <f>VPI!R218</f>
        <v>203477.21355711605</v>
      </c>
      <c r="D218" s="27">
        <f>Données!Z218</f>
        <v>7124</v>
      </c>
      <c r="E218" s="118">
        <f t="shared" si="30"/>
        <v>28.56221414333465</v>
      </c>
      <c r="F218" s="206">
        <f t="shared" si="24"/>
        <v>0.61860941540074887</v>
      </c>
      <c r="G218" s="517">
        <f t="shared" si="25"/>
        <v>0</v>
      </c>
      <c r="H218" s="517">
        <f t="shared" si="26"/>
        <v>0</v>
      </c>
      <c r="I218" s="517">
        <f t="shared" si="27"/>
        <v>0</v>
      </c>
      <c r="J218" s="517">
        <f t="shared" si="28"/>
        <v>0</v>
      </c>
      <c r="K218" s="517">
        <f t="shared" si="29"/>
        <v>0</v>
      </c>
      <c r="L218" s="519">
        <f t="shared" si="31"/>
        <v>0</v>
      </c>
      <c r="M218" s="330">
        <f>L218*D218*VPI!Q218</f>
        <v>0</v>
      </c>
    </row>
    <row r="219" spans="1:13" x14ac:dyDescent="0.25">
      <c r="A219" s="173">
        <f>Données!A219</f>
        <v>5758</v>
      </c>
      <c r="B219" s="27" t="str">
        <f>Données!B219</f>
        <v>La Praz</v>
      </c>
      <c r="C219" s="387">
        <f>VPI!R219</f>
        <v>4311.7430790337894</v>
      </c>
      <c r="D219" s="27">
        <f>Données!Z219</f>
        <v>175</v>
      </c>
      <c r="E219" s="118">
        <f t="shared" si="30"/>
        <v>24.638531880193081</v>
      </c>
      <c r="F219" s="206">
        <f t="shared" si="24"/>
        <v>0.53362907113053004</v>
      </c>
      <c r="G219" s="517">
        <f t="shared" si="25"/>
        <v>0</v>
      </c>
      <c r="H219" s="517">
        <f t="shared" si="26"/>
        <v>0</v>
      </c>
      <c r="I219" s="517">
        <f t="shared" si="27"/>
        <v>0</v>
      </c>
      <c r="J219" s="517">
        <f t="shared" si="28"/>
        <v>0</v>
      </c>
      <c r="K219" s="517">
        <f t="shared" si="29"/>
        <v>0</v>
      </c>
      <c r="L219" s="519">
        <f t="shared" si="31"/>
        <v>0</v>
      </c>
      <c r="M219" s="330">
        <f>L219*D219*VPI!Q219</f>
        <v>0</v>
      </c>
    </row>
    <row r="220" spans="1:13" x14ac:dyDescent="0.25">
      <c r="A220" s="173">
        <f>Données!A220</f>
        <v>5759</v>
      </c>
      <c r="B220" s="27" t="str">
        <f>Données!B220</f>
        <v>Premier</v>
      </c>
      <c r="C220" s="387">
        <f>VPI!R220</f>
        <v>5307.2435849357244</v>
      </c>
      <c r="D220" s="27">
        <f>Données!Z220</f>
        <v>218</v>
      </c>
      <c r="E220" s="118">
        <f t="shared" si="30"/>
        <v>24.345154059338185</v>
      </c>
      <c r="F220" s="206">
        <f t="shared" si="24"/>
        <v>0.52727500203281108</v>
      </c>
      <c r="G220" s="517">
        <f t="shared" si="25"/>
        <v>0</v>
      </c>
      <c r="H220" s="517">
        <f t="shared" si="26"/>
        <v>0</v>
      </c>
      <c r="I220" s="517">
        <f t="shared" si="27"/>
        <v>0</v>
      </c>
      <c r="J220" s="517">
        <f t="shared" si="28"/>
        <v>0</v>
      </c>
      <c r="K220" s="517">
        <f t="shared" si="29"/>
        <v>0</v>
      </c>
      <c r="L220" s="519">
        <f t="shared" si="31"/>
        <v>0</v>
      </c>
      <c r="M220" s="330">
        <f>L220*D220*VPI!Q220</f>
        <v>0</v>
      </c>
    </row>
    <row r="221" spans="1:13" x14ac:dyDescent="0.25">
      <c r="A221" s="173">
        <f>Données!A221</f>
        <v>5760</v>
      </c>
      <c r="B221" s="27" t="str">
        <f>Données!B221</f>
        <v>Rances</v>
      </c>
      <c r="C221" s="387">
        <f>VPI!R221</f>
        <v>12825.206275823581</v>
      </c>
      <c r="D221" s="27">
        <f>Données!Z221</f>
        <v>513</v>
      </c>
      <c r="E221" s="118">
        <f t="shared" si="30"/>
        <v>25.000402097121988</v>
      </c>
      <c r="F221" s="206">
        <f t="shared" si="24"/>
        <v>0.54146657008008436</v>
      </c>
      <c r="G221" s="517">
        <f t="shared" si="25"/>
        <v>0</v>
      </c>
      <c r="H221" s="517">
        <f t="shared" si="26"/>
        <v>0</v>
      </c>
      <c r="I221" s="517">
        <f t="shared" si="27"/>
        <v>0</v>
      </c>
      <c r="J221" s="517">
        <f t="shared" si="28"/>
        <v>0</v>
      </c>
      <c r="K221" s="517">
        <f t="shared" si="29"/>
        <v>0</v>
      </c>
      <c r="L221" s="519">
        <f t="shared" si="31"/>
        <v>0</v>
      </c>
      <c r="M221" s="330">
        <f>L221*D221*VPI!Q221</f>
        <v>0</v>
      </c>
    </row>
    <row r="222" spans="1:13" x14ac:dyDescent="0.25">
      <c r="A222" s="173">
        <f>Données!A222</f>
        <v>5761</v>
      </c>
      <c r="B222" s="27" t="str">
        <f>Données!B222</f>
        <v>Romainmôtier-Envy</v>
      </c>
      <c r="C222" s="387">
        <f>VPI!R222</f>
        <v>12133.770909516334</v>
      </c>
      <c r="D222" s="27">
        <f>Données!Z222</f>
        <v>525</v>
      </c>
      <c r="E222" s="118">
        <f t="shared" si="30"/>
        <v>23.11194458955492</v>
      </c>
      <c r="F222" s="206">
        <f t="shared" si="24"/>
        <v>0.5005657635493751</v>
      </c>
      <c r="G222" s="517">
        <f t="shared" si="25"/>
        <v>0</v>
      </c>
      <c r="H222" s="517">
        <f t="shared" si="26"/>
        <v>0</v>
      </c>
      <c r="I222" s="517">
        <f t="shared" si="27"/>
        <v>0</v>
      </c>
      <c r="J222" s="517">
        <f t="shared" si="28"/>
        <v>0</v>
      </c>
      <c r="K222" s="517">
        <f t="shared" si="29"/>
        <v>0</v>
      </c>
      <c r="L222" s="519">
        <f t="shared" si="31"/>
        <v>0</v>
      </c>
      <c r="M222" s="330">
        <f>L222*D222*VPI!Q222</f>
        <v>0</v>
      </c>
    </row>
    <row r="223" spans="1:13" x14ac:dyDescent="0.25">
      <c r="A223" s="173">
        <f>Données!A223</f>
        <v>5762</v>
      </c>
      <c r="B223" s="27" t="str">
        <f>Données!B223</f>
        <v>Sergey</v>
      </c>
      <c r="C223" s="387">
        <f>VPI!R223</f>
        <v>3771.973692411721</v>
      </c>
      <c r="D223" s="27">
        <f>Données!Z223</f>
        <v>145</v>
      </c>
      <c r="E223" s="118">
        <f t="shared" si="30"/>
        <v>26.013611671804973</v>
      </c>
      <c r="F223" s="206">
        <f t="shared" si="24"/>
        <v>0.56341098165573078</v>
      </c>
      <c r="G223" s="517">
        <f t="shared" si="25"/>
        <v>0</v>
      </c>
      <c r="H223" s="517">
        <f t="shared" si="26"/>
        <v>0</v>
      </c>
      <c r="I223" s="517">
        <f t="shared" si="27"/>
        <v>0</v>
      </c>
      <c r="J223" s="517">
        <f t="shared" si="28"/>
        <v>0</v>
      </c>
      <c r="K223" s="517">
        <f t="shared" si="29"/>
        <v>0</v>
      </c>
      <c r="L223" s="519">
        <f t="shared" si="31"/>
        <v>0</v>
      </c>
      <c r="M223" s="330">
        <f>L223*D223*VPI!Q223</f>
        <v>0</v>
      </c>
    </row>
    <row r="224" spans="1:13" x14ac:dyDescent="0.25">
      <c r="A224" s="173">
        <f>Données!A224</f>
        <v>5763</v>
      </c>
      <c r="B224" s="27" t="str">
        <f>Données!B224</f>
        <v>Valeyres-sous-Rances</v>
      </c>
      <c r="C224" s="387">
        <f>VPI!R224</f>
        <v>20450.878825889598</v>
      </c>
      <c r="D224" s="27">
        <f>Données!Z224</f>
        <v>609</v>
      </c>
      <c r="E224" s="118">
        <f t="shared" si="30"/>
        <v>33.581081815910672</v>
      </c>
      <c r="F224" s="206">
        <f t="shared" si="24"/>
        <v>0.72730962965323864</v>
      </c>
      <c r="G224" s="517">
        <f t="shared" si="25"/>
        <v>0</v>
      </c>
      <c r="H224" s="517">
        <f t="shared" si="26"/>
        <v>0</v>
      </c>
      <c r="I224" s="517">
        <f t="shared" si="27"/>
        <v>0</v>
      </c>
      <c r="J224" s="517">
        <f t="shared" si="28"/>
        <v>0</v>
      </c>
      <c r="K224" s="517">
        <f t="shared" si="29"/>
        <v>0</v>
      </c>
      <c r="L224" s="519">
        <f t="shared" si="31"/>
        <v>0</v>
      </c>
      <c r="M224" s="330">
        <f>L224*D224*VPI!Q224</f>
        <v>0</v>
      </c>
    </row>
    <row r="225" spans="1:13" x14ac:dyDescent="0.25">
      <c r="A225" s="173">
        <f>Données!A225</f>
        <v>5764</v>
      </c>
      <c r="B225" s="27" t="str">
        <f>Données!B225</f>
        <v>Vallorbe</v>
      </c>
      <c r="C225" s="387">
        <f>VPI!R225</f>
        <v>84208.757632819674</v>
      </c>
      <c r="D225" s="27">
        <f>Données!Z225</f>
        <v>3874</v>
      </c>
      <c r="E225" s="118">
        <f t="shared" si="30"/>
        <v>21.736901815389693</v>
      </c>
      <c r="F225" s="206">
        <f t="shared" si="24"/>
        <v>0.47078465475967451</v>
      </c>
      <c r="G225" s="517">
        <f t="shared" si="25"/>
        <v>0</v>
      </c>
      <c r="H225" s="517">
        <f t="shared" si="26"/>
        <v>0</v>
      </c>
      <c r="I225" s="517">
        <f t="shared" si="27"/>
        <v>0</v>
      </c>
      <c r="J225" s="517">
        <f t="shared" si="28"/>
        <v>0</v>
      </c>
      <c r="K225" s="517">
        <f t="shared" si="29"/>
        <v>0</v>
      </c>
      <c r="L225" s="519">
        <f t="shared" si="31"/>
        <v>0</v>
      </c>
      <c r="M225" s="330">
        <f>L225*D225*VPI!Q225</f>
        <v>0</v>
      </c>
    </row>
    <row r="226" spans="1:13" x14ac:dyDescent="0.25">
      <c r="A226" s="173">
        <f>Données!A226</f>
        <v>5765</v>
      </c>
      <c r="B226" s="27" t="str">
        <f>Données!B226</f>
        <v>Vaulion</v>
      </c>
      <c r="C226" s="387">
        <f>VPI!R226</f>
        <v>11314.093434772476</v>
      </c>
      <c r="D226" s="27">
        <f>Données!Z226</f>
        <v>506</v>
      </c>
      <c r="E226" s="118">
        <f t="shared" si="30"/>
        <v>22.359868448166949</v>
      </c>
      <c r="F226" s="206">
        <f t="shared" si="24"/>
        <v>0.48427706198631953</v>
      </c>
      <c r="G226" s="517">
        <f t="shared" si="25"/>
        <v>0</v>
      </c>
      <c r="H226" s="517">
        <f t="shared" si="26"/>
        <v>0</v>
      </c>
      <c r="I226" s="517">
        <f t="shared" si="27"/>
        <v>0</v>
      </c>
      <c r="J226" s="517">
        <f t="shared" si="28"/>
        <v>0</v>
      </c>
      <c r="K226" s="517">
        <f t="shared" si="29"/>
        <v>0</v>
      </c>
      <c r="L226" s="519">
        <f t="shared" si="31"/>
        <v>0</v>
      </c>
      <c r="M226" s="330">
        <f>L226*D226*VPI!Q226</f>
        <v>0</v>
      </c>
    </row>
    <row r="227" spans="1:13" x14ac:dyDescent="0.25">
      <c r="A227" s="173">
        <f>Données!A227</f>
        <v>5766</v>
      </c>
      <c r="B227" s="27" t="str">
        <f>Données!B227</f>
        <v>Vuiteboeuf</v>
      </c>
      <c r="C227" s="387">
        <f>VPI!R227</f>
        <v>15990.410165272326</v>
      </c>
      <c r="D227" s="27">
        <f>Données!Z227</f>
        <v>584</v>
      </c>
      <c r="E227" s="118">
        <f t="shared" si="30"/>
        <v>27.380839324096449</v>
      </c>
      <c r="F227" s="206">
        <f t="shared" si="24"/>
        <v>0.59302282807839835</v>
      </c>
      <c r="G227" s="517">
        <f t="shared" si="25"/>
        <v>0</v>
      </c>
      <c r="H227" s="517">
        <f t="shared" si="26"/>
        <v>0</v>
      </c>
      <c r="I227" s="517">
        <f t="shared" si="27"/>
        <v>0</v>
      </c>
      <c r="J227" s="517">
        <f t="shared" si="28"/>
        <v>0</v>
      </c>
      <c r="K227" s="517">
        <f t="shared" si="29"/>
        <v>0</v>
      </c>
      <c r="L227" s="519">
        <f t="shared" si="31"/>
        <v>0</v>
      </c>
      <c r="M227" s="330">
        <f>L227*D227*VPI!Q227</f>
        <v>0</v>
      </c>
    </row>
    <row r="228" spans="1:13" x14ac:dyDescent="0.25">
      <c r="A228" s="173">
        <f>Données!A228</f>
        <v>5785</v>
      </c>
      <c r="B228" s="27" t="str">
        <f>Données!B228</f>
        <v>Corcelles-le-Jorat</v>
      </c>
      <c r="C228" s="387">
        <f>VPI!R228</f>
        <v>17505.983698727712</v>
      </c>
      <c r="D228" s="27">
        <f>Données!Z228</f>
        <v>451</v>
      </c>
      <c r="E228" s="118">
        <f t="shared" si="30"/>
        <v>38.815928378553686</v>
      </c>
      <c r="F228" s="206">
        <f t="shared" si="24"/>
        <v>0.84068758262208854</v>
      </c>
      <c r="G228" s="517">
        <f t="shared" si="25"/>
        <v>0</v>
      </c>
      <c r="H228" s="517">
        <f t="shared" si="26"/>
        <v>0</v>
      </c>
      <c r="I228" s="517">
        <f t="shared" si="27"/>
        <v>0</v>
      </c>
      <c r="J228" s="517">
        <f t="shared" si="28"/>
        <v>0</v>
      </c>
      <c r="K228" s="517">
        <f t="shared" si="29"/>
        <v>0</v>
      </c>
      <c r="L228" s="519">
        <f t="shared" si="31"/>
        <v>0</v>
      </c>
      <c r="M228" s="330">
        <f>L228*D228*VPI!Q228</f>
        <v>0</v>
      </c>
    </row>
    <row r="229" spans="1:13" x14ac:dyDescent="0.25">
      <c r="A229" s="173">
        <f>Données!A229</f>
        <v>5790</v>
      </c>
      <c r="B229" s="27" t="str">
        <f>Données!B229</f>
        <v>Maracon</v>
      </c>
      <c r="C229" s="387">
        <f>VPI!R229</f>
        <v>13395.718975615504</v>
      </c>
      <c r="D229" s="27">
        <f>Données!Z229</f>
        <v>538</v>
      </c>
      <c r="E229" s="118">
        <f t="shared" si="30"/>
        <v>24.89910590263105</v>
      </c>
      <c r="F229" s="206">
        <f t="shared" si="24"/>
        <v>0.53927266524687023</v>
      </c>
      <c r="G229" s="517">
        <f t="shared" si="25"/>
        <v>0</v>
      </c>
      <c r="H229" s="517">
        <f t="shared" si="26"/>
        <v>0</v>
      </c>
      <c r="I229" s="517">
        <f t="shared" si="27"/>
        <v>0</v>
      </c>
      <c r="J229" s="517">
        <f t="shared" si="28"/>
        <v>0</v>
      </c>
      <c r="K229" s="517">
        <f t="shared" si="29"/>
        <v>0</v>
      </c>
      <c r="L229" s="519">
        <f t="shared" si="31"/>
        <v>0</v>
      </c>
      <c r="M229" s="330">
        <f>L229*D229*VPI!Q229</f>
        <v>0</v>
      </c>
    </row>
    <row r="230" spans="1:13" x14ac:dyDescent="0.25">
      <c r="A230" s="173">
        <f>Données!A230</f>
        <v>5792</v>
      </c>
      <c r="B230" s="27" t="str">
        <f>Données!B230</f>
        <v>Montpreveyres</v>
      </c>
      <c r="C230" s="387">
        <f>VPI!R230</f>
        <v>17608.366503920086</v>
      </c>
      <c r="D230" s="27">
        <f>Données!Z230</f>
        <v>653</v>
      </c>
      <c r="E230" s="118">
        <f t="shared" si="30"/>
        <v>26.96533920967854</v>
      </c>
      <c r="F230" s="206">
        <f t="shared" si="24"/>
        <v>0.58402379594492526</v>
      </c>
      <c r="G230" s="517">
        <f t="shared" si="25"/>
        <v>0</v>
      </c>
      <c r="H230" s="517">
        <f t="shared" si="26"/>
        <v>0</v>
      </c>
      <c r="I230" s="517">
        <f t="shared" si="27"/>
        <v>0</v>
      </c>
      <c r="J230" s="517">
        <f t="shared" si="28"/>
        <v>0</v>
      </c>
      <c r="K230" s="517">
        <f t="shared" si="29"/>
        <v>0</v>
      </c>
      <c r="L230" s="519">
        <f t="shared" si="31"/>
        <v>0</v>
      </c>
      <c r="M230" s="330">
        <f>L230*D230*VPI!Q230</f>
        <v>0</v>
      </c>
    </row>
    <row r="231" spans="1:13" x14ac:dyDescent="0.25">
      <c r="A231" s="173">
        <f>Données!A231</f>
        <v>5798</v>
      </c>
      <c r="B231" s="27" t="str">
        <f>Données!B231</f>
        <v>Ropraz</v>
      </c>
      <c r="C231" s="387">
        <f>VPI!R231</f>
        <v>15757.055763710458</v>
      </c>
      <c r="D231" s="27">
        <f>Données!Z231</f>
        <v>528</v>
      </c>
      <c r="E231" s="118">
        <f t="shared" si="30"/>
        <v>29.842908643391016</v>
      </c>
      <c r="F231" s="206">
        <f t="shared" si="24"/>
        <v>0.64634709960166736</v>
      </c>
      <c r="G231" s="517">
        <f t="shared" si="25"/>
        <v>0</v>
      </c>
      <c r="H231" s="517">
        <f t="shared" si="26"/>
        <v>0</v>
      </c>
      <c r="I231" s="517">
        <f t="shared" si="27"/>
        <v>0</v>
      </c>
      <c r="J231" s="517">
        <f t="shared" si="28"/>
        <v>0</v>
      </c>
      <c r="K231" s="517">
        <f t="shared" si="29"/>
        <v>0</v>
      </c>
      <c r="L231" s="519">
        <f t="shared" si="31"/>
        <v>0</v>
      </c>
      <c r="M231" s="330">
        <f>L231*D231*VPI!Q231</f>
        <v>0</v>
      </c>
    </row>
    <row r="232" spans="1:13" x14ac:dyDescent="0.25">
      <c r="A232" s="173">
        <f>Données!A232</f>
        <v>5799</v>
      </c>
      <c r="B232" s="27" t="str">
        <f>Données!B232</f>
        <v>Servion</v>
      </c>
      <c r="C232" s="387">
        <f>VPI!R232</f>
        <v>69379.10406939665</v>
      </c>
      <c r="D232" s="27">
        <f>Données!Z232</f>
        <v>2076</v>
      </c>
      <c r="E232" s="118">
        <f t="shared" si="30"/>
        <v>33.419606969844246</v>
      </c>
      <c r="F232" s="206">
        <f t="shared" si="24"/>
        <v>0.723812356660823</v>
      </c>
      <c r="G232" s="517">
        <f t="shared" si="25"/>
        <v>0</v>
      </c>
      <c r="H232" s="517">
        <f t="shared" si="26"/>
        <v>0</v>
      </c>
      <c r="I232" s="517">
        <f t="shared" si="27"/>
        <v>0</v>
      </c>
      <c r="J232" s="517">
        <f t="shared" si="28"/>
        <v>0</v>
      </c>
      <c r="K232" s="517">
        <f t="shared" si="29"/>
        <v>0</v>
      </c>
      <c r="L232" s="519">
        <f t="shared" si="31"/>
        <v>0</v>
      </c>
      <c r="M232" s="330">
        <f>L232*D232*VPI!Q232</f>
        <v>0</v>
      </c>
    </row>
    <row r="233" spans="1:13" x14ac:dyDescent="0.25">
      <c r="A233" s="173">
        <f>Données!A233</f>
        <v>5803</v>
      </c>
      <c r="B233" s="27" t="str">
        <f>Données!B233</f>
        <v>Vulliens</v>
      </c>
      <c r="C233" s="387">
        <f>VPI!R233</f>
        <v>18878.281315789478</v>
      </c>
      <c r="D233" s="27">
        <f>Données!Z233</f>
        <v>624</v>
      </c>
      <c r="E233" s="118">
        <f t="shared" si="30"/>
        <v>30.25365595479083</v>
      </c>
      <c r="F233" s="206">
        <f t="shared" si="24"/>
        <v>0.65524319403283959</v>
      </c>
      <c r="G233" s="517">
        <f t="shared" si="25"/>
        <v>0</v>
      </c>
      <c r="H233" s="517">
        <f t="shared" si="26"/>
        <v>0</v>
      </c>
      <c r="I233" s="517">
        <f t="shared" si="27"/>
        <v>0</v>
      </c>
      <c r="J233" s="517">
        <f t="shared" si="28"/>
        <v>0</v>
      </c>
      <c r="K233" s="517">
        <f t="shared" si="29"/>
        <v>0</v>
      </c>
      <c r="L233" s="519">
        <f t="shared" si="31"/>
        <v>0</v>
      </c>
      <c r="M233" s="330">
        <f>L233*D233*VPI!Q233</f>
        <v>0</v>
      </c>
    </row>
    <row r="234" spans="1:13" x14ac:dyDescent="0.25">
      <c r="A234" s="173">
        <f>Données!A234</f>
        <v>5804</v>
      </c>
      <c r="B234" s="27" t="str">
        <f>Données!B234</f>
        <v>Jorat-Menthue</v>
      </c>
      <c r="C234" s="387">
        <f>VPI!R234</f>
        <v>46675.442411362579</v>
      </c>
      <c r="D234" s="27">
        <f>Données!Z234</f>
        <v>1602</v>
      </c>
      <c r="E234" s="118">
        <f t="shared" si="30"/>
        <v>29.135731842298739</v>
      </c>
      <c r="F234" s="206">
        <f t="shared" si="24"/>
        <v>0.63103084206948457</v>
      </c>
      <c r="G234" s="517">
        <f t="shared" si="25"/>
        <v>0</v>
      </c>
      <c r="H234" s="517">
        <f t="shared" si="26"/>
        <v>0</v>
      </c>
      <c r="I234" s="517">
        <f t="shared" si="27"/>
        <v>0</v>
      </c>
      <c r="J234" s="517">
        <f t="shared" si="28"/>
        <v>0</v>
      </c>
      <c r="K234" s="517">
        <f t="shared" si="29"/>
        <v>0</v>
      </c>
      <c r="L234" s="519">
        <f t="shared" si="31"/>
        <v>0</v>
      </c>
      <c r="M234" s="330">
        <f>L234*D234*VPI!Q234</f>
        <v>0</v>
      </c>
    </row>
    <row r="235" spans="1:13" x14ac:dyDescent="0.25">
      <c r="A235" s="173">
        <f>Données!A235</f>
        <v>5805</v>
      </c>
      <c r="B235" s="27" t="str">
        <f>Données!B235</f>
        <v>Oron</v>
      </c>
      <c r="C235" s="387">
        <f>VPI!R235</f>
        <v>172360.6832516081</v>
      </c>
      <c r="D235" s="27">
        <f>Données!Z235</f>
        <v>6052</v>
      </c>
      <c r="E235" s="118">
        <f t="shared" si="30"/>
        <v>28.479954271580983</v>
      </c>
      <c r="F235" s="206">
        <f t="shared" si="24"/>
        <v>0.61682780523141434</v>
      </c>
      <c r="G235" s="517">
        <f t="shared" si="25"/>
        <v>0</v>
      </c>
      <c r="H235" s="517">
        <f t="shared" si="26"/>
        <v>0</v>
      </c>
      <c r="I235" s="517">
        <f t="shared" si="27"/>
        <v>0</v>
      </c>
      <c r="J235" s="517">
        <f t="shared" si="28"/>
        <v>0</v>
      </c>
      <c r="K235" s="517">
        <f t="shared" si="29"/>
        <v>0</v>
      </c>
      <c r="L235" s="519">
        <f t="shared" si="31"/>
        <v>0</v>
      </c>
      <c r="M235" s="330">
        <f>L235*D235*VPI!Q235</f>
        <v>0</v>
      </c>
    </row>
    <row r="236" spans="1:13" x14ac:dyDescent="0.25">
      <c r="A236" s="173">
        <f>Données!A236</f>
        <v>5806</v>
      </c>
      <c r="B236" s="27" t="str">
        <f>Données!B236</f>
        <v>Jorat-Mézières</v>
      </c>
      <c r="C236" s="387">
        <f>VPI!R236</f>
        <v>91040.343063115521</v>
      </c>
      <c r="D236" s="27">
        <f>Données!Z236</f>
        <v>2966</v>
      </c>
      <c r="E236" s="118">
        <f t="shared" si="30"/>
        <v>30.694653763693701</v>
      </c>
      <c r="F236" s="206">
        <f t="shared" si="24"/>
        <v>0.66479446325130376</v>
      </c>
      <c r="G236" s="517">
        <f t="shared" si="25"/>
        <v>0</v>
      </c>
      <c r="H236" s="517">
        <f t="shared" si="26"/>
        <v>0</v>
      </c>
      <c r="I236" s="517">
        <f t="shared" si="27"/>
        <v>0</v>
      </c>
      <c r="J236" s="517">
        <f t="shared" si="28"/>
        <v>0</v>
      </c>
      <c r="K236" s="517">
        <f t="shared" si="29"/>
        <v>0</v>
      </c>
      <c r="L236" s="519">
        <f t="shared" si="31"/>
        <v>0</v>
      </c>
      <c r="M236" s="330">
        <f>L236*D236*VPI!Q236</f>
        <v>0</v>
      </c>
    </row>
    <row r="237" spans="1:13" x14ac:dyDescent="0.25">
      <c r="A237" s="173">
        <f>Données!A237</f>
        <v>5812</v>
      </c>
      <c r="B237" s="27" t="str">
        <f>Données!B237</f>
        <v>Champtauroz</v>
      </c>
      <c r="C237" s="387">
        <f>VPI!R237</f>
        <v>2509.107922077922</v>
      </c>
      <c r="D237" s="27">
        <f>Données!Z237</f>
        <v>144</v>
      </c>
      <c r="E237" s="118">
        <f t="shared" si="30"/>
        <v>17.42436056998557</v>
      </c>
      <c r="F237" s="206">
        <f t="shared" si="24"/>
        <v>0.37738228037359695</v>
      </c>
      <c r="G237" s="517">
        <f t="shared" si="25"/>
        <v>0</v>
      </c>
      <c r="H237" s="517">
        <f t="shared" si="26"/>
        <v>0</v>
      </c>
      <c r="I237" s="517">
        <f t="shared" si="27"/>
        <v>0</v>
      </c>
      <c r="J237" s="517">
        <f t="shared" si="28"/>
        <v>0</v>
      </c>
      <c r="K237" s="517">
        <f t="shared" si="29"/>
        <v>0</v>
      </c>
      <c r="L237" s="519">
        <f t="shared" si="31"/>
        <v>0</v>
      </c>
      <c r="M237" s="330">
        <f>L237*D237*VPI!Q237</f>
        <v>0</v>
      </c>
    </row>
    <row r="238" spans="1:13" x14ac:dyDescent="0.25">
      <c r="A238" s="173">
        <f>Données!A238</f>
        <v>5813</v>
      </c>
      <c r="B238" s="27" t="str">
        <f>Données!B238</f>
        <v>Chevroux</v>
      </c>
      <c r="C238" s="387">
        <f>VPI!R238</f>
        <v>15173.187804567502</v>
      </c>
      <c r="D238" s="27">
        <f>Données!Z238</f>
        <v>495</v>
      </c>
      <c r="E238" s="118">
        <f t="shared" si="30"/>
        <v>30.652904655691923</v>
      </c>
      <c r="F238" s="206">
        <f t="shared" si="24"/>
        <v>0.66389024794205376</v>
      </c>
      <c r="G238" s="517">
        <f t="shared" si="25"/>
        <v>0</v>
      </c>
      <c r="H238" s="517">
        <f t="shared" si="26"/>
        <v>0</v>
      </c>
      <c r="I238" s="517">
        <f t="shared" si="27"/>
        <v>0</v>
      </c>
      <c r="J238" s="517">
        <f t="shared" si="28"/>
        <v>0</v>
      </c>
      <c r="K238" s="517">
        <f t="shared" si="29"/>
        <v>0</v>
      </c>
      <c r="L238" s="519">
        <f t="shared" si="31"/>
        <v>0</v>
      </c>
      <c r="M238" s="330">
        <f>L238*D238*VPI!Q238</f>
        <v>0</v>
      </c>
    </row>
    <row r="239" spans="1:13" x14ac:dyDescent="0.25">
      <c r="A239" s="173">
        <f>Données!A239</f>
        <v>5816</v>
      </c>
      <c r="B239" s="27" t="str">
        <f>Données!B239</f>
        <v>Corcelles-près-Payerne</v>
      </c>
      <c r="C239" s="387">
        <f>VPI!R239</f>
        <v>60494.301475743108</v>
      </c>
      <c r="D239" s="27">
        <f>Données!Z239</f>
        <v>2681</v>
      </c>
      <c r="E239" s="118">
        <f t="shared" si="30"/>
        <v>22.564081117397652</v>
      </c>
      <c r="F239" s="206">
        <f t="shared" si="24"/>
        <v>0.48869996419187955</v>
      </c>
      <c r="G239" s="517">
        <f t="shared" si="25"/>
        <v>0</v>
      </c>
      <c r="H239" s="517">
        <f t="shared" si="26"/>
        <v>0</v>
      </c>
      <c r="I239" s="517">
        <f t="shared" si="27"/>
        <v>0</v>
      </c>
      <c r="J239" s="517">
        <f t="shared" si="28"/>
        <v>0</v>
      </c>
      <c r="K239" s="517">
        <f t="shared" si="29"/>
        <v>0</v>
      </c>
      <c r="L239" s="519">
        <f t="shared" si="31"/>
        <v>0</v>
      </c>
      <c r="M239" s="330">
        <f>L239*D239*VPI!Q239</f>
        <v>0</v>
      </c>
    </row>
    <row r="240" spans="1:13" x14ac:dyDescent="0.25">
      <c r="A240" s="173">
        <f>Données!A240</f>
        <v>5817</v>
      </c>
      <c r="B240" s="27" t="str">
        <f>Données!B240</f>
        <v>Grandcour</v>
      </c>
      <c r="C240" s="387">
        <f>VPI!R240</f>
        <v>21852.23221700843</v>
      </c>
      <c r="D240" s="27">
        <f>Données!Z240</f>
        <v>967</v>
      </c>
      <c r="E240" s="118">
        <f t="shared" si="30"/>
        <v>22.597965064124541</v>
      </c>
      <c r="F240" s="206">
        <f t="shared" si="24"/>
        <v>0.48943383336501162</v>
      </c>
      <c r="G240" s="517">
        <f t="shared" si="25"/>
        <v>0</v>
      </c>
      <c r="H240" s="517">
        <f t="shared" si="26"/>
        <v>0</v>
      </c>
      <c r="I240" s="517">
        <f t="shared" si="27"/>
        <v>0</v>
      </c>
      <c r="J240" s="517">
        <f t="shared" si="28"/>
        <v>0</v>
      </c>
      <c r="K240" s="517">
        <f t="shared" si="29"/>
        <v>0</v>
      </c>
      <c r="L240" s="519">
        <f t="shared" si="31"/>
        <v>0</v>
      </c>
      <c r="M240" s="330">
        <f>L240*D240*VPI!Q240</f>
        <v>0</v>
      </c>
    </row>
    <row r="241" spans="1:13" x14ac:dyDescent="0.25">
      <c r="A241" s="173">
        <f>Données!A241</f>
        <v>5819</v>
      </c>
      <c r="B241" s="27" t="str">
        <f>Données!B241</f>
        <v>Henniez</v>
      </c>
      <c r="C241" s="387">
        <f>VPI!R241</f>
        <v>11442.507547725303</v>
      </c>
      <c r="D241" s="27">
        <f>Données!Z241</f>
        <v>396</v>
      </c>
      <c r="E241" s="118">
        <f t="shared" si="30"/>
        <v>28.895221080114403</v>
      </c>
      <c r="F241" s="206">
        <f t="shared" si="24"/>
        <v>0.62582178435267732</v>
      </c>
      <c r="G241" s="517">
        <f t="shared" si="25"/>
        <v>0</v>
      </c>
      <c r="H241" s="517">
        <f t="shared" si="26"/>
        <v>0</v>
      </c>
      <c r="I241" s="517">
        <f t="shared" si="27"/>
        <v>0</v>
      </c>
      <c r="J241" s="517">
        <f t="shared" si="28"/>
        <v>0</v>
      </c>
      <c r="K241" s="517">
        <f t="shared" si="29"/>
        <v>0</v>
      </c>
      <c r="L241" s="519">
        <f t="shared" si="31"/>
        <v>0</v>
      </c>
      <c r="M241" s="330">
        <f>L241*D241*VPI!Q241</f>
        <v>0</v>
      </c>
    </row>
    <row r="242" spans="1:13" x14ac:dyDescent="0.25">
      <c r="A242" s="173">
        <f>Données!A242</f>
        <v>5821</v>
      </c>
      <c r="B242" s="27" t="str">
        <f>Données!B242</f>
        <v>Missy</v>
      </c>
      <c r="C242" s="387">
        <f>VPI!R242</f>
        <v>7871.5501639965696</v>
      </c>
      <c r="D242" s="27">
        <f>Données!Z242</f>
        <v>368</v>
      </c>
      <c r="E242" s="118">
        <f t="shared" si="30"/>
        <v>21.390081967381981</v>
      </c>
      <c r="F242" s="206">
        <f t="shared" si="24"/>
        <v>0.46327312143285454</v>
      </c>
      <c r="G242" s="517">
        <f t="shared" si="25"/>
        <v>0</v>
      </c>
      <c r="H242" s="517">
        <f t="shared" si="26"/>
        <v>0</v>
      </c>
      <c r="I242" s="517">
        <f t="shared" si="27"/>
        <v>0</v>
      </c>
      <c r="J242" s="517">
        <f t="shared" si="28"/>
        <v>0</v>
      </c>
      <c r="K242" s="517">
        <f t="shared" si="29"/>
        <v>0</v>
      </c>
      <c r="L242" s="519">
        <f t="shared" si="31"/>
        <v>0</v>
      </c>
      <c r="M242" s="330">
        <f>L242*D242*VPI!Q242</f>
        <v>0</v>
      </c>
    </row>
    <row r="243" spans="1:13" x14ac:dyDescent="0.25">
      <c r="A243" s="173">
        <f>Données!A243</f>
        <v>5822</v>
      </c>
      <c r="B243" s="27" t="str">
        <f>Données!B243</f>
        <v>Payerne</v>
      </c>
      <c r="C243" s="387">
        <f>VPI!R243</f>
        <v>237529.8930471511</v>
      </c>
      <c r="D243" s="27">
        <f>Données!Z243</f>
        <v>10108</v>
      </c>
      <c r="E243" s="118">
        <f t="shared" si="30"/>
        <v>23.49919796667502</v>
      </c>
      <c r="F243" s="206">
        <f t="shared" si="24"/>
        <v>0.50895301896417056</v>
      </c>
      <c r="G243" s="517">
        <f t="shared" si="25"/>
        <v>0</v>
      </c>
      <c r="H243" s="517">
        <f t="shared" si="26"/>
        <v>0</v>
      </c>
      <c r="I243" s="517">
        <f t="shared" si="27"/>
        <v>0</v>
      </c>
      <c r="J243" s="517">
        <f t="shared" si="28"/>
        <v>0</v>
      </c>
      <c r="K243" s="517">
        <f t="shared" si="29"/>
        <v>0</v>
      </c>
      <c r="L243" s="519">
        <f t="shared" si="31"/>
        <v>0</v>
      </c>
      <c r="M243" s="330">
        <f>L243*D243*VPI!Q243</f>
        <v>0</v>
      </c>
    </row>
    <row r="244" spans="1:13" x14ac:dyDescent="0.25">
      <c r="A244" s="173">
        <f>Données!A244</f>
        <v>5827</v>
      </c>
      <c r="B244" s="27" t="str">
        <f>Données!B244</f>
        <v>Trey</v>
      </c>
      <c r="C244" s="387">
        <f>VPI!R244</f>
        <v>6158.3041346806722</v>
      </c>
      <c r="D244" s="27">
        <f>Données!Z244</f>
        <v>302</v>
      </c>
      <c r="E244" s="118">
        <f t="shared" si="30"/>
        <v>20.391735545300239</v>
      </c>
      <c r="F244" s="206">
        <f t="shared" si="24"/>
        <v>0.44165062069001426</v>
      </c>
      <c r="G244" s="517">
        <f t="shared" si="25"/>
        <v>0</v>
      </c>
      <c r="H244" s="517">
        <f t="shared" si="26"/>
        <v>0</v>
      </c>
      <c r="I244" s="517">
        <f t="shared" si="27"/>
        <v>0</v>
      </c>
      <c r="J244" s="517">
        <f t="shared" si="28"/>
        <v>0</v>
      </c>
      <c r="K244" s="517">
        <f t="shared" si="29"/>
        <v>0</v>
      </c>
      <c r="L244" s="519">
        <f t="shared" si="31"/>
        <v>0</v>
      </c>
      <c r="M244" s="330">
        <f>L244*D244*VPI!Q244</f>
        <v>0</v>
      </c>
    </row>
    <row r="245" spans="1:13" x14ac:dyDescent="0.25">
      <c r="A245" s="173">
        <f>Données!A245</f>
        <v>5828</v>
      </c>
      <c r="B245" s="27" t="str">
        <f>Données!B245</f>
        <v>Treytorrens (Payerne)</v>
      </c>
      <c r="C245" s="387">
        <f>VPI!R245</f>
        <v>2288.504365079365</v>
      </c>
      <c r="D245" s="27">
        <f>Données!Z245</f>
        <v>114</v>
      </c>
      <c r="E245" s="118">
        <f t="shared" si="30"/>
        <v>20.074599693678639</v>
      </c>
      <c r="F245" s="206">
        <f t="shared" si="24"/>
        <v>0.4347819926911573</v>
      </c>
      <c r="G245" s="517">
        <f t="shared" si="25"/>
        <v>0</v>
      </c>
      <c r="H245" s="517">
        <f t="shared" si="26"/>
        <v>0</v>
      </c>
      <c r="I245" s="517">
        <f t="shared" si="27"/>
        <v>0</v>
      </c>
      <c r="J245" s="517">
        <f t="shared" si="28"/>
        <v>0</v>
      </c>
      <c r="K245" s="517">
        <f t="shared" si="29"/>
        <v>0</v>
      </c>
      <c r="L245" s="519">
        <f t="shared" si="31"/>
        <v>0</v>
      </c>
      <c r="M245" s="330">
        <f>L245*D245*VPI!Q245</f>
        <v>0</v>
      </c>
    </row>
    <row r="246" spans="1:13" x14ac:dyDescent="0.25">
      <c r="A246" s="173">
        <f>Données!A246</f>
        <v>5830</v>
      </c>
      <c r="B246" s="27" t="str">
        <f>Données!B246</f>
        <v>Villarzel</v>
      </c>
      <c r="C246" s="387">
        <f>VPI!R246</f>
        <v>12469.37329599799</v>
      </c>
      <c r="D246" s="27">
        <f>Données!Z246</f>
        <v>477</v>
      </c>
      <c r="E246" s="118">
        <f t="shared" si="30"/>
        <v>26.141243807123669</v>
      </c>
      <c r="F246" s="206">
        <f t="shared" si="24"/>
        <v>0.56617527857681782</v>
      </c>
      <c r="G246" s="517">
        <f t="shared" si="25"/>
        <v>0</v>
      </c>
      <c r="H246" s="517">
        <f t="shared" si="26"/>
        <v>0</v>
      </c>
      <c r="I246" s="517">
        <f t="shared" si="27"/>
        <v>0</v>
      </c>
      <c r="J246" s="517">
        <f t="shared" si="28"/>
        <v>0</v>
      </c>
      <c r="K246" s="517">
        <f t="shared" si="29"/>
        <v>0</v>
      </c>
      <c r="L246" s="519">
        <f t="shared" si="31"/>
        <v>0</v>
      </c>
      <c r="M246" s="330">
        <f>L246*D246*VPI!Q246</f>
        <v>0</v>
      </c>
    </row>
    <row r="247" spans="1:13" x14ac:dyDescent="0.25">
      <c r="A247" s="173">
        <f>Données!A247</f>
        <v>5831</v>
      </c>
      <c r="B247" s="27" t="str">
        <f>Données!B247</f>
        <v>Valbroye</v>
      </c>
      <c r="C247" s="387">
        <f>VPI!R247</f>
        <v>83737.262655956278</v>
      </c>
      <c r="D247" s="27">
        <f>Données!Z247</f>
        <v>3373</v>
      </c>
      <c r="E247" s="118">
        <f t="shared" si="30"/>
        <v>24.825752343894539</v>
      </c>
      <c r="F247" s="206">
        <f t="shared" si="24"/>
        <v>0.53768395080548137</v>
      </c>
      <c r="G247" s="517">
        <f t="shared" si="25"/>
        <v>0</v>
      </c>
      <c r="H247" s="517">
        <f t="shared" si="26"/>
        <v>0</v>
      </c>
      <c r="I247" s="517">
        <f t="shared" si="27"/>
        <v>0</v>
      </c>
      <c r="J247" s="517">
        <f t="shared" si="28"/>
        <v>0</v>
      </c>
      <c r="K247" s="517">
        <f t="shared" si="29"/>
        <v>0</v>
      </c>
      <c r="L247" s="519">
        <f t="shared" si="31"/>
        <v>0</v>
      </c>
      <c r="M247" s="330">
        <f>L247*D247*VPI!Q247</f>
        <v>0</v>
      </c>
    </row>
    <row r="248" spans="1:13" x14ac:dyDescent="0.25">
      <c r="A248" s="173">
        <f>Données!A248</f>
        <v>5841</v>
      </c>
      <c r="B248" s="27" t="str">
        <f>Données!B248</f>
        <v>Château-d'Oex</v>
      </c>
      <c r="C248" s="387">
        <f>VPI!R248</f>
        <v>108627.58984858803</v>
      </c>
      <c r="D248" s="27">
        <f>Données!Z248</f>
        <v>3494</v>
      </c>
      <c r="E248" s="118">
        <f t="shared" si="30"/>
        <v>31.089750958382378</v>
      </c>
      <c r="F248" s="206">
        <f t="shared" si="24"/>
        <v>0.67335160253351434</v>
      </c>
      <c r="G248" s="517">
        <f t="shared" si="25"/>
        <v>0</v>
      </c>
      <c r="H248" s="517">
        <f t="shared" si="26"/>
        <v>0</v>
      </c>
      <c r="I248" s="517">
        <f t="shared" si="27"/>
        <v>0</v>
      </c>
      <c r="J248" s="517">
        <f t="shared" si="28"/>
        <v>0</v>
      </c>
      <c r="K248" s="517">
        <f t="shared" si="29"/>
        <v>0</v>
      </c>
      <c r="L248" s="519">
        <f t="shared" si="31"/>
        <v>0</v>
      </c>
      <c r="M248" s="330">
        <f>L248*D248*VPI!Q248</f>
        <v>0</v>
      </c>
    </row>
    <row r="249" spans="1:13" x14ac:dyDescent="0.25">
      <c r="A249" s="173">
        <f>Données!A249</f>
        <v>5842</v>
      </c>
      <c r="B249" s="27" t="str">
        <f>Données!B249</f>
        <v>Rossinière</v>
      </c>
      <c r="C249" s="387">
        <f>VPI!R249</f>
        <v>14504.788146274859</v>
      </c>
      <c r="D249" s="27">
        <f>Données!Z249</f>
        <v>537</v>
      </c>
      <c r="E249" s="118">
        <f t="shared" si="30"/>
        <v>27.010778670902905</v>
      </c>
      <c r="F249" s="206">
        <f t="shared" si="24"/>
        <v>0.58500793808471407</v>
      </c>
      <c r="G249" s="517">
        <f t="shared" si="25"/>
        <v>0</v>
      </c>
      <c r="H249" s="517">
        <f t="shared" si="26"/>
        <v>0</v>
      </c>
      <c r="I249" s="517">
        <f t="shared" si="27"/>
        <v>0</v>
      </c>
      <c r="J249" s="517">
        <f t="shared" si="28"/>
        <v>0</v>
      </c>
      <c r="K249" s="517">
        <f t="shared" si="29"/>
        <v>0</v>
      </c>
      <c r="L249" s="519">
        <f t="shared" si="31"/>
        <v>0</v>
      </c>
      <c r="M249" s="330">
        <f>L249*D249*VPI!Q249</f>
        <v>0</v>
      </c>
    </row>
    <row r="250" spans="1:13" x14ac:dyDescent="0.25">
      <c r="A250" s="173">
        <f>Données!A250</f>
        <v>5843</v>
      </c>
      <c r="B250" s="27" t="str">
        <f>Données!B250</f>
        <v>Rougemont</v>
      </c>
      <c r="C250" s="387">
        <f>VPI!R250</f>
        <v>100453.05146272083</v>
      </c>
      <c r="D250" s="27">
        <f>Données!Z250</f>
        <v>863</v>
      </c>
      <c r="E250" s="118">
        <f t="shared" si="30"/>
        <v>116.39982788264291</v>
      </c>
      <c r="F250" s="206">
        <f t="shared" si="24"/>
        <v>2.5210240746000787</v>
      </c>
      <c r="G250" s="517">
        <f t="shared" si="25"/>
        <v>70.228183170718481</v>
      </c>
      <c r="H250" s="517">
        <f t="shared" si="26"/>
        <v>60.993854228333596</v>
      </c>
      <c r="I250" s="517">
        <f t="shared" si="27"/>
        <v>47.142360814756273</v>
      </c>
      <c r="J250" s="517">
        <f t="shared" si="28"/>
        <v>24.056538458794051</v>
      </c>
      <c r="K250" s="517">
        <f t="shared" si="29"/>
        <v>0</v>
      </c>
      <c r="L250" s="519">
        <f t="shared" si="31"/>
        <v>27.264911984332088</v>
      </c>
      <c r="M250" s="330">
        <f>L250*D250*VPI!Q250</f>
        <v>1741191.8091434159</v>
      </c>
    </row>
    <row r="251" spans="1:13" x14ac:dyDescent="0.25">
      <c r="A251" s="173">
        <f>Données!A251</f>
        <v>5851</v>
      </c>
      <c r="B251" s="27" t="str">
        <f>Données!B251</f>
        <v>Allaman</v>
      </c>
      <c r="C251" s="387">
        <f>VPI!R251</f>
        <v>24279.81507965273</v>
      </c>
      <c r="D251" s="27">
        <f>Données!Z251</f>
        <v>443</v>
      </c>
      <c r="E251" s="118">
        <f t="shared" si="30"/>
        <v>54.807708983414742</v>
      </c>
      <c r="F251" s="206">
        <f t="shared" si="24"/>
        <v>1.1870425956314252</v>
      </c>
      <c r="G251" s="517">
        <f t="shared" si="25"/>
        <v>8.6360642714903122</v>
      </c>
      <c r="H251" s="517">
        <f t="shared" si="26"/>
        <v>0</v>
      </c>
      <c r="I251" s="517">
        <f t="shared" si="27"/>
        <v>0</v>
      </c>
      <c r="J251" s="517">
        <f t="shared" si="28"/>
        <v>0</v>
      </c>
      <c r="K251" s="517">
        <f t="shared" si="29"/>
        <v>0</v>
      </c>
      <c r="L251" s="519">
        <f t="shared" si="31"/>
        <v>1.7272128542980625</v>
      </c>
      <c r="M251" s="330">
        <f>L251*D251*VPI!Q251</f>
        <v>45909.317667242503</v>
      </c>
    </row>
    <row r="252" spans="1:13" x14ac:dyDescent="0.25">
      <c r="A252" s="173">
        <f>Données!A252</f>
        <v>5852</v>
      </c>
      <c r="B252" s="27" t="str">
        <f>Données!B252</f>
        <v>Bursinel</v>
      </c>
      <c r="C252" s="387">
        <f>VPI!R252</f>
        <v>40701.690718752099</v>
      </c>
      <c r="D252" s="27">
        <f>Données!Z252</f>
        <v>491</v>
      </c>
      <c r="E252" s="118">
        <f t="shared" si="30"/>
        <v>82.895500445523624</v>
      </c>
      <c r="F252" s="206">
        <f t="shared" si="24"/>
        <v>1.7953768154183769</v>
      </c>
      <c r="G252" s="517">
        <f t="shared" si="25"/>
        <v>36.723855733599194</v>
      </c>
      <c r="H252" s="517">
        <f t="shared" si="26"/>
        <v>27.48952679121431</v>
      </c>
      <c r="I252" s="517">
        <f t="shared" si="27"/>
        <v>13.638033377636987</v>
      </c>
      <c r="J252" s="517">
        <f t="shared" si="28"/>
        <v>0</v>
      </c>
      <c r="K252" s="517">
        <f t="shared" si="29"/>
        <v>0</v>
      </c>
      <c r="L252" s="519">
        <f t="shared" si="31"/>
        <v>11.457527163604968</v>
      </c>
      <c r="M252" s="330">
        <f>L252*D252*VPI!Q252</f>
        <v>368479.80234511755</v>
      </c>
    </row>
    <row r="253" spans="1:13" x14ac:dyDescent="0.25">
      <c r="A253" s="173">
        <f>Données!A253</f>
        <v>5853</v>
      </c>
      <c r="B253" s="27" t="str">
        <f>Données!B253</f>
        <v>Bursins</v>
      </c>
      <c r="C253" s="387">
        <f>VPI!R253</f>
        <v>41997.209489150475</v>
      </c>
      <c r="D253" s="27">
        <f>Données!Z253</f>
        <v>773</v>
      </c>
      <c r="E253" s="118">
        <f t="shared" si="30"/>
        <v>54.330154578461155</v>
      </c>
      <c r="F253" s="206">
        <f t="shared" si="24"/>
        <v>1.1766995721603499</v>
      </c>
      <c r="G253" s="517">
        <f t="shared" si="25"/>
        <v>8.1585098665367255</v>
      </c>
      <c r="H253" s="517">
        <f t="shared" si="26"/>
        <v>0</v>
      </c>
      <c r="I253" s="517">
        <f t="shared" si="27"/>
        <v>0</v>
      </c>
      <c r="J253" s="517">
        <f t="shared" si="28"/>
        <v>0</v>
      </c>
      <c r="K253" s="517">
        <f t="shared" si="29"/>
        <v>0</v>
      </c>
      <c r="L253" s="519">
        <f t="shared" si="31"/>
        <v>1.6317019733073452</v>
      </c>
      <c r="M253" s="330">
        <f>L253*D253*VPI!Q253</f>
        <v>89552.699401027028</v>
      </c>
    </row>
    <row r="254" spans="1:13" x14ac:dyDescent="0.25">
      <c r="A254" s="173">
        <f>Données!A254</f>
        <v>5854</v>
      </c>
      <c r="B254" s="27" t="str">
        <f>Données!B254</f>
        <v>Burtigny</v>
      </c>
      <c r="C254" s="387">
        <f>VPI!R254</f>
        <v>10782.892174980714</v>
      </c>
      <c r="D254" s="27">
        <f>Données!Z254</f>
        <v>404</v>
      </c>
      <c r="E254" s="118">
        <f t="shared" si="30"/>
        <v>26.690327165793846</v>
      </c>
      <c r="F254" s="206">
        <f t="shared" si="24"/>
        <v>0.57806749862000739</v>
      </c>
      <c r="G254" s="517">
        <f t="shared" si="25"/>
        <v>0</v>
      </c>
      <c r="H254" s="517">
        <f t="shared" si="26"/>
        <v>0</v>
      </c>
      <c r="I254" s="517">
        <f t="shared" si="27"/>
        <v>0</v>
      </c>
      <c r="J254" s="517">
        <f t="shared" si="28"/>
        <v>0</v>
      </c>
      <c r="K254" s="517">
        <f t="shared" si="29"/>
        <v>0</v>
      </c>
      <c r="L254" s="519">
        <f t="shared" si="31"/>
        <v>0</v>
      </c>
      <c r="M254" s="330">
        <f>L254*D254*VPI!Q254</f>
        <v>0</v>
      </c>
    </row>
    <row r="255" spans="1:13" x14ac:dyDescent="0.25">
      <c r="A255" s="173">
        <f>Données!A255</f>
        <v>5855</v>
      </c>
      <c r="B255" s="27" t="str">
        <f>Données!B255</f>
        <v>Dully</v>
      </c>
      <c r="C255" s="387">
        <f>VPI!R255</f>
        <v>98130.783845823462</v>
      </c>
      <c r="D255" s="27">
        <f>Données!Z255</f>
        <v>628</v>
      </c>
      <c r="E255" s="118">
        <f t="shared" si="30"/>
        <v>156.25920994557876</v>
      </c>
      <c r="F255" s="206">
        <f t="shared" si="24"/>
        <v>3.3843111052360406</v>
      </c>
      <c r="G255" s="517">
        <f t="shared" si="25"/>
        <v>110.08756523365433</v>
      </c>
      <c r="H255" s="517">
        <f t="shared" si="26"/>
        <v>100.85323629126944</v>
      </c>
      <c r="I255" s="517">
        <f t="shared" si="27"/>
        <v>87.001742877692124</v>
      </c>
      <c r="J255" s="517">
        <f t="shared" si="28"/>
        <v>63.915920521729902</v>
      </c>
      <c r="K255" s="517">
        <f t="shared" si="29"/>
        <v>17.744275809805487</v>
      </c>
      <c r="L255" s="519">
        <f t="shared" si="31"/>
        <v>48.969030596780563</v>
      </c>
      <c r="M255" s="330">
        <f>L255*D255*VPI!Q255</f>
        <v>1506875.0095241314</v>
      </c>
    </row>
    <row r="256" spans="1:13" x14ac:dyDescent="0.25">
      <c r="A256" s="173">
        <f>Données!A256</f>
        <v>5856</v>
      </c>
      <c r="B256" s="27" t="str">
        <f>Données!B256</f>
        <v>Essertines-sur-Rolle</v>
      </c>
      <c r="C256" s="387">
        <f>VPI!R256</f>
        <v>35711.178597082457</v>
      </c>
      <c r="D256" s="27">
        <f>Données!Z256</f>
        <v>740</v>
      </c>
      <c r="E256" s="118">
        <f t="shared" si="30"/>
        <v>48.258349455516836</v>
      </c>
      <c r="F256" s="206">
        <f t="shared" si="24"/>
        <v>1.0451945075080569</v>
      </c>
      <c r="G256" s="517">
        <f t="shared" si="25"/>
        <v>2.0867047435924064</v>
      </c>
      <c r="H256" s="517">
        <f t="shared" si="26"/>
        <v>0</v>
      </c>
      <c r="I256" s="517">
        <f t="shared" si="27"/>
        <v>0</v>
      </c>
      <c r="J256" s="517">
        <f t="shared" si="28"/>
        <v>0</v>
      </c>
      <c r="K256" s="517">
        <f t="shared" si="29"/>
        <v>0</v>
      </c>
      <c r="L256" s="519">
        <f t="shared" si="31"/>
        <v>0.41734094871848132</v>
      </c>
      <c r="M256" s="330">
        <f>L256*D256*VPI!Q256</f>
        <v>20537.348086436465</v>
      </c>
    </row>
    <row r="257" spans="1:13" x14ac:dyDescent="0.25">
      <c r="A257" s="173">
        <f>Données!A257</f>
        <v>5857</v>
      </c>
      <c r="B257" s="27" t="str">
        <f>Données!B257</f>
        <v>Gilly</v>
      </c>
      <c r="C257" s="387">
        <f>VPI!R257</f>
        <v>82138.568992248052</v>
      </c>
      <c r="D257" s="27">
        <f>Données!Z257</f>
        <v>1428</v>
      </c>
      <c r="E257" s="118">
        <f t="shared" si="30"/>
        <v>57.520006297092472</v>
      </c>
      <c r="F257" s="206">
        <f t="shared" si="24"/>
        <v>1.2457863837420802</v>
      </c>
      <c r="G257" s="517">
        <f t="shared" si="25"/>
        <v>11.348361585168043</v>
      </c>
      <c r="H257" s="517">
        <f t="shared" si="26"/>
        <v>2.1140326427831582</v>
      </c>
      <c r="I257" s="517">
        <f t="shared" si="27"/>
        <v>0</v>
      </c>
      <c r="J257" s="517">
        <f t="shared" si="28"/>
        <v>0</v>
      </c>
      <c r="K257" s="517">
        <f t="shared" si="29"/>
        <v>0</v>
      </c>
      <c r="L257" s="519">
        <f t="shared" si="31"/>
        <v>2.4810755813119245</v>
      </c>
      <c r="M257" s="330">
        <f>L257*D257*VPI!Q257</f>
        <v>228521.9474923161</v>
      </c>
    </row>
    <row r="258" spans="1:13" x14ac:dyDescent="0.25">
      <c r="A258" s="173">
        <f>Données!A258</f>
        <v>5858</v>
      </c>
      <c r="B258" s="27" t="str">
        <f>Données!B258</f>
        <v>Luins</v>
      </c>
      <c r="C258" s="387">
        <f>VPI!R258</f>
        <v>40277.440146315326</v>
      </c>
      <c r="D258" s="27">
        <f>Données!Z258</f>
        <v>619</v>
      </c>
      <c r="E258" s="118">
        <f t="shared" si="30"/>
        <v>65.0685624334658</v>
      </c>
      <c r="F258" s="206">
        <f t="shared" si="24"/>
        <v>1.4092753862125469</v>
      </c>
      <c r="G258" s="517">
        <f t="shared" si="25"/>
        <v>18.896917721541371</v>
      </c>
      <c r="H258" s="517">
        <f t="shared" si="26"/>
        <v>9.6625887791564864</v>
      </c>
      <c r="I258" s="517">
        <f t="shared" si="27"/>
        <v>0</v>
      </c>
      <c r="J258" s="517">
        <f t="shared" si="28"/>
        <v>0</v>
      </c>
      <c r="K258" s="517">
        <f t="shared" si="29"/>
        <v>0</v>
      </c>
      <c r="L258" s="519">
        <f t="shared" si="31"/>
        <v>4.7456424222239226</v>
      </c>
      <c r="M258" s="330">
        <f>L258*D258*VPI!Q258</f>
        <v>171846.83057236159</v>
      </c>
    </row>
    <row r="259" spans="1:13" x14ac:dyDescent="0.25">
      <c r="A259" s="173">
        <f>Données!A259</f>
        <v>5859</v>
      </c>
      <c r="B259" s="27" t="str">
        <f>Données!B259</f>
        <v>Mont-sur-Rolle</v>
      </c>
      <c r="C259" s="387">
        <f>VPI!R259</f>
        <v>146440.66164065379</v>
      </c>
      <c r="D259" s="27">
        <f>Données!Z259</f>
        <v>2646</v>
      </c>
      <c r="E259" s="118">
        <f t="shared" si="30"/>
        <v>55.344165397072487</v>
      </c>
      <c r="F259" s="206">
        <f t="shared" si="24"/>
        <v>1.1986613373289501</v>
      </c>
      <c r="G259" s="517">
        <f t="shared" si="25"/>
        <v>9.1725206851480579</v>
      </c>
      <c r="H259" s="517">
        <f t="shared" si="26"/>
        <v>0</v>
      </c>
      <c r="I259" s="517">
        <f t="shared" si="27"/>
        <v>0</v>
      </c>
      <c r="J259" s="517">
        <f t="shared" si="28"/>
        <v>0</v>
      </c>
      <c r="K259" s="517">
        <f t="shared" si="29"/>
        <v>0</v>
      </c>
      <c r="L259" s="519">
        <f t="shared" si="31"/>
        <v>1.8345041370296116</v>
      </c>
      <c r="M259" s="330">
        <f>L259*D259*VPI!Q259</f>
        <v>308235.21960785234</v>
      </c>
    </row>
    <row r="260" spans="1:13" x14ac:dyDescent="0.25">
      <c r="A260" s="173">
        <f>Données!A260</f>
        <v>5860</v>
      </c>
      <c r="B260" s="27" t="str">
        <f>Données!B260</f>
        <v>Perroy</v>
      </c>
      <c r="C260" s="387">
        <f>VPI!R260</f>
        <v>110194.28576674461</v>
      </c>
      <c r="D260" s="27">
        <f>Données!Z260</f>
        <v>1518</v>
      </c>
      <c r="E260" s="118">
        <f t="shared" si="30"/>
        <v>72.591756104574841</v>
      </c>
      <c r="F260" s="206">
        <f t="shared" si="24"/>
        <v>1.5722150804350072</v>
      </c>
      <c r="G260" s="517">
        <f t="shared" si="25"/>
        <v>26.420111392650412</v>
      </c>
      <c r="H260" s="517">
        <f t="shared" si="26"/>
        <v>17.185782450265528</v>
      </c>
      <c r="I260" s="517">
        <f t="shared" si="27"/>
        <v>3.3342890366882045</v>
      </c>
      <c r="J260" s="517">
        <f t="shared" si="28"/>
        <v>0</v>
      </c>
      <c r="K260" s="517">
        <f t="shared" si="29"/>
        <v>0</v>
      </c>
      <c r="L260" s="519">
        <f t="shared" si="31"/>
        <v>7.3360294272254558</v>
      </c>
      <c r="M260" s="330">
        <f>L260*D260*VPI!Q260</f>
        <v>651461.42122590216</v>
      </c>
    </row>
    <row r="261" spans="1:13" x14ac:dyDescent="0.25">
      <c r="A261" s="173">
        <f>Données!A261</f>
        <v>5861</v>
      </c>
      <c r="B261" s="27" t="str">
        <f>Données!B261</f>
        <v>Rolle</v>
      </c>
      <c r="C261" s="387">
        <f>VPI!R261</f>
        <v>663825.23287759279</v>
      </c>
      <c r="D261" s="27">
        <f>Données!Z261</f>
        <v>6259</v>
      </c>
      <c r="E261" s="118">
        <f t="shared" si="30"/>
        <v>106.05931185134891</v>
      </c>
      <c r="F261" s="206">
        <f t="shared" si="24"/>
        <v>2.2970659267842306</v>
      </c>
      <c r="G261" s="517">
        <f t="shared" si="25"/>
        <v>59.88766713942448</v>
      </c>
      <c r="H261" s="517">
        <f t="shared" si="26"/>
        <v>50.653338197039595</v>
      </c>
      <c r="I261" s="517">
        <f t="shared" si="27"/>
        <v>36.801844783462272</v>
      </c>
      <c r="J261" s="517">
        <f t="shared" si="28"/>
        <v>13.71602242750005</v>
      </c>
      <c r="K261" s="517">
        <f t="shared" si="29"/>
        <v>0</v>
      </c>
      <c r="L261" s="519">
        <f t="shared" si="31"/>
        <v>22.094653968685087</v>
      </c>
      <c r="M261" s="330">
        <f>L261*D261*VPI!Q261</f>
        <v>8228281.1318049971</v>
      </c>
    </row>
    <row r="262" spans="1:13" x14ac:dyDescent="0.25">
      <c r="A262" s="173">
        <f>Données!A262</f>
        <v>5862</v>
      </c>
      <c r="B262" s="27" t="str">
        <f>Données!B262</f>
        <v>Tartegnin</v>
      </c>
      <c r="C262" s="387">
        <f>VPI!R262</f>
        <v>8093.970937390457</v>
      </c>
      <c r="D262" s="27">
        <f>Données!Z262</f>
        <v>236</v>
      </c>
      <c r="E262" s="118">
        <f t="shared" si="30"/>
        <v>34.296487022840921</v>
      </c>
      <c r="F262" s="206">
        <f t="shared" ref="F262:F305" si="32">E262/$E$306</f>
        <v>0.74280410058651014</v>
      </c>
      <c r="G262" s="517">
        <f t="shared" ref="G262:G305" si="33">IF(E262-$G$3&lt;0,0,E262-$G$3)</f>
        <v>0</v>
      </c>
      <c r="H262" s="517">
        <f t="shared" ref="H262:H305" si="34">IF(E262-$H$3&lt;0,0,E262-$H$3)</f>
        <v>0</v>
      </c>
      <c r="I262" s="517">
        <f t="shared" ref="I262:I305" si="35">IF(E262-$I$3&lt;0,0,E262-$I$3)</f>
        <v>0</v>
      </c>
      <c r="J262" s="517">
        <f t="shared" ref="J262:J305" si="36">IF(E262-$J$3&lt;0,0,E262-$J$3)</f>
        <v>0</v>
      </c>
      <c r="K262" s="517">
        <f t="shared" ref="K262:K305" si="37">IF(E262-$K$3&lt;0,0,E262-$K$3)</f>
        <v>0</v>
      </c>
      <c r="L262" s="519">
        <f t="shared" si="31"/>
        <v>0</v>
      </c>
      <c r="M262" s="330">
        <f>L262*D262*VPI!Q262</f>
        <v>0</v>
      </c>
    </row>
    <row r="263" spans="1:13" x14ac:dyDescent="0.25">
      <c r="A263" s="173">
        <f>Données!A263</f>
        <v>5863</v>
      </c>
      <c r="B263" s="27" t="str">
        <f>Données!B263</f>
        <v>Vinzel</v>
      </c>
      <c r="C263" s="387">
        <f>VPI!R263</f>
        <v>21922.221840386148</v>
      </c>
      <c r="D263" s="27">
        <f>Données!Z263</f>
        <v>385</v>
      </c>
      <c r="E263" s="118">
        <f t="shared" ref="E263:E305" si="38">C263/D263</f>
        <v>56.940835949054929</v>
      </c>
      <c r="F263" s="206">
        <f t="shared" si="32"/>
        <v>1.233242530222217</v>
      </c>
      <c r="G263" s="517">
        <f t="shared" si="33"/>
        <v>10.769191237130499</v>
      </c>
      <c r="H263" s="517">
        <f t="shared" si="34"/>
        <v>1.534862294745615</v>
      </c>
      <c r="I263" s="517">
        <f t="shared" si="35"/>
        <v>0</v>
      </c>
      <c r="J263" s="517">
        <f t="shared" si="36"/>
        <v>0</v>
      </c>
      <c r="K263" s="517">
        <f t="shared" si="37"/>
        <v>0</v>
      </c>
      <c r="L263" s="519">
        <f t="shared" ref="L263:L305" si="39">(G263-H263)*$G$4+(H263-I263)*$H$4+(I263-J263)*$I$4+(J263-K263)*$J$4+(K263*$K$4)</f>
        <v>2.3073244769006616</v>
      </c>
      <c r="M263" s="330">
        <f>L263*D263*VPI!Q263</f>
        <v>59517.434881652567</v>
      </c>
    </row>
    <row r="264" spans="1:13" x14ac:dyDescent="0.25">
      <c r="A264" s="173">
        <f>Données!A264</f>
        <v>5871</v>
      </c>
      <c r="B264" s="27" t="str">
        <f>Données!B264</f>
        <v>L'Abbaye</v>
      </c>
      <c r="C264" s="387">
        <f>VPI!R264</f>
        <v>49484.284679945325</v>
      </c>
      <c r="D264" s="27">
        <f>Données!Z264</f>
        <v>1473</v>
      </c>
      <c r="E264" s="118">
        <f t="shared" si="38"/>
        <v>33.594219063099338</v>
      </c>
      <c r="F264" s="206">
        <f t="shared" si="32"/>
        <v>0.72759416028390245</v>
      </c>
      <c r="G264" s="517">
        <f t="shared" si="33"/>
        <v>0</v>
      </c>
      <c r="H264" s="517">
        <f t="shared" si="34"/>
        <v>0</v>
      </c>
      <c r="I264" s="517">
        <f t="shared" si="35"/>
        <v>0</v>
      </c>
      <c r="J264" s="517">
        <f t="shared" si="36"/>
        <v>0</v>
      </c>
      <c r="K264" s="517">
        <f t="shared" si="37"/>
        <v>0</v>
      </c>
      <c r="L264" s="519">
        <f t="shared" si="39"/>
        <v>0</v>
      </c>
      <c r="M264" s="330">
        <f>L264*D264*VPI!Q264</f>
        <v>0</v>
      </c>
    </row>
    <row r="265" spans="1:13" x14ac:dyDescent="0.25">
      <c r="A265" s="173">
        <f>Données!A265</f>
        <v>5872</v>
      </c>
      <c r="B265" s="27" t="str">
        <f>Données!B265</f>
        <v>Le Chenit</v>
      </c>
      <c r="C265" s="387">
        <f>VPI!R265</f>
        <v>234098.82523259622</v>
      </c>
      <c r="D265" s="27">
        <f>Données!Z265</f>
        <v>4600</v>
      </c>
      <c r="E265" s="118">
        <f t="shared" si="38"/>
        <v>50.891048963607872</v>
      </c>
      <c r="F265" s="206">
        <f t="shared" si="32"/>
        <v>1.1022143413155172</v>
      </c>
      <c r="G265" s="517">
        <f t="shared" si="33"/>
        <v>4.7194042516834429</v>
      </c>
      <c r="H265" s="517">
        <f t="shared" si="34"/>
        <v>0</v>
      </c>
      <c r="I265" s="517">
        <f t="shared" si="35"/>
        <v>0</v>
      </c>
      <c r="J265" s="517">
        <f t="shared" si="36"/>
        <v>0</v>
      </c>
      <c r="K265" s="517">
        <f t="shared" si="37"/>
        <v>0</v>
      </c>
      <c r="L265" s="519">
        <f t="shared" si="39"/>
        <v>0.94388085033668867</v>
      </c>
      <c r="M265" s="330">
        <f>L265*D265*VPI!Q265</f>
        <v>290686.98547819001</v>
      </c>
    </row>
    <row r="266" spans="1:13" x14ac:dyDescent="0.25">
      <c r="A266" s="173">
        <f>Données!A266</f>
        <v>5873</v>
      </c>
      <c r="B266" s="27" t="str">
        <f>Données!B266</f>
        <v>Le Lieu</v>
      </c>
      <c r="C266" s="387">
        <f>VPI!R266</f>
        <v>30412.639654224466</v>
      </c>
      <c r="D266" s="27">
        <f>Données!Z266</f>
        <v>888</v>
      </c>
      <c r="E266" s="118">
        <f t="shared" si="38"/>
        <v>34.248468079081604</v>
      </c>
      <c r="F266" s="206">
        <f t="shared" si="32"/>
        <v>0.74176409120285225</v>
      </c>
      <c r="G266" s="517">
        <f t="shared" si="33"/>
        <v>0</v>
      </c>
      <c r="H266" s="517">
        <f t="shared" si="34"/>
        <v>0</v>
      </c>
      <c r="I266" s="517">
        <f t="shared" si="35"/>
        <v>0</v>
      </c>
      <c r="J266" s="517">
        <f t="shared" si="36"/>
        <v>0</v>
      </c>
      <c r="K266" s="517">
        <f t="shared" si="37"/>
        <v>0</v>
      </c>
      <c r="L266" s="519">
        <f t="shared" si="39"/>
        <v>0</v>
      </c>
      <c r="M266" s="330">
        <f>L266*D266*VPI!Q266</f>
        <v>0</v>
      </c>
    </row>
    <row r="267" spans="1:13" x14ac:dyDescent="0.25">
      <c r="A267" s="173">
        <f>Données!A267</f>
        <v>5882</v>
      </c>
      <c r="B267" s="27" t="str">
        <f>Données!B267</f>
        <v>Chardonne</v>
      </c>
      <c r="C267" s="387">
        <f>VPI!R267</f>
        <v>178990.25503852809</v>
      </c>
      <c r="D267" s="27">
        <f>Données!Z267</f>
        <v>3093</v>
      </c>
      <c r="E267" s="118">
        <f t="shared" si="38"/>
        <v>57.869464933245425</v>
      </c>
      <c r="F267" s="206">
        <f t="shared" si="32"/>
        <v>1.2533550687723256</v>
      </c>
      <c r="G267" s="517">
        <f t="shared" si="33"/>
        <v>11.697820221320995</v>
      </c>
      <c r="H267" s="517">
        <f t="shared" si="34"/>
        <v>2.463491278936111</v>
      </c>
      <c r="I267" s="517">
        <f t="shared" si="35"/>
        <v>0</v>
      </c>
      <c r="J267" s="517">
        <f t="shared" si="36"/>
        <v>0</v>
      </c>
      <c r="K267" s="517">
        <f t="shared" si="37"/>
        <v>0</v>
      </c>
      <c r="L267" s="519">
        <f t="shared" si="39"/>
        <v>2.5859131721578104</v>
      </c>
      <c r="M267" s="330">
        <f>L267*D267*VPI!Q267</f>
        <v>543879.60202091932</v>
      </c>
    </row>
    <row r="268" spans="1:13" x14ac:dyDescent="0.25">
      <c r="A268" s="173">
        <f>Données!A268</f>
        <v>5883</v>
      </c>
      <c r="B268" s="27" t="str">
        <f>Données!B268</f>
        <v>Corseaux</v>
      </c>
      <c r="C268" s="387">
        <f>VPI!R268</f>
        <v>167834.94979180559</v>
      </c>
      <c r="D268" s="27">
        <f>Données!Z268</f>
        <v>2311</v>
      </c>
      <c r="E268" s="118">
        <f t="shared" si="38"/>
        <v>72.624383293728073</v>
      </c>
      <c r="F268" s="206">
        <f t="shared" si="32"/>
        <v>1.5729217303574174</v>
      </c>
      <c r="G268" s="517">
        <f t="shared" si="33"/>
        <v>26.452738581803644</v>
      </c>
      <c r="H268" s="517">
        <f t="shared" si="34"/>
        <v>17.218409639418759</v>
      </c>
      <c r="I268" s="517">
        <f t="shared" si="35"/>
        <v>3.366916225841436</v>
      </c>
      <c r="J268" s="517">
        <f t="shared" si="36"/>
        <v>0</v>
      </c>
      <c r="K268" s="517">
        <f t="shared" si="37"/>
        <v>0</v>
      </c>
      <c r="L268" s="519">
        <f t="shared" si="39"/>
        <v>7.3490803028867484</v>
      </c>
      <c r="M268" s="330">
        <f>L268*D268*VPI!Q268</f>
        <v>1146401.4091480612</v>
      </c>
    </row>
    <row r="269" spans="1:13" x14ac:dyDescent="0.25">
      <c r="A269" s="173">
        <f>Données!A269</f>
        <v>5884</v>
      </c>
      <c r="B269" s="27" t="str">
        <f>Données!B269</f>
        <v>Corsier-sur-Vevey</v>
      </c>
      <c r="C269" s="387">
        <f>VPI!R269</f>
        <v>122060.78000997694</v>
      </c>
      <c r="D269" s="27">
        <f>Données!Z269</f>
        <v>3420</v>
      </c>
      <c r="E269" s="118">
        <f t="shared" si="38"/>
        <v>35.690286552624833</v>
      </c>
      <c r="F269" s="206">
        <f t="shared" si="32"/>
        <v>0.77299144908752515</v>
      </c>
      <c r="G269" s="517">
        <f t="shared" si="33"/>
        <v>0</v>
      </c>
      <c r="H269" s="517">
        <f t="shared" si="34"/>
        <v>0</v>
      </c>
      <c r="I269" s="517">
        <f t="shared" si="35"/>
        <v>0</v>
      </c>
      <c r="J269" s="517">
        <f t="shared" si="36"/>
        <v>0</v>
      </c>
      <c r="K269" s="517">
        <f t="shared" si="37"/>
        <v>0</v>
      </c>
      <c r="L269" s="519">
        <f t="shared" si="39"/>
        <v>0</v>
      </c>
      <c r="M269" s="330">
        <f>L269*D269*VPI!Q269</f>
        <v>0</v>
      </c>
    </row>
    <row r="270" spans="1:13" x14ac:dyDescent="0.25">
      <c r="A270" s="173">
        <f>Données!A270</f>
        <v>5885</v>
      </c>
      <c r="B270" s="27" t="str">
        <f>Données!B270</f>
        <v>Jongny</v>
      </c>
      <c r="C270" s="387">
        <f>VPI!R270</f>
        <v>85101.147065913159</v>
      </c>
      <c r="D270" s="27">
        <f>Données!Z270</f>
        <v>1670</v>
      </c>
      <c r="E270" s="118">
        <f t="shared" si="38"/>
        <v>50.958770698151589</v>
      </c>
      <c r="F270" s="206">
        <f t="shared" si="32"/>
        <v>1.1036810799375927</v>
      </c>
      <c r="G270" s="517">
        <f t="shared" si="33"/>
        <v>4.78712598622716</v>
      </c>
      <c r="H270" s="517">
        <f t="shared" si="34"/>
        <v>0</v>
      </c>
      <c r="I270" s="517">
        <f t="shared" si="35"/>
        <v>0</v>
      </c>
      <c r="J270" s="517">
        <f t="shared" si="36"/>
        <v>0</v>
      </c>
      <c r="K270" s="517">
        <f t="shared" si="37"/>
        <v>0</v>
      </c>
      <c r="L270" s="519">
        <f t="shared" si="39"/>
        <v>0.95742519724543207</v>
      </c>
      <c r="M270" s="330">
        <f>L270*D270*VPI!Q270</f>
        <v>111123.55551829108</v>
      </c>
    </row>
    <row r="271" spans="1:13" x14ac:dyDescent="0.25">
      <c r="A271" s="173">
        <f>Données!A271</f>
        <v>5886</v>
      </c>
      <c r="B271" s="27" t="str">
        <f>Données!B271</f>
        <v>Montreux</v>
      </c>
      <c r="C271" s="387">
        <f>VPI!R271</f>
        <v>1096049.6436560636</v>
      </c>
      <c r="D271" s="27">
        <f>Données!Z271</f>
        <v>26180</v>
      </c>
      <c r="E271" s="118">
        <f t="shared" si="38"/>
        <v>41.865914578153692</v>
      </c>
      <c r="F271" s="206">
        <f t="shared" si="32"/>
        <v>0.90674514281145535</v>
      </c>
      <c r="G271" s="517">
        <f t="shared" si="33"/>
        <v>0</v>
      </c>
      <c r="H271" s="517">
        <f t="shared" si="34"/>
        <v>0</v>
      </c>
      <c r="I271" s="517">
        <f t="shared" si="35"/>
        <v>0</v>
      </c>
      <c r="J271" s="517">
        <f t="shared" si="36"/>
        <v>0</v>
      </c>
      <c r="K271" s="517">
        <f t="shared" si="37"/>
        <v>0</v>
      </c>
      <c r="L271" s="519">
        <f t="shared" si="39"/>
        <v>0</v>
      </c>
      <c r="M271" s="330">
        <f>L271*D271*VPI!Q271</f>
        <v>0</v>
      </c>
    </row>
    <row r="272" spans="1:13" x14ac:dyDescent="0.25">
      <c r="A272" s="173">
        <f>Données!A272</f>
        <v>5889</v>
      </c>
      <c r="B272" s="27" t="str">
        <f>Données!B272</f>
        <v>La Tour-de-Peilz</v>
      </c>
      <c r="C272" s="387">
        <f>VPI!R272</f>
        <v>674464.00637600874</v>
      </c>
      <c r="D272" s="27">
        <f>Données!Z272</f>
        <v>12088</v>
      </c>
      <c r="E272" s="118">
        <f t="shared" si="38"/>
        <v>55.796162009927926</v>
      </c>
      <c r="F272" s="206">
        <f t="shared" si="32"/>
        <v>1.20845082210203</v>
      </c>
      <c r="G272" s="517">
        <f t="shared" si="33"/>
        <v>9.6245172980034965</v>
      </c>
      <c r="H272" s="517">
        <f t="shared" si="34"/>
        <v>0.39018835561861209</v>
      </c>
      <c r="I272" s="517">
        <f t="shared" si="35"/>
        <v>0</v>
      </c>
      <c r="J272" s="517">
        <f t="shared" si="36"/>
        <v>0</v>
      </c>
      <c r="K272" s="517">
        <f t="shared" si="37"/>
        <v>0</v>
      </c>
      <c r="L272" s="519">
        <f t="shared" si="39"/>
        <v>1.9639222951625606</v>
      </c>
      <c r="M272" s="330">
        <f>L272*D272*VPI!Q272</f>
        <v>1519353.1330512022</v>
      </c>
    </row>
    <row r="273" spans="1:13" x14ac:dyDescent="0.25">
      <c r="A273" s="173">
        <f>Données!A273</f>
        <v>5890</v>
      </c>
      <c r="B273" s="27" t="str">
        <f>Données!B273</f>
        <v>Vevey</v>
      </c>
      <c r="C273" s="387">
        <f>VPI!R273</f>
        <v>858874.45047675935</v>
      </c>
      <c r="D273" s="27">
        <f>Données!Z273</f>
        <v>19780</v>
      </c>
      <c r="E273" s="118">
        <f t="shared" si="38"/>
        <v>43.421357455852345</v>
      </c>
      <c r="F273" s="206">
        <f t="shared" si="32"/>
        <v>0.94043341377090284</v>
      </c>
      <c r="G273" s="517">
        <f t="shared" si="33"/>
        <v>0</v>
      </c>
      <c r="H273" s="517">
        <f t="shared" si="34"/>
        <v>0</v>
      </c>
      <c r="I273" s="517">
        <f t="shared" si="35"/>
        <v>0</v>
      </c>
      <c r="J273" s="517">
        <f t="shared" si="36"/>
        <v>0</v>
      </c>
      <c r="K273" s="517">
        <f t="shared" si="37"/>
        <v>0</v>
      </c>
      <c r="L273" s="519">
        <f t="shared" si="39"/>
        <v>0</v>
      </c>
      <c r="M273" s="330">
        <f>L273*D273*VPI!Q273</f>
        <v>0</v>
      </c>
    </row>
    <row r="274" spans="1:13" x14ac:dyDescent="0.25">
      <c r="A274" s="173">
        <f>Données!A274</f>
        <v>5891</v>
      </c>
      <c r="B274" s="27" t="str">
        <f>Données!B274</f>
        <v>Veytaux</v>
      </c>
      <c r="C274" s="387">
        <f>VPI!R274</f>
        <v>43940.417859726374</v>
      </c>
      <c r="D274" s="27">
        <f>Données!Z274</f>
        <v>956</v>
      </c>
      <c r="E274" s="118">
        <f t="shared" si="38"/>
        <v>45.962780187998298</v>
      </c>
      <c r="F274" s="206">
        <f t="shared" si="32"/>
        <v>0.99547634646265504</v>
      </c>
      <c r="G274" s="517">
        <f t="shared" si="33"/>
        <v>0</v>
      </c>
      <c r="H274" s="517">
        <f t="shared" si="34"/>
        <v>0</v>
      </c>
      <c r="I274" s="517">
        <f t="shared" si="35"/>
        <v>0</v>
      </c>
      <c r="J274" s="517">
        <f t="shared" si="36"/>
        <v>0</v>
      </c>
      <c r="K274" s="517">
        <f t="shared" si="37"/>
        <v>0</v>
      </c>
      <c r="L274" s="519">
        <f t="shared" si="39"/>
        <v>0</v>
      </c>
      <c r="M274" s="330">
        <f>L274*D274*VPI!Q274</f>
        <v>0</v>
      </c>
    </row>
    <row r="275" spans="1:13" x14ac:dyDescent="0.25">
      <c r="A275" s="173">
        <f>Données!A275</f>
        <v>5892</v>
      </c>
      <c r="B275" s="27" t="str">
        <f>Données!B275</f>
        <v>Blonay-Saint-Légier</v>
      </c>
      <c r="C275" s="387">
        <f>VPI!R275</f>
        <v>693176.17061999615</v>
      </c>
      <c r="D275" s="27">
        <f>Données!Z275</f>
        <v>11737</v>
      </c>
      <c r="E275" s="118">
        <f t="shared" si="38"/>
        <v>59.059058585668922</v>
      </c>
      <c r="F275" s="206">
        <f t="shared" si="32"/>
        <v>1.279119662168243</v>
      </c>
      <c r="G275" s="517">
        <f t="shared" si="33"/>
        <v>12.887413873744492</v>
      </c>
      <c r="H275" s="517">
        <f t="shared" si="34"/>
        <v>3.6530849313596079</v>
      </c>
      <c r="I275" s="517">
        <f t="shared" si="35"/>
        <v>0</v>
      </c>
      <c r="J275" s="517">
        <f t="shared" si="36"/>
        <v>0</v>
      </c>
      <c r="K275" s="517">
        <f t="shared" si="37"/>
        <v>0</v>
      </c>
      <c r="L275" s="519">
        <f t="shared" si="39"/>
        <v>2.9427912678848593</v>
      </c>
      <c r="M275" s="330">
        <f>L275*D275*VPI!Q275</f>
        <v>2365958.5661147749</v>
      </c>
    </row>
    <row r="276" spans="1:13" x14ac:dyDescent="0.25">
      <c r="A276" s="173">
        <f>Données!A276</f>
        <v>5902</v>
      </c>
      <c r="B276" s="27" t="str">
        <f>Données!B276</f>
        <v>Belmont-sur-Yverdon</v>
      </c>
      <c r="C276" s="387">
        <f>VPI!R276</f>
        <v>11718.07192496429</v>
      </c>
      <c r="D276" s="27">
        <f>Données!Z276</f>
        <v>396</v>
      </c>
      <c r="E276" s="118">
        <f t="shared" si="38"/>
        <v>29.591090719606793</v>
      </c>
      <c r="F276" s="206">
        <f t="shared" si="32"/>
        <v>0.6408931478233546</v>
      </c>
      <c r="G276" s="517">
        <f t="shared" si="33"/>
        <v>0</v>
      </c>
      <c r="H276" s="517">
        <f t="shared" si="34"/>
        <v>0</v>
      </c>
      <c r="I276" s="517">
        <f t="shared" si="35"/>
        <v>0</v>
      </c>
      <c r="J276" s="517">
        <f t="shared" si="36"/>
        <v>0</v>
      </c>
      <c r="K276" s="517">
        <f t="shared" si="37"/>
        <v>0</v>
      </c>
      <c r="L276" s="519">
        <f t="shared" si="39"/>
        <v>0</v>
      </c>
      <c r="M276" s="330">
        <f>L276*D276*VPI!Q276</f>
        <v>0</v>
      </c>
    </row>
    <row r="277" spans="1:13" x14ac:dyDescent="0.25">
      <c r="A277" s="173">
        <f>Données!A277</f>
        <v>5903</v>
      </c>
      <c r="B277" s="27" t="str">
        <f>Données!B277</f>
        <v>Bioley-Magnoux</v>
      </c>
      <c r="C277" s="387">
        <f>VPI!R277</f>
        <v>5023.7843849206347</v>
      </c>
      <c r="D277" s="27">
        <f>Données!Z277</f>
        <v>230</v>
      </c>
      <c r="E277" s="118">
        <f t="shared" si="38"/>
        <v>21.842540804002759</v>
      </c>
      <c r="F277" s="206">
        <f t="shared" si="32"/>
        <v>0.47307261719359195</v>
      </c>
      <c r="G277" s="517">
        <f t="shared" si="33"/>
        <v>0</v>
      </c>
      <c r="H277" s="517">
        <f t="shared" si="34"/>
        <v>0</v>
      </c>
      <c r="I277" s="517">
        <f t="shared" si="35"/>
        <v>0</v>
      </c>
      <c r="J277" s="517">
        <f t="shared" si="36"/>
        <v>0</v>
      </c>
      <c r="K277" s="517">
        <f t="shared" si="37"/>
        <v>0</v>
      </c>
      <c r="L277" s="519">
        <f t="shared" si="39"/>
        <v>0</v>
      </c>
      <c r="M277" s="330">
        <f>L277*D277*VPI!Q277</f>
        <v>0</v>
      </c>
    </row>
    <row r="278" spans="1:13" x14ac:dyDescent="0.25">
      <c r="A278" s="173">
        <f>Données!A278</f>
        <v>5904</v>
      </c>
      <c r="B278" s="27" t="str">
        <f>Données!B278</f>
        <v>Chamblon</v>
      </c>
      <c r="C278" s="387">
        <f>VPI!R278</f>
        <v>21692.89514545034</v>
      </c>
      <c r="D278" s="27">
        <f>Données!Z278</f>
        <v>559</v>
      </c>
      <c r="E278" s="118">
        <f t="shared" si="38"/>
        <v>38.806610278086474</v>
      </c>
      <c r="F278" s="206">
        <f t="shared" si="32"/>
        <v>0.84048576827206156</v>
      </c>
      <c r="G278" s="517">
        <f t="shared" si="33"/>
        <v>0</v>
      </c>
      <c r="H278" s="517">
        <f t="shared" si="34"/>
        <v>0</v>
      </c>
      <c r="I278" s="517">
        <f t="shared" si="35"/>
        <v>0</v>
      </c>
      <c r="J278" s="517">
        <f t="shared" si="36"/>
        <v>0</v>
      </c>
      <c r="K278" s="517">
        <f t="shared" si="37"/>
        <v>0</v>
      </c>
      <c r="L278" s="519">
        <f t="shared" si="39"/>
        <v>0</v>
      </c>
      <c r="M278" s="330">
        <f>L278*D278*VPI!Q278</f>
        <v>0</v>
      </c>
    </row>
    <row r="279" spans="1:13" x14ac:dyDescent="0.25">
      <c r="A279" s="173">
        <f>Données!A279</f>
        <v>5905</v>
      </c>
      <c r="B279" s="27" t="str">
        <f>Données!B279</f>
        <v>Champvent</v>
      </c>
      <c r="C279" s="387">
        <f>VPI!R279</f>
        <v>21633.757449586756</v>
      </c>
      <c r="D279" s="27">
        <f>Données!Z279</f>
        <v>696</v>
      </c>
      <c r="E279" s="118">
        <f t="shared" si="38"/>
        <v>31.082984841360283</v>
      </c>
      <c r="F279" s="206">
        <f t="shared" si="32"/>
        <v>0.67320505984342149</v>
      </c>
      <c r="G279" s="517">
        <f t="shared" si="33"/>
        <v>0</v>
      </c>
      <c r="H279" s="517">
        <f t="shared" si="34"/>
        <v>0</v>
      </c>
      <c r="I279" s="517">
        <f t="shared" si="35"/>
        <v>0</v>
      </c>
      <c r="J279" s="517">
        <f t="shared" si="36"/>
        <v>0</v>
      </c>
      <c r="K279" s="517">
        <f t="shared" si="37"/>
        <v>0</v>
      </c>
      <c r="L279" s="519">
        <f t="shared" si="39"/>
        <v>0</v>
      </c>
      <c r="M279" s="330">
        <f>L279*D279*VPI!Q279</f>
        <v>0</v>
      </c>
    </row>
    <row r="280" spans="1:13" x14ac:dyDescent="0.25">
      <c r="A280" s="173">
        <f>Données!A280</f>
        <v>5907</v>
      </c>
      <c r="B280" s="27" t="str">
        <f>Données!B280</f>
        <v>Chavannes-le-Chêne</v>
      </c>
      <c r="C280" s="387">
        <f>VPI!R280</f>
        <v>9890.8899187559018</v>
      </c>
      <c r="D280" s="27">
        <f>Données!Z280</f>
        <v>324</v>
      </c>
      <c r="E280" s="118">
        <f t="shared" si="38"/>
        <v>30.527438020851548</v>
      </c>
      <c r="F280" s="206">
        <f t="shared" si="32"/>
        <v>0.66117285211127508</v>
      </c>
      <c r="G280" s="517">
        <f t="shared" si="33"/>
        <v>0</v>
      </c>
      <c r="H280" s="517">
        <f t="shared" si="34"/>
        <v>0</v>
      </c>
      <c r="I280" s="517">
        <f t="shared" si="35"/>
        <v>0</v>
      </c>
      <c r="J280" s="517">
        <f t="shared" si="36"/>
        <v>0</v>
      </c>
      <c r="K280" s="517">
        <f t="shared" si="37"/>
        <v>0</v>
      </c>
      <c r="L280" s="519">
        <f t="shared" si="39"/>
        <v>0</v>
      </c>
      <c r="M280" s="330">
        <f>L280*D280*VPI!Q280</f>
        <v>0</v>
      </c>
    </row>
    <row r="281" spans="1:13" x14ac:dyDescent="0.25">
      <c r="A281" s="173">
        <f>Données!A281</f>
        <v>5908</v>
      </c>
      <c r="B281" s="27" t="str">
        <f>Données!B281</f>
        <v>Chêne-Pâquier</v>
      </c>
      <c r="C281" s="387">
        <f>VPI!R281</f>
        <v>6502.346088577403</v>
      </c>
      <c r="D281" s="27">
        <f>Données!Z281</f>
        <v>144</v>
      </c>
      <c r="E281" s="118">
        <f t="shared" si="38"/>
        <v>45.155181170676407</v>
      </c>
      <c r="F281" s="206">
        <f t="shared" si="32"/>
        <v>0.97798511299326729</v>
      </c>
      <c r="G281" s="517">
        <f t="shared" si="33"/>
        <v>0</v>
      </c>
      <c r="H281" s="517">
        <f t="shared" si="34"/>
        <v>0</v>
      </c>
      <c r="I281" s="517">
        <f t="shared" si="35"/>
        <v>0</v>
      </c>
      <c r="J281" s="517">
        <f t="shared" si="36"/>
        <v>0</v>
      </c>
      <c r="K281" s="517">
        <f t="shared" si="37"/>
        <v>0</v>
      </c>
      <c r="L281" s="519">
        <f t="shared" si="39"/>
        <v>0</v>
      </c>
      <c r="M281" s="330">
        <f>L281*D281*VPI!Q281</f>
        <v>0</v>
      </c>
    </row>
    <row r="282" spans="1:13" x14ac:dyDescent="0.25">
      <c r="A282" s="173">
        <f>Données!A282</f>
        <v>5909</v>
      </c>
      <c r="B282" s="27" t="str">
        <f>Données!B282</f>
        <v>Cheseaux-Noréaz</v>
      </c>
      <c r="C282" s="387">
        <f>VPI!R282</f>
        <v>39252.843107523055</v>
      </c>
      <c r="D282" s="27">
        <f>Données!Z282</f>
        <v>741</v>
      </c>
      <c r="E282" s="118">
        <f t="shared" si="38"/>
        <v>52.972797715955537</v>
      </c>
      <c r="F282" s="206">
        <f t="shared" si="32"/>
        <v>1.1473015104067674</v>
      </c>
      <c r="G282" s="517">
        <f t="shared" si="33"/>
        <v>6.8011530040311072</v>
      </c>
      <c r="H282" s="517">
        <f t="shared" si="34"/>
        <v>0</v>
      </c>
      <c r="I282" s="517">
        <f t="shared" si="35"/>
        <v>0</v>
      </c>
      <c r="J282" s="517">
        <f t="shared" si="36"/>
        <v>0</v>
      </c>
      <c r="K282" s="517">
        <f t="shared" si="37"/>
        <v>0</v>
      </c>
      <c r="L282" s="519">
        <f t="shared" si="39"/>
        <v>1.3602306008062215</v>
      </c>
      <c r="M282" s="330">
        <f>L282*D282*VPI!Q282</f>
        <v>67531.368638226486</v>
      </c>
    </row>
    <row r="283" spans="1:13" x14ac:dyDescent="0.25">
      <c r="A283" s="173">
        <f>Données!A283</f>
        <v>5910</v>
      </c>
      <c r="B283" s="27" t="str">
        <f>Données!B283</f>
        <v>Cronay</v>
      </c>
      <c r="C283" s="387">
        <f>VPI!R283</f>
        <v>9974.6879714090483</v>
      </c>
      <c r="D283" s="27">
        <f>Données!Z283</f>
        <v>393</v>
      </c>
      <c r="E283" s="118">
        <f t="shared" si="38"/>
        <v>25.380885423432694</v>
      </c>
      <c r="F283" s="206">
        <f t="shared" si="32"/>
        <v>0.54970719760558473</v>
      </c>
      <c r="G283" s="517">
        <f t="shared" si="33"/>
        <v>0</v>
      </c>
      <c r="H283" s="517">
        <f t="shared" si="34"/>
        <v>0</v>
      </c>
      <c r="I283" s="517">
        <f t="shared" si="35"/>
        <v>0</v>
      </c>
      <c r="J283" s="517">
        <f t="shared" si="36"/>
        <v>0</v>
      </c>
      <c r="K283" s="517">
        <f t="shared" si="37"/>
        <v>0</v>
      </c>
      <c r="L283" s="519">
        <f t="shared" si="39"/>
        <v>0</v>
      </c>
      <c r="M283" s="330">
        <f>L283*D283*VPI!Q283</f>
        <v>0</v>
      </c>
    </row>
    <row r="284" spans="1:13" x14ac:dyDescent="0.25">
      <c r="A284" s="173">
        <f>Données!A284</f>
        <v>5911</v>
      </c>
      <c r="B284" s="27" t="str">
        <f>Données!B284</f>
        <v>Cuarny</v>
      </c>
      <c r="C284" s="387">
        <f>VPI!R284</f>
        <v>6938.982891321557</v>
      </c>
      <c r="D284" s="27">
        <f>Données!Z284</f>
        <v>234</v>
      </c>
      <c r="E284" s="118">
        <f t="shared" si="38"/>
        <v>29.653773039835713</v>
      </c>
      <c r="F284" s="206">
        <f t="shared" si="32"/>
        <v>0.64225074122553927</v>
      </c>
      <c r="G284" s="517">
        <f t="shared" si="33"/>
        <v>0</v>
      </c>
      <c r="H284" s="517">
        <f t="shared" si="34"/>
        <v>0</v>
      </c>
      <c r="I284" s="517">
        <f t="shared" si="35"/>
        <v>0</v>
      </c>
      <c r="J284" s="517">
        <f t="shared" si="36"/>
        <v>0</v>
      </c>
      <c r="K284" s="517">
        <f t="shared" si="37"/>
        <v>0</v>
      </c>
      <c r="L284" s="519">
        <f t="shared" si="39"/>
        <v>0</v>
      </c>
      <c r="M284" s="330">
        <f>L284*D284*VPI!Q284</f>
        <v>0</v>
      </c>
    </row>
    <row r="285" spans="1:13" x14ac:dyDescent="0.25">
      <c r="A285" s="173">
        <f>Données!A285</f>
        <v>5912</v>
      </c>
      <c r="B285" s="27" t="str">
        <f>Données!B285</f>
        <v>Démoret</v>
      </c>
      <c r="C285" s="387">
        <f>VPI!R285</f>
        <v>4068.1026902439612</v>
      </c>
      <c r="D285" s="27">
        <f>Données!Z285</f>
        <v>158</v>
      </c>
      <c r="E285" s="118">
        <f t="shared" si="38"/>
        <v>25.747485381290893</v>
      </c>
      <c r="F285" s="206">
        <f t="shared" si="32"/>
        <v>0.55764713477146877</v>
      </c>
      <c r="G285" s="517">
        <f t="shared" si="33"/>
        <v>0</v>
      </c>
      <c r="H285" s="517">
        <f t="shared" si="34"/>
        <v>0</v>
      </c>
      <c r="I285" s="517">
        <f t="shared" si="35"/>
        <v>0</v>
      </c>
      <c r="J285" s="517">
        <f t="shared" si="36"/>
        <v>0</v>
      </c>
      <c r="K285" s="517">
        <f t="shared" si="37"/>
        <v>0</v>
      </c>
      <c r="L285" s="519">
        <f t="shared" si="39"/>
        <v>0</v>
      </c>
      <c r="M285" s="330">
        <f>L285*D285*VPI!Q285</f>
        <v>0</v>
      </c>
    </row>
    <row r="286" spans="1:13" x14ac:dyDescent="0.25">
      <c r="A286" s="173">
        <f>Données!A286</f>
        <v>5913</v>
      </c>
      <c r="B286" s="27" t="str">
        <f>Données!B286</f>
        <v>Donneloye</v>
      </c>
      <c r="C286" s="387">
        <f>VPI!R286</f>
        <v>19877.397448309883</v>
      </c>
      <c r="D286" s="27">
        <f>Données!Z286</f>
        <v>829</v>
      </c>
      <c r="E286" s="118">
        <f t="shared" si="38"/>
        <v>23.977560251278508</v>
      </c>
      <c r="F286" s="206">
        <f t="shared" si="32"/>
        <v>0.51931353974674399</v>
      </c>
      <c r="G286" s="517">
        <f t="shared" si="33"/>
        <v>0</v>
      </c>
      <c r="H286" s="517">
        <f t="shared" si="34"/>
        <v>0</v>
      </c>
      <c r="I286" s="517">
        <f t="shared" si="35"/>
        <v>0</v>
      </c>
      <c r="J286" s="517">
        <f t="shared" si="36"/>
        <v>0</v>
      </c>
      <c r="K286" s="517">
        <f t="shared" si="37"/>
        <v>0</v>
      </c>
      <c r="L286" s="519">
        <f t="shared" si="39"/>
        <v>0</v>
      </c>
      <c r="M286" s="330">
        <f>L286*D286*VPI!Q286</f>
        <v>0</v>
      </c>
    </row>
    <row r="287" spans="1:13" x14ac:dyDescent="0.25">
      <c r="A287" s="173">
        <f>Données!A287</f>
        <v>5914</v>
      </c>
      <c r="B287" s="27" t="str">
        <f>Données!B287</f>
        <v>Ependes</v>
      </c>
      <c r="C287" s="387">
        <f>VPI!R287</f>
        <v>10654.485759200121</v>
      </c>
      <c r="D287" s="27">
        <f>Données!Z287</f>
        <v>388</v>
      </c>
      <c r="E287" s="118">
        <f t="shared" si="38"/>
        <v>27.46001484329928</v>
      </c>
      <c r="F287" s="206">
        <f t="shared" si="32"/>
        <v>0.59473763637030186</v>
      </c>
      <c r="G287" s="517">
        <f t="shared" si="33"/>
        <v>0</v>
      </c>
      <c r="H287" s="517">
        <f t="shared" si="34"/>
        <v>0</v>
      </c>
      <c r="I287" s="517">
        <f t="shared" si="35"/>
        <v>0</v>
      </c>
      <c r="J287" s="517">
        <f t="shared" si="36"/>
        <v>0</v>
      </c>
      <c r="K287" s="517">
        <f t="shared" si="37"/>
        <v>0</v>
      </c>
      <c r="L287" s="519">
        <f t="shared" si="39"/>
        <v>0</v>
      </c>
      <c r="M287" s="330">
        <f>L287*D287*VPI!Q287</f>
        <v>0</v>
      </c>
    </row>
    <row r="288" spans="1:13" x14ac:dyDescent="0.25">
      <c r="A288" s="173">
        <f>Données!A288</f>
        <v>5919</v>
      </c>
      <c r="B288" s="27" t="str">
        <f>Données!B288</f>
        <v>Mathod</v>
      </c>
      <c r="C288" s="387">
        <f>VPI!R288</f>
        <v>21548.298328397002</v>
      </c>
      <c r="D288" s="27">
        <f>Données!Z288</f>
        <v>651</v>
      </c>
      <c r="E288" s="118">
        <f t="shared" si="38"/>
        <v>33.100304651915515</v>
      </c>
      <c r="F288" s="206">
        <f t="shared" si="32"/>
        <v>0.71689680665343358</v>
      </c>
      <c r="G288" s="517">
        <f t="shared" si="33"/>
        <v>0</v>
      </c>
      <c r="H288" s="517">
        <f t="shared" si="34"/>
        <v>0</v>
      </c>
      <c r="I288" s="517">
        <f t="shared" si="35"/>
        <v>0</v>
      </c>
      <c r="J288" s="517">
        <f t="shared" si="36"/>
        <v>0</v>
      </c>
      <c r="K288" s="517">
        <f t="shared" si="37"/>
        <v>0</v>
      </c>
      <c r="L288" s="519">
        <f t="shared" si="39"/>
        <v>0</v>
      </c>
      <c r="M288" s="330">
        <f>L288*D288*VPI!Q288</f>
        <v>0</v>
      </c>
    </row>
    <row r="289" spans="1:13" x14ac:dyDescent="0.25">
      <c r="A289" s="173">
        <f>Données!A289</f>
        <v>5921</v>
      </c>
      <c r="B289" s="27" t="str">
        <f>Données!B289</f>
        <v>Molondin</v>
      </c>
      <c r="C289" s="387">
        <f>VPI!R289</f>
        <v>5680.8817283950611</v>
      </c>
      <c r="D289" s="27">
        <f>Données!Z289</f>
        <v>252</v>
      </c>
      <c r="E289" s="118">
        <f t="shared" si="38"/>
        <v>22.543181461885162</v>
      </c>
      <c r="F289" s="206">
        <f t="shared" si="32"/>
        <v>0.48824731288082296</v>
      </c>
      <c r="G289" s="517">
        <f t="shared" si="33"/>
        <v>0</v>
      </c>
      <c r="H289" s="517">
        <f t="shared" si="34"/>
        <v>0</v>
      </c>
      <c r="I289" s="517">
        <f t="shared" si="35"/>
        <v>0</v>
      </c>
      <c r="J289" s="517">
        <f t="shared" si="36"/>
        <v>0</v>
      </c>
      <c r="K289" s="517">
        <f t="shared" si="37"/>
        <v>0</v>
      </c>
      <c r="L289" s="519">
        <f t="shared" si="39"/>
        <v>0</v>
      </c>
      <c r="M289" s="330">
        <f>L289*D289*VPI!Q289</f>
        <v>0</v>
      </c>
    </row>
    <row r="290" spans="1:13" x14ac:dyDescent="0.25">
      <c r="A290" s="173">
        <f>Données!A290</f>
        <v>5922</v>
      </c>
      <c r="B290" s="27" t="str">
        <f>Données!B290</f>
        <v>Montagny-près-Yverdon</v>
      </c>
      <c r="C290" s="387">
        <f>VPI!R290</f>
        <v>33186.709071572135</v>
      </c>
      <c r="D290" s="27">
        <f>Données!Z290</f>
        <v>737</v>
      </c>
      <c r="E290" s="118">
        <f t="shared" si="38"/>
        <v>45.029455999419447</v>
      </c>
      <c r="F290" s="206">
        <f t="shared" si="32"/>
        <v>0.97526211769948068</v>
      </c>
      <c r="G290" s="517">
        <f t="shared" si="33"/>
        <v>0</v>
      </c>
      <c r="H290" s="517">
        <f t="shared" si="34"/>
        <v>0</v>
      </c>
      <c r="I290" s="517">
        <f t="shared" si="35"/>
        <v>0</v>
      </c>
      <c r="J290" s="517">
        <f t="shared" si="36"/>
        <v>0</v>
      </c>
      <c r="K290" s="517">
        <f t="shared" si="37"/>
        <v>0</v>
      </c>
      <c r="L290" s="519">
        <f t="shared" si="39"/>
        <v>0</v>
      </c>
      <c r="M290" s="330">
        <f>L290*D290*VPI!Q290</f>
        <v>0</v>
      </c>
    </row>
    <row r="291" spans="1:13" x14ac:dyDescent="0.25">
      <c r="A291" s="173">
        <f>Données!A291</f>
        <v>5923</v>
      </c>
      <c r="B291" s="27" t="str">
        <f>Données!B291</f>
        <v>Oppens</v>
      </c>
      <c r="C291" s="387">
        <f>VPI!R291</f>
        <v>4798.3716723042917</v>
      </c>
      <c r="D291" s="27">
        <f>Données!Z291</f>
        <v>201</v>
      </c>
      <c r="E291" s="118">
        <f t="shared" si="38"/>
        <v>23.872495882110904</v>
      </c>
      <c r="F291" s="206">
        <f t="shared" si="32"/>
        <v>0.51703802260146736</v>
      </c>
      <c r="G291" s="517">
        <f t="shared" si="33"/>
        <v>0</v>
      </c>
      <c r="H291" s="517">
        <f t="shared" si="34"/>
        <v>0</v>
      </c>
      <c r="I291" s="517">
        <f t="shared" si="35"/>
        <v>0</v>
      </c>
      <c r="J291" s="517">
        <f t="shared" si="36"/>
        <v>0</v>
      </c>
      <c r="K291" s="517">
        <f t="shared" si="37"/>
        <v>0</v>
      </c>
      <c r="L291" s="519">
        <f t="shared" si="39"/>
        <v>0</v>
      </c>
      <c r="M291" s="330">
        <f>L291*D291*VPI!Q291</f>
        <v>0</v>
      </c>
    </row>
    <row r="292" spans="1:13" x14ac:dyDescent="0.25">
      <c r="A292" s="173">
        <f>Données!A292</f>
        <v>5924</v>
      </c>
      <c r="B292" s="27" t="str">
        <f>Données!B292</f>
        <v>Orges</v>
      </c>
      <c r="C292" s="387">
        <f>VPI!R292</f>
        <v>12515.741993747673</v>
      </c>
      <c r="D292" s="27">
        <f>Données!Z292</f>
        <v>343</v>
      </c>
      <c r="E292" s="118">
        <f t="shared" si="38"/>
        <v>36.489043713550068</v>
      </c>
      <c r="F292" s="206">
        <f t="shared" si="32"/>
        <v>0.79029118285072253</v>
      </c>
      <c r="G292" s="517">
        <f t="shared" si="33"/>
        <v>0</v>
      </c>
      <c r="H292" s="517">
        <f t="shared" si="34"/>
        <v>0</v>
      </c>
      <c r="I292" s="517">
        <f t="shared" si="35"/>
        <v>0</v>
      </c>
      <c r="J292" s="517">
        <f t="shared" si="36"/>
        <v>0</v>
      </c>
      <c r="K292" s="517">
        <f t="shared" si="37"/>
        <v>0</v>
      </c>
      <c r="L292" s="519">
        <f t="shared" si="39"/>
        <v>0</v>
      </c>
      <c r="M292" s="330">
        <f>L292*D292*VPI!Q292</f>
        <v>0</v>
      </c>
    </row>
    <row r="293" spans="1:13" x14ac:dyDescent="0.25">
      <c r="A293" s="173">
        <f>Données!A293</f>
        <v>5925</v>
      </c>
      <c r="B293" s="27" t="str">
        <f>Données!B293</f>
        <v>Orzens</v>
      </c>
      <c r="C293" s="387">
        <f>VPI!R293</f>
        <v>5885.1778481012652</v>
      </c>
      <c r="D293" s="27">
        <f>Données!Z293</f>
        <v>201</v>
      </c>
      <c r="E293" s="118">
        <f t="shared" si="38"/>
        <v>29.279491781598335</v>
      </c>
      <c r="F293" s="206">
        <f t="shared" si="32"/>
        <v>0.6341444400406322</v>
      </c>
      <c r="G293" s="517">
        <f t="shared" si="33"/>
        <v>0</v>
      </c>
      <c r="H293" s="517">
        <f t="shared" si="34"/>
        <v>0</v>
      </c>
      <c r="I293" s="517">
        <f t="shared" si="35"/>
        <v>0</v>
      </c>
      <c r="J293" s="517">
        <f t="shared" si="36"/>
        <v>0</v>
      </c>
      <c r="K293" s="517">
        <f t="shared" si="37"/>
        <v>0</v>
      </c>
      <c r="L293" s="519">
        <f t="shared" si="39"/>
        <v>0</v>
      </c>
      <c r="M293" s="330">
        <f>L293*D293*VPI!Q293</f>
        <v>0</v>
      </c>
    </row>
    <row r="294" spans="1:13" x14ac:dyDescent="0.25">
      <c r="A294" s="173">
        <f>Données!A294</f>
        <v>5926</v>
      </c>
      <c r="B294" s="27" t="str">
        <f>Données!B294</f>
        <v>Pomy</v>
      </c>
      <c r="C294" s="387">
        <f>VPI!R294</f>
        <v>27361.56181889947</v>
      </c>
      <c r="D294" s="27">
        <f>Données!Z294</f>
        <v>803</v>
      </c>
      <c r="E294" s="118">
        <f t="shared" si="38"/>
        <v>34.07417412067182</v>
      </c>
      <c r="F294" s="206">
        <f t="shared" si="32"/>
        <v>0.73798917784429108</v>
      </c>
      <c r="G294" s="517">
        <f t="shared" si="33"/>
        <v>0</v>
      </c>
      <c r="H294" s="517">
        <f t="shared" si="34"/>
        <v>0</v>
      </c>
      <c r="I294" s="517">
        <f t="shared" si="35"/>
        <v>0</v>
      </c>
      <c r="J294" s="517">
        <f t="shared" si="36"/>
        <v>0</v>
      </c>
      <c r="K294" s="517">
        <f t="shared" si="37"/>
        <v>0</v>
      </c>
      <c r="L294" s="519">
        <f t="shared" si="39"/>
        <v>0</v>
      </c>
      <c r="M294" s="330">
        <f>L294*D294*VPI!Q294</f>
        <v>0</v>
      </c>
    </row>
    <row r="295" spans="1:13" x14ac:dyDescent="0.25">
      <c r="A295" s="173">
        <f>Données!A295</f>
        <v>5928</v>
      </c>
      <c r="B295" s="27" t="str">
        <f>Données!B295</f>
        <v>Rovray</v>
      </c>
      <c r="C295" s="387">
        <f>VPI!R295</f>
        <v>5562.4200865991261</v>
      </c>
      <c r="D295" s="27">
        <f>Données!Z295</f>
        <v>204</v>
      </c>
      <c r="E295" s="118">
        <f t="shared" si="38"/>
        <v>27.266765130387874</v>
      </c>
      <c r="F295" s="206">
        <f t="shared" si="32"/>
        <v>0.59055217332004373</v>
      </c>
      <c r="G295" s="517">
        <f t="shared" si="33"/>
        <v>0</v>
      </c>
      <c r="H295" s="517">
        <f t="shared" si="34"/>
        <v>0</v>
      </c>
      <c r="I295" s="517">
        <f t="shared" si="35"/>
        <v>0</v>
      </c>
      <c r="J295" s="517">
        <f t="shared" si="36"/>
        <v>0</v>
      </c>
      <c r="K295" s="517">
        <f t="shared" si="37"/>
        <v>0</v>
      </c>
      <c r="L295" s="519">
        <f t="shared" si="39"/>
        <v>0</v>
      </c>
      <c r="M295" s="330">
        <f>L295*D295*VPI!Q295</f>
        <v>0</v>
      </c>
    </row>
    <row r="296" spans="1:13" x14ac:dyDescent="0.25">
      <c r="A296" s="173">
        <f>Données!A296</f>
        <v>5929</v>
      </c>
      <c r="B296" s="27" t="str">
        <f>Données!B296</f>
        <v>Suchy</v>
      </c>
      <c r="C296" s="387">
        <f>VPI!R296</f>
        <v>19817.928233868191</v>
      </c>
      <c r="D296" s="27">
        <f>Données!Z296</f>
        <v>656</v>
      </c>
      <c r="E296" s="118">
        <f t="shared" si="38"/>
        <v>30.210256454067366</v>
      </c>
      <c r="F296" s="206">
        <f t="shared" si="32"/>
        <v>0.65430323399905166</v>
      </c>
      <c r="G296" s="517">
        <f t="shared" si="33"/>
        <v>0</v>
      </c>
      <c r="H296" s="517">
        <f t="shared" si="34"/>
        <v>0</v>
      </c>
      <c r="I296" s="517">
        <f t="shared" si="35"/>
        <v>0</v>
      </c>
      <c r="J296" s="517">
        <f t="shared" si="36"/>
        <v>0</v>
      </c>
      <c r="K296" s="517">
        <f t="shared" si="37"/>
        <v>0</v>
      </c>
      <c r="L296" s="519">
        <f t="shared" si="39"/>
        <v>0</v>
      </c>
      <c r="M296" s="330">
        <f>L296*D296*VPI!Q296</f>
        <v>0</v>
      </c>
    </row>
    <row r="297" spans="1:13" x14ac:dyDescent="0.25">
      <c r="A297" s="173">
        <f>Données!A297</f>
        <v>5930</v>
      </c>
      <c r="B297" s="27" t="str">
        <f>Données!B297</f>
        <v>Suscévaz</v>
      </c>
      <c r="C297" s="387">
        <f>VPI!R297</f>
        <v>5767.7688822867358</v>
      </c>
      <c r="D297" s="27">
        <f>Données!Z297</f>
        <v>204</v>
      </c>
      <c r="E297" s="118">
        <f t="shared" si="38"/>
        <v>28.273376873954586</v>
      </c>
      <c r="F297" s="206">
        <f t="shared" si="32"/>
        <v>0.61235368699466353</v>
      </c>
      <c r="G297" s="517">
        <f t="shared" si="33"/>
        <v>0</v>
      </c>
      <c r="H297" s="517">
        <f t="shared" si="34"/>
        <v>0</v>
      </c>
      <c r="I297" s="517">
        <f t="shared" si="35"/>
        <v>0</v>
      </c>
      <c r="J297" s="517">
        <f t="shared" si="36"/>
        <v>0</v>
      </c>
      <c r="K297" s="517">
        <f t="shared" si="37"/>
        <v>0</v>
      </c>
      <c r="L297" s="519">
        <f t="shared" si="39"/>
        <v>0</v>
      </c>
      <c r="M297" s="330">
        <f>L297*D297*VPI!Q297</f>
        <v>0</v>
      </c>
    </row>
    <row r="298" spans="1:13" x14ac:dyDescent="0.25">
      <c r="A298" s="173">
        <f>Données!A298</f>
        <v>5931</v>
      </c>
      <c r="B298" s="27" t="str">
        <f>Données!B298</f>
        <v>Treycovagnes</v>
      </c>
      <c r="C298" s="387">
        <f>VPI!R298</f>
        <v>15378.452365711239</v>
      </c>
      <c r="D298" s="27">
        <f>Données!Z298</f>
        <v>485</v>
      </c>
      <c r="E298" s="118">
        <f t="shared" si="38"/>
        <v>31.708149207652038</v>
      </c>
      <c r="F298" s="206">
        <f t="shared" si="32"/>
        <v>0.68674506627360832</v>
      </c>
      <c r="G298" s="517">
        <f t="shared" si="33"/>
        <v>0</v>
      </c>
      <c r="H298" s="517">
        <f t="shared" si="34"/>
        <v>0</v>
      </c>
      <c r="I298" s="517">
        <f t="shared" si="35"/>
        <v>0</v>
      </c>
      <c r="J298" s="517">
        <f t="shared" si="36"/>
        <v>0</v>
      </c>
      <c r="K298" s="517">
        <f t="shared" si="37"/>
        <v>0</v>
      </c>
      <c r="L298" s="519">
        <f t="shared" si="39"/>
        <v>0</v>
      </c>
      <c r="M298" s="330">
        <f>L298*D298*VPI!Q298</f>
        <v>0</v>
      </c>
    </row>
    <row r="299" spans="1:13" x14ac:dyDescent="0.25">
      <c r="A299" s="173">
        <f>Données!A299</f>
        <v>5932</v>
      </c>
      <c r="B299" s="27" t="str">
        <f>Données!B299</f>
        <v>Ursins</v>
      </c>
      <c r="C299" s="387">
        <f>VPI!R299</f>
        <v>6819.2739438524613</v>
      </c>
      <c r="D299" s="27">
        <f>Données!Z299</f>
        <v>238</v>
      </c>
      <c r="E299" s="118">
        <f t="shared" si="38"/>
        <v>28.652411528791855</v>
      </c>
      <c r="F299" s="206">
        <f t="shared" si="32"/>
        <v>0.62056293873785262</v>
      </c>
      <c r="G299" s="517">
        <f t="shared" si="33"/>
        <v>0</v>
      </c>
      <c r="H299" s="517">
        <f t="shared" si="34"/>
        <v>0</v>
      </c>
      <c r="I299" s="517">
        <f t="shared" si="35"/>
        <v>0</v>
      </c>
      <c r="J299" s="517">
        <f t="shared" si="36"/>
        <v>0</v>
      </c>
      <c r="K299" s="517">
        <f t="shared" si="37"/>
        <v>0</v>
      </c>
      <c r="L299" s="519">
        <f t="shared" si="39"/>
        <v>0</v>
      </c>
      <c r="M299" s="330">
        <f>L299*D299*VPI!Q299</f>
        <v>0</v>
      </c>
    </row>
    <row r="300" spans="1:13" x14ac:dyDescent="0.25">
      <c r="A300" s="173">
        <f>Données!A300</f>
        <v>5933</v>
      </c>
      <c r="B300" s="27" t="str">
        <f>Données!B300</f>
        <v>Valeyres-sous-Montagny</v>
      </c>
      <c r="C300" s="387">
        <f>VPI!R300</f>
        <v>22563.405559232429</v>
      </c>
      <c r="D300" s="27">
        <f>Données!Z300</f>
        <v>714</v>
      </c>
      <c r="E300" s="118">
        <f t="shared" si="38"/>
        <v>31.601408346263906</v>
      </c>
      <c r="F300" s="206">
        <f t="shared" si="32"/>
        <v>0.68443323913264087</v>
      </c>
      <c r="G300" s="517">
        <f t="shared" si="33"/>
        <v>0</v>
      </c>
      <c r="H300" s="517">
        <f t="shared" si="34"/>
        <v>0</v>
      </c>
      <c r="I300" s="517">
        <f t="shared" si="35"/>
        <v>0</v>
      </c>
      <c r="J300" s="517">
        <f t="shared" si="36"/>
        <v>0</v>
      </c>
      <c r="K300" s="517">
        <f t="shared" si="37"/>
        <v>0</v>
      </c>
      <c r="L300" s="519">
        <f t="shared" si="39"/>
        <v>0</v>
      </c>
      <c r="M300" s="330">
        <f>L300*D300*VPI!Q300</f>
        <v>0</v>
      </c>
    </row>
    <row r="301" spans="1:13" x14ac:dyDescent="0.25">
      <c r="A301" s="173">
        <f>Données!A301</f>
        <v>5934</v>
      </c>
      <c r="B301" s="27" t="str">
        <f>Données!B301</f>
        <v>Valeyres-sous-Ursins</v>
      </c>
      <c r="C301" s="387">
        <f>VPI!R301</f>
        <v>7577.6382278481005</v>
      </c>
      <c r="D301" s="27">
        <f>Données!Z301</f>
        <v>241</v>
      </c>
      <c r="E301" s="118">
        <f t="shared" si="38"/>
        <v>31.442482273228634</v>
      </c>
      <c r="F301" s="206">
        <f t="shared" si="32"/>
        <v>0.68099116826800421</v>
      </c>
      <c r="G301" s="517">
        <f t="shared" si="33"/>
        <v>0</v>
      </c>
      <c r="H301" s="517">
        <f t="shared" si="34"/>
        <v>0</v>
      </c>
      <c r="I301" s="517">
        <f t="shared" si="35"/>
        <v>0</v>
      </c>
      <c r="J301" s="517">
        <f t="shared" si="36"/>
        <v>0</v>
      </c>
      <c r="K301" s="517">
        <f t="shared" si="37"/>
        <v>0</v>
      </c>
      <c r="L301" s="519">
        <f t="shared" si="39"/>
        <v>0</v>
      </c>
      <c r="M301" s="330">
        <f>L301*D301*VPI!Q301</f>
        <v>0</v>
      </c>
    </row>
    <row r="302" spans="1:13" x14ac:dyDescent="0.25">
      <c r="A302" s="173">
        <f>Données!A302</f>
        <v>5935</v>
      </c>
      <c r="B302" s="27" t="str">
        <f>Données!B302</f>
        <v>Villars-Epeney</v>
      </c>
      <c r="C302" s="387">
        <f>VPI!R302</f>
        <v>3928.0620213791694</v>
      </c>
      <c r="D302" s="27">
        <f>Données!Z302</f>
        <v>101</v>
      </c>
      <c r="E302" s="118">
        <f t="shared" si="38"/>
        <v>38.891703181971977</v>
      </c>
      <c r="F302" s="206">
        <f t="shared" si="32"/>
        <v>0.84232873714216394</v>
      </c>
      <c r="G302" s="517">
        <f t="shared" si="33"/>
        <v>0</v>
      </c>
      <c r="H302" s="517">
        <f t="shared" si="34"/>
        <v>0</v>
      </c>
      <c r="I302" s="517">
        <f t="shared" si="35"/>
        <v>0</v>
      </c>
      <c r="J302" s="517">
        <f t="shared" si="36"/>
        <v>0</v>
      </c>
      <c r="K302" s="517">
        <f t="shared" si="37"/>
        <v>0</v>
      </c>
      <c r="L302" s="519">
        <f t="shared" si="39"/>
        <v>0</v>
      </c>
      <c r="M302" s="330">
        <f>L302*D302*VPI!Q302</f>
        <v>0</v>
      </c>
    </row>
    <row r="303" spans="1:13" x14ac:dyDescent="0.25">
      <c r="A303" s="173">
        <f>Données!A303</f>
        <v>5937</v>
      </c>
      <c r="B303" s="27" t="str">
        <f>Données!B303</f>
        <v>Vugelles-La Mothe</v>
      </c>
      <c r="C303" s="387">
        <f>VPI!R303</f>
        <v>3185.9394172567995</v>
      </c>
      <c r="D303" s="27">
        <f>Données!Z303</f>
        <v>138</v>
      </c>
      <c r="E303" s="118">
        <f t="shared" si="38"/>
        <v>23.08651751635362</v>
      </c>
      <c r="F303" s="206">
        <f t="shared" si="32"/>
        <v>0.50001505600235263</v>
      </c>
      <c r="G303" s="517">
        <f t="shared" si="33"/>
        <v>0</v>
      </c>
      <c r="H303" s="517">
        <f t="shared" si="34"/>
        <v>0</v>
      </c>
      <c r="I303" s="517">
        <f t="shared" si="35"/>
        <v>0</v>
      </c>
      <c r="J303" s="517">
        <f t="shared" si="36"/>
        <v>0</v>
      </c>
      <c r="K303" s="517">
        <f t="shared" si="37"/>
        <v>0</v>
      </c>
      <c r="L303" s="519">
        <f t="shared" si="39"/>
        <v>0</v>
      </c>
      <c r="M303" s="330">
        <f>L303*D303*VPI!Q303</f>
        <v>0</v>
      </c>
    </row>
    <row r="304" spans="1:13" x14ac:dyDescent="0.25">
      <c r="A304" s="173">
        <f>Données!A304</f>
        <v>5938</v>
      </c>
      <c r="B304" s="27" t="str">
        <f>Données!B304</f>
        <v>Yverdon-les-Bains</v>
      </c>
      <c r="C304" s="387">
        <f>VPI!R304</f>
        <v>794891.37980729085</v>
      </c>
      <c r="D304" s="27">
        <f>Données!Z304</f>
        <v>29981</v>
      </c>
      <c r="E304" s="118">
        <f t="shared" si="38"/>
        <v>26.513171001877552</v>
      </c>
      <c r="F304" s="206">
        <f t="shared" si="32"/>
        <v>0.57423059471455606</v>
      </c>
      <c r="G304" s="517">
        <f t="shared" si="33"/>
        <v>0</v>
      </c>
      <c r="H304" s="517">
        <f t="shared" si="34"/>
        <v>0</v>
      </c>
      <c r="I304" s="517">
        <f t="shared" si="35"/>
        <v>0</v>
      </c>
      <c r="J304" s="517">
        <f t="shared" si="36"/>
        <v>0</v>
      </c>
      <c r="K304" s="517">
        <f t="shared" si="37"/>
        <v>0</v>
      </c>
      <c r="L304" s="519">
        <f t="shared" si="39"/>
        <v>0</v>
      </c>
      <c r="M304" s="330">
        <f>L304*D304*VPI!Q304</f>
        <v>0</v>
      </c>
    </row>
    <row r="305" spans="1:13" x14ac:dyDescent="0.25">
      <c r="A305" s="173">
        <f>Données!A305</f>
        <v>5939</v>
      </c>
      <c r="B305" s="27" t="str">
        <f>Données!B305</f>
        <v>Yvonand</v>
      </c>
      <c r="C305" s="387">
        <f>VPI!R305</f>
        <v>92828.645169819079</v>
      </c>
      <c r="D305" s="27">
        <f>Données!Z305</f>
        <v>3467</v>
      </c>
      <c r="E305" s="118">
        <f t="shared" si="38"/>
        <v>26.774919287516319</v>
      </c>
      <c r="F305" s="206">
        <f t="shared" si="32"/>
        <v>0.57989962139255025</v>
      </c>
      <c r="G305" s="517">
        <f t="shared" si="33"/>
        <v>0</v>
      </c>
      <c r="H305" s="517">
        <f t="shared" si="34"/>
        <v>0</v>
      </c>
      <c r="I305" s="517">
        <f t="shared" si="35"/>
        <v>0</v>
      </c>
      <c r="J305" s="517">
        <f t="shared" si="36"/>
        <v>0</v>
      </c>
      <c r="K305" s="517">
        <f t="shared" si="37"/>
        <v>0</v>
      </c>
      <c r="L305" s="520">
        <f t="shared" si="39"/>
        <v>0</v>
      </c>
      <c r="M305" s="330">
        <f>L305*D305*VPI!Q305</f>
        <v>0</v>
      </c>
    </row>
    <row r="306" spans="1:13" x14ac:dyDescent="0.25">
      <c r="A306" s="6"/>
      <c r="B306" s="74">
        <f>COUNTA(B6:B305)</f>
        <v>300</v>
      </c>
      <c r="C306" s="388">
        <f>SUM(C6:C305)</f>
        <v>37643741.933631986</v>
      </c>
      <c r="D306" s="162">
        <f>SUM(D6:D305)</f>
        <v>815300</v>
      </c>
      <c r="E306" s="46">
        <f>C306/D306</f>
        <v>46.171644711924429</v>
      </c>
      <c r="F306" s="47">
        <v>1</v>
      </c>
      <c r="G306" s="624"/>
      <c r="H306" s="625"/>
      <c r="I306" s="625"/>
      <c r="J306" s="625"/>
      <c r="K306" s="625"/>
      <c r="L306" s="626"/>
      <c r="M306" s="331">
        <f>SUM(M6:M305)</f>
        <v>116115875.9460061</v>
      </c>
    </row>
    <row r="307" spans="1:13" x14ac:dyDescent="0.25">
      <c r="M307" s="5"/>
    </row>
    <row r="309" spans="1:13" x14ac:dyDescent="0.25">
      <c r="F309" s="13"/>
    </row>
    <row r="310" spans="1:13" x14ac:dyDescent="0.25">
      <c r="F310" s="13"/>
    </row>
    <row r="311" spans="1:13" x14ac:dyDescent="0.25">
      <c r="F311" s="13"/>
      <c r="G311" s="15"/>
      <c r="H311" s="15"/>
    </row>
    <row r="312" spans="1:13" x14ac:dyDescent="0.25">
      <c r="E312" s="23"/>
    </row>
  </sheetData>
  <sheetProtection sheet="1" objects="1" scenarios="1"/>
  <mergeCells count="7">
    <mergeCell ref="G306:L306"/>
    <mergeCell ref="M4:M5"/>
    <mergeCell ref="L4:L5"/>
    <mergeCell ref="A4:A5"/>
    <mergeCell ref="B4:B5"/>
    <mergeCell ref="F4:F5"/>
    <mergeCell ref="C4:E4"/>
  </mergeCells>
  <phoneticPr fontId="21" type="noConversion"/>
  <hyperlinks>
    <hyperlink ref="C1" location="PCS!A1" display="← Précédent" xr:uid="{901F770C-9D71-4B9C-BD74-2BF5F01B4728}"/>
    <hyperlink ref="E1" location="'Péréquation directe'!A1" display="Suivant →" xr:uid="{8E8E8AD3-F212-48FB-86E5-C0AB3A686AFA}"/>
    <hyperlink ref="D1" location="'Table des matières'!A1" display="'Table des matières'!A1" xr:uid="{202983C2-6A43-4285-A91A-F524C826C944}"/>
  </hyperlinks>
  <pageMargins left="0.78740157499999996" right="0.78740157499999996" top="0.984251969" bottom="0.984251969" header="0.4921259845" footer="0.4921259845"/>
  <pageSetup paperSize="9" orientation="landscape" horizontalDpi="4294967292" vertic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K331"/>
  <sheetViews>
    <sheetView zoomScaleNormal="100" workbookViewId="0"/>
  </sheetViews>
  <sheetFormatPr baseColWidth="10" defaultColWidth="11" defaultRowHeight="15" x14ac:dyDescent="0.25"/>
  <cols>
    <col min="1" max="1" width="7.125" style="11" customWidth="1"/>
    <col min="2" max="2" width="23.125" style="11" customWidth="1"/>
    <col min="3" max="3" width="16.125" style="11" customWidth="1"/>
    <col min="4" max="4" width="11" style="11" customWidth="1"/>
    <col min="5" max="6" width="12.75" style="11" customWidth="1"/>
    <col min="7" max="7" width="12.875" style="11" customWidth="1"/>
    <col min="8" max="8" width="12.75" style="220" customWidth="1"/>
    <col min="9" max="9" width="12.75" style="11" customWidth="1"/>
    <col min="10" max="10" width="12.75" style="220" customWidth="1"/>
    <col min="11" max="11" width="12.5" style="11" customWidth="1"/>
    <col min="12" max="16384" width="11" style="11"/>
  </cols>
  <sheetData>
    <row r="1" spans="1:11" s="289" customFormat="1" ht="26.25" x14ac:dyDescent="0.4">
      <c r="A1" s="282" t="s">
        <v>278</v>
      </c>
      <c r="B1" s="287"/>
      <c r="C1" s="415" t="s">
        <v>409</v>
      </c>
      <c r="D1" s="306" t="s">
        <v>401</v>
      </c>
      <c r="E1" s="511" t="s">
        <v>410</v>
      </c>
      <c r="H1" s="311"/>
    </row>
    <row r="2" spans="1:11" s="220" customFormat="1" ht="15.75" x14ac:dyDescent="0.25">
      <c r="A2" s="360" t="str">
        <f>Paramètres!B4</f>
        <v>Acomptes 2022</v>
      </c>
      <c r="B2" s="32"/>
      <c r="C2" s="222"/>
      <c r="D2" s="222"/>
      <c r="E2" s="222"/>
      <c r="F2" s="222"/>
      <c r="G2" s="222"/>
      <c r="H2" s="222"/>
      <c r="I2" s="222"/>
      <c r="J2" s="222"/>
    </row>
    <row r="4" spans="1:11" x14ac:dyDescent="0.25">
      <c r="A4" s="76" t="s">
        <v>516</v>
      </c>
      <c r="B4" s="77"/>
      <c r="C4" s="78" t="s">
        <v>360</v>
      </c>
      <c r="D4" s="78" t="s">
        <v>336</v>
      </c>
      <c r="E4" s="49"/>
      <c r="F4" s="49"/>
      <c r="G4" s="49"/>
      <c r="H4" s="222"/>
      <c r="I4" s="49"/>
      <c r="J4" s="222"/>
    </row>
    <row r="5" spans="1:11" x14ac:dyDescent="0.25">
      <c r="A5" s="634" t="s">
        <v>517</v>
      </c>
      <c r="B5" s="635"/>
      <c r="C5" s="16">
        <f>ABS(E312+F312+G312)</f>
        <v>721091656.93949163</v>
      </c>
      <c r="D5" s="62">
        <f>C5/$C$312</f>
        <v>19.155684846921339</v>
      </c>
      <c r="E5" s="49"/>
      <c r="F5" s="49"/>
      <c r="G5" s="49"/>
      <c r="H5" s="222"/>
      <c r="I5" s="49"/>
      <c r="J5" s="222"/>
    </row>
    <row r="6" spans="1:11" x14ac:dyDescent="0.25">
      <c r="A6" s="636" t="s">
        <v>568</v>
      </c>
      <c r="B6" s="637"/>
      <c r="C6" s="8">
        <f>-Paramètres!B49</f>
        <v>-426572.21449512744</v>
      </c>
      <c r="D6" s="62">
        <f t="shared" ref="D6:D7" si="0">C6/$C$312</f>
        <v>-1.133182283650754E-2</v>
      </c>
      <c r="E6" s="49"/>
      <c r="F6" s="49"/>
      <c r="G6" s="49"/>
      <c r="H6" s="222"/>
      <c r="I6" s="49"/>
      <c r="J6" s="222"/>
    </row>
    <row r="7" spans="1:11" x14ac:dyDescent="0.25">
      <c r="A7" s="634" t="s">
        <v>524</v>
      </c>
      <c r="B7" s="635"/>
      <c r="C7" s="9">
        <f>Paramètres!B50</f>
        <v>450000</v>
      </c>
      <c r="D7" s="62">
        <f t="shared" si="0"/>
        <v>1.195417822153215E-2</v>
      </c>
      <c r="E7" s="49"/>
      <c r="F7" s="49"/>
      <c r="G7" s="49"/>
      <c r="H7" s="222"/>
      <c r="I7" s="49"/>
      <c r="J7" s="222"/>
    </row>
    <row r="8" spans="1:11" x14ac:dyDescent="0.25">
      <c r="A8" s="349" t="s">
        <v>495</v>
      </c>
      <c r="B8" s="350"/>
      <c r="C8" s="337">
        <f>SUM(C5:C7)</f>
        <v>721115084.72499645</v>
      </c>
      <c r="D8" s="351">
        <f>SUM(D5:D7)</f>
        <v>19.156307202306365</v>
      </c>
      <c r="E8" s="49"/>
      <c r="F8" s="49"/>
      <c r="G8" s="49"/>
      <c r="H8" s="222"/>
      <c r="I8" s="49"/>
      <c r="J8" s="222"/>
    </row>
    <row r="10" spans="1:11" ht="60" customHeight="1" x14ac:dyDescent="0.25">
      <c r="A10" s="638" t="s">
        <v>44</v>
      </c>
      <c r="B10" s="638" t="s">
        <v>84</v>
      </c>
      <c r="C10" s="633" t="s">
        <v>417</v>
      </c>
      <c r="D10" s="633" t="s">
        <v>258</v>
      </c>
      <c r="E10" s="48" t="s">
        <v>513</v>
      </c>
      <c r="F10" s="48" t="s">
        <v>514</v>
      </c>
      <c r="G10" s="310" t="s">
        <v>564</v>
      </c>
      <c r="H10" s="310" t="s">
        <v>518</v>
      </c>
      <c r="I10" s="48" t="s">
        <v>522</v>
      </c>
      <c r="J10" s="365" t="s">
        <v>523</v>
      </c>
      <c r="K10" s="633" t="s">
        <v>519</v>
      </c>
    </row>
    <row r="11" spans="1:11" x14ac:dyDescent="0.25">
      <c r="A11" s="639"/>
      <c r="B11" s="639"/>
      <c r="C11" s="633"/>
      <c r="D11" s="633"/>
      <c r="E11" s="398">
        <f>E312/$C$312</f>
        <v>-11.482842705085531</v>
      </c>
      <c r="F11" s="214">
        <f t="shared" ref="F11:G11" si="1">F312/$C$312</f>
        <v>-3.4346858515956114</v>
      </c>
      <c r="G11" s="398">
        <f t="shared" si="1"/>
        <v>-4.2381562902401964</v>
      </c>
      <c r="H11" s="214">
        <f>H312/C312</f>
        <v>1.1331822836507617E-2</v>
      </c>
      <c r="I11" s="398">
        <f>I312/C312</f>
        <v>-19.144353024084829</v>
      </c>
      <c r="J11" s="214">
        <f>ABS(D8)</f>
        <v>19.156307202306365</v>
      </c>
      <c r="K11" s="633"/>
    </row>
    <row r="12" spans="1:11" x14ac:dyDescent="0.25">
      <c r="A12" s="36">
        <f>Données!A6</f>
        <v>5401</v>
      </c>
      <c r="B12" s="174" t="str">
        <f>Données!B6</f>
        <v>Aigle</v>
      </c>
      <c r="C12" s="26">
        <f>Ecrêtage!C6</f>
        <v>283957.57045177044</v>
      </c>
      <c r="D12" s="12">
        <f>Données!Z6</f>
        <v>10518</v>
      </c>
      <c r="E12" s="41">
        <f>Population!K9</f>
        <v>-5470911.2676056325</v>
      </c>
      <c r="F12" s="239">
        <f>Solidarité!I6</f>
        <v>-3510394.7788468539</v>
      </c>
      <c r="G12" s="41">
        <f>DT!O6</f>
        <v>-3161545.3994505494</v>
      </c>
      <c r="H12" s="239">
        <f>Effort!K6+Aide!I6+Taux!J6</f>
        <v>0</v>
      </c>
      <c r="I12" s="336">
        <f>SUM(E12:H12)</f>
        <v>-12142851.445903037</v>
      </c>
      <c r="J12" s="397">
        <f>C12*$J$11</f>
        <v>5439578.4519946678</v>
      </c>
      <c r="K12" s="531">
        <f>I12+J12</f>
        <v>-6703272.993908369</v>
      </c>
    </row>
    <row r="13" spans="1:11" x14ac:dyDescent="0.25">
      <c r="A13" s="38">
        <f>Données!A7</f>
        <v>5402</v>
      </c>
      <c r="B13" s="27" t="str">
        <f>Données!B7</f>
        <v>Bex</v>
      </c>
      <c r="C13" s="26">
        <f>Ecrêtage!C7</f>
        <v>178942.44507064961</v>
      </c>
      <c r="D13" s="12">
        <f>Données!Z7</f>
        <v>7828</v>
      </c>
      <c r="E13" s="8">
        <f>Population!K10</f>
        <v>-3493455.5331991948</v>
      </c>
      <c r="F13" s="239">
        <f>Solidarité!I7</f>
        <v>-3675937.894592355</v>
      </c>
      <c r="G13" s="8">
        <f>DT!O7</f>
        <v>-2055971.9957731152</v>
      </c>
      <c r="H13" s="239">
        <f>Effort!K7+Aide!I7+Taux!J7</f>
        <v>0</v>
      </c>
      <c r="I13" s="317">
        <f t="shared" ref="I13:I76" si="2">SUM(E13:H13)</f>
        <v>-9225365.423564665</v>
      </c>
      <c r="J13" s="397">
        <f t="shared" ref="J13:J76" si="3">C13*$J$11</f>
        <v>3427876.4493051963</v>
      </c>
      <c r="K13" s="532">
        <f t="shared" ref="K13:K76" si="4">I13+J13</f>
        <v>-5797488.9742594687</v>
      </c>
    </row>
    <row r="14" spans="1:11" x14ac:dyDescent="0.25">
      <c r="A14" s="38">
        <f>Données!A8</f>
        <v>5403</v>
      </c>
      <c r="B14" s="27" t="str">
        <f>Données!B8</f>
        <v>Chessel</v>
      </c>
      <c r="C14" s="26">
        <f>Ecrêtage!C8</f>
        <v>10796.246764670586</v>
      </c>
      <c r="D14" s="12">
        <f>Données!Z8</f>
        <v>444</v>
      </c>
      <c r="E14" s="8">
        <f>Population!K11</f>
        <v>-55053.319919517096</v>
      </c>
      <c r="F14" s="239">
        <f>Solidarité!I8</f>
        <v>-212337.60679461842</v>
      </c>
      <c r="G14" s="8">
        <f>DT!O8</f>
        <v>-16123.334338473544</v>
      </c>
      <c r="H14" s="239">
        <f>Effort!K8+Aide!I8+Taux!J8</f>
        <v>0</v>
      </c>
      <c r="I14" s="317">
        <f t="shared" si="2"/>
        <v>-283514.26105260907</v>
      </c>
      <c r="J14" s="397">
        <f t="shared" si="3"/>
        <v>206816.21965593594</v>
      </c>
      <c r="K14" s="532">
        <f t="shared" si="4"/>
        <v>-76698.041396673128</v>
      </c>
    </row>
    <row r="15" spans="1:11" x14ac:dyDescent="0.25">
      <c r="A15" s="38">
        <f>Données!A9</f>
        <v>5404</v>
      </c>
      <c r="B15" s="27" t="str">
        <f>Données!B9</f>
        <v>Corbeyrier</v>
      </c>
      <c r="C15" s="26">
        <f>Ecrêtage!C9</f>
        <v>11266.447111519699</v>
      </c>
      <c r="D15" s="12">
        <f>Données!Z9</f>
        <v>445</v>
      </c>
      <c r="E15" s="8">
        <f>Population!K12</f>
        <v>-55177.313883299787</v>
      </c>
      <c r="F15" s="239">
        <f>Solidarité!I9</f>
        <v>-203059.20834013898</v>
      </c>
      <c r="G15" s="8">
        <f>DT!O9</f>
        <v>-132533.23199724202</v>
      </c>
      <c r="H15" s="239">
        <f>Effort!K9+Aide!I9+Taux!J9</f>
        <v>0</v>
      </c>
      <c r="I15" s="317">
        <f t="shared" si="2"/>
        <v>-390769.7542206808</v>
      </c>
      <c r="J15" s="397">
        <f t="shared" si="3"/>
        <v>215823.52194680856</v>
      </c>
      <c r="K15" s="532">
        <f t="shared" si="4"/>
        <v>-174946.23227387224</v>
      </c>
    </row>
    <row r="16" spans="1:11" x14ac:dyDescent="0.25">
      <c r="A16" s="38">
        <f>Données!A10</f>
        <v>5405</v>
      </c>
      <c r="B16" s="27" t="str">
        <f>Données!B10</f>
        <v>Gryon</v>
      </c>
      <c r="C16" s="26">
        <f>Ecrêtage!C10</f>
        <v>68176.099678718238</v>
      </c>
      <c r="D16" s="12">
        <f>Données!Z10</f>
        <v>1378</v>
      </c>
      <c r="E16" s="8">
        <f>Population!K13</f>
        <v>-255229.17505030177</v>
      </c>
      <c r="F16" s="239">
        <f>Solidarité!I10</f>
        <v>0</v>
      </c>
      <c r="G16" s="8">
        <f>DT!O10</f>
        <v>-858380.40192769049</v>
      </c>
      <c r="H16" s="239">
        <f>Effort!K10+Aide!I10+Taux!J10</f>
        <v>0</v>
      </c>
      <c r="I16" s="317">
        <f t="shared" si="2"/>
        <v>-1113609.5769779922</v>
      </c>
      <c r="J16" s="397">
        <f t="shared" si="3"/>
        <v>1306002.3093005868</v>
      </c>
      <c r="K16" s="532">
        <f t="shared" si="4"/>
        <v>192392.73232259462</v>
      </c>
    </row>
    <row r="17" spans="1:11" x14ac:dyDescent="0.25">
      <c r="A17" s="38">
        <f>Données!A11</f>
        <v>5406</v>
      </c>
      <c r="B17" s="27" t="str">
        <f>Données!B11</f>
        <v>Lavey-Morcles</v>
      </c>
      <c r="C17" s="26">
        <f>Ecrêtage!C11</f>
        <v>21824.791081856485</v>
      </c>
      <c r="D17" s="12">
        <f>Données!Z11</f>
        <v>944</v>
      </c>
      <c r="E17" s="8">
        <f>Population!K14</f>
        <v>-117050.30181086517</v>
      </c>
      <c r="F17" s="239">
        <f>Solidarité!I11</f>
        <v>-444539.21450596291</v>
      </c>
      <c r="G17" s="8">
        <f>DT!O11</f>
        <v>-176449.41019746874</v>
      </c>
      <c r="H17" s="239">
        <f>Effort!K11+Aide!I11+Taux!J11</f>
        <v>0</v>
      </c>
      <c r="I17" s="317">
        <f t="shared" si="2"/>
        <v>-738038.92651429679</v>
      </c>
      <c r="J17" s="397">
        <f t="shared" si="3"/>
        <v>418082.40259019914</v>
      </c>
      <c r="K17" s="532">
        <f t="shared" si="4"/>
        <v>-319956.52392409765</v>
      </c>
    </row>
    <row r="18" spans="1:11" x14ac:dyDescent="0.25">
      <c r="A18" s="38">
        <f>Données!A12</f>
        <v>5407</v>
      </c>
      <c r="B18" s="27" t="str">
        <f>Données!B12</f>
        <v>Leysin</v>
      </c>
      <c r="C18" s="26">
        <f>Ecrêtage!C12</f>
        <v>90748.112777121743</v>
      </c>
      <c r="D18" s="12">
        <f>Données!Z12</f>
        <v>3645</v>
      </c>
      <c r="E18" s="8">
        <f>Population!K15</f>
        <v>-1138264.5875251507</v>
      </c>
      <c r="F18" s="239">
        <f>Solidarité!I12</f>
        <v>-1885261.1245459067</v>
      </c>
      <c r="G18" s="8">
        <f>DT!O12</f>
        <v>-1717580.9887544285</v>
      </c>
      <c r="H18" s="239">
        <f>Effort!K12+Aide!I12+Taux!J12</f>
        <v>0</v>
      </c>
      <c r="I18" s="317">
        <f t="shared" si="2"/>
        <v>-4741106.7008254863</v>
      </c>
      <c r="J18" s="397">
        <f t="shared" si="3"/>
        <v>1738398.7263880875</v>
      </c>
      <c r="K18" s="532">
        <f t="shared" si="4"/>
        <v>-3002707.9744373988</v>
      </c>
    </row>
    <row r="19" spans="1:11" x14ac:dyDescent="0.25">
      <c r="A19" s="38">
        <f>Données!A13</f>
        <v>5408</v>
      </c>
      <c r="B19" s="27" t="str">
        <f>Données!B13</f>
        <v>Noville</v>
      </c>
      <c r="C19" s="26">
        <f>Ecrêtage!C13</f>
        <v>43666.640444665623</v>
      </c>
      <c r="D19" s="12">
        <f>Données!Z13</f>
        <v>1170</v>
      </c>
      <c r="E19" s="8">
        <f>Population!K16</f>
        <v>-183015.09054325952</v>
      </c>
      <c r="F19" s="239">
        <f>Solidarité!I13</f>
        <v>-254958.50937044565</v>
      </c>
      <c r="G19" s="8">
        <f>DT!O13</f>
        <v>-107556.17699850704</v>
      </c>
      <c r="H19" s="239">
        <f>Effort!K13+Aide!I13+Taux!J13</f>
        <v>-43058.995596953748</v>
      </c>
      <c r="I19" s="317">
        <f t="shared" si="2"/>
        <v>-588588.77250916592</v>
      </c>
      <c r="J19" s="397">
        <f t="shared" si="3"/>
        <v>836491.57885067048</v>
      </c>
      <c r="K19" s="532">
        <f t="shared" si="4"/>
        <v>247902.80634150456</v>
      </c>
    </row>
    <row r="20" spans="1:11" x14ac:dyDescent="0.25">
      <c r="A20" s="38">
        <f>Données!A14</f>
        <v>5409</v>
      </c>
      <c r="B20" s="27" t="str">
        <f>Données!B14</f>
        <v>Ollon</v>
      </c>
      <c r="C20" s="26">
        <f>Ecrêtage!C14</f>
        <v>388986.52146492567</v>
      </c>
      <c r="D20" s="12">
        <f>Données!Z14</f>
        <v>7634</v>
      </c>
      <c r="E20" s="8">
        <f>Population!K17</f>
        <v>-3377992.3541247481</v>
      </c>
      <c r="F20" s="239">
        <f>Solidarité!I14</f>
        <v>0</v>
      </c>
      <c r="G20" s="8">
        <f>DT!O14</f>
        <v>-2777193.9801117517</v>
      </c>
      <c r="H20" s="239">
        <f>Effort!K14+Aide!I14+Taux!J14</f>
        <v>0</v>
      </c>
      <c r="I20" s="317">
        <f t="shared" si="2"/>
        <v>-6155186.3342364999</v>
      </c>
      <c r="J20" s="397">
        <f t="shared" si="3"/>
        <v>7451545.3027386554</v>
      </c>
      <c r="K20" s="532">
        <f t="shared" si="4"/>
        <v>1296358.9685021555</v>
      </c>
    </row>
    <row r="21" spans="1:11" x14ac:dyDescent="0.25">
      <c r="A21" s="38">
        <f>Données!A15</f>
        <v>5410</v>
      </c>
      <c r="B21" s="27" t="str">
        <f>Données!B15</f>
        <v>Ormont-Dessous</v>
      </c>
      <c r="C21" s="26">
        <f>Ecrêtage!C15</f>
        <v>39516.146697267235</v>
      </c>
      <c r="D21" s="12">
        <f>Données!Z15</f>
        <v>1180</v>
      </c>
      <c r="E21" s="8">
        <f>Population!K18</f>
        <v>-186486.92152917502</v>
      </c>
      <c r="F21" s="239">
        <f>Solidarité!I15</f>
        <v>-354578.95135463699</v>
      </c>
      <c r="G21" s="8">
        <f>DT!O15</f>
        <v>-801492.50979344605</v>
      </c>
      <c r="H21" s="239">
        <f>Effort!K15+Aide!I15+Taux!J15</f>
        <v>0</v>
      </c>
      <c r="I21" s="317">
        <f t="shared" si="2"/>
        <v>-1342558.382677258</v>
      </c>
      <c r="J21" s="397">
        <f t="shared" si="3"/>
        <v>756983.44558425527</v>
      </c>
      <c r="K21" s="532">
        <f t="shared" si="4"/>
        <v>-585574.93709300272</v>
      </c>
    </row>
    <row r="22" spans="1:11" x14ac:dyDescent="0.25">
      <c r="A22" s="38">
        <f>Données!A16</f>
        <v>5411</v>
      </c>
      <c r="B22" s="27" t="str">
        <f>Données!B16</f>
        <v>Ormont-Dessus</v>
      </c>
      <c r="C22" s="26">
        <f>Ecrêtage!C16</f>
        <v>68020.566453850552</v>
      </c>
      <c r="D22" s="12">
        <f>Données!Z16</f>
        <v>1466</v>
      </c>
      <c r="E22" s="8">
        <f>Population!K19</f>
        <v>-285781.2877263581</v>
      </c>
      <c r="F22" s="239">
        <f>Solidarité!I16</f>
        <v>0</v>
      </c>
      <c r="G22" s="8">
        <f>DT!O16</f>
        <v>-928649.92643650889</v>
      </c>
      <c r="H22" s="239">
        <f>Effort!K16+Aide!I16+Taux!J16</f>
        <v>0</v>
      </c>
      <c r="I22" s="317">
        <f t="shared" si="2"/>
        <v>-1214431.2141628671</v>
      </c>
      <c r="J22" s="397">
        <f t="shared" si="3"/>
        <v>1303022.867064856</v>
      </c>
      <c r="K22" s="532">
        <f t="shared" si="4"/>
        <v>88591.652901988942</v>
      </c>
    </row>
    <row r="23" spans="1:11" x14ac:dyDescent="0.25">
      <c r="A23" s="38">
        <f>Données!A17</f>
        <v>5412</v>
      </c>
      <c r="B23" s="27" t="str">
        <f>Données!B17</f>
        <v>Rennaz</v>
      </c>
      <c r="C23" s="26">
        <f>Ecrêtage!C17</f>
        <v>24252.718750309756</v>
      </c>
      <c r="D23" s="12">
        <f>Données!Z17</f>
        <v>889</v>
      </c>
      <c r="E23" s="8">
        <f>Population!K20</f>
        <v>-110230.63380281688</v>
      </c>
      <c r="F23" s="239">
        <f>Solidarité!I17</f>
        <v>-319494.49637258711</v>
      </c>
      <c r="G23" s="8">
        <f>DT!O17</f>
        <v>-89175.398435409137</v>
      </c>
      <c r="H23" s="239">
        <f>Effort!K17+Aide!I17+Taux!J17</f>
        <v>0</v>
      </c>
      <c r="I23" s="317">
        <f t="shared" si="2"/>
        <v>-518900.52861081314</v>
      </c>
      <c r="J23" s="397">
        <f t="shared" si="3"/>
        <v>464592.53087206942</v>
      </c>
      <c r="K23" s="532">
        <f t="shared" si="4"/>
        <v>-54307.997738743725</v>
      </c>
    </row>
    <row r="24" spans="1:11" x14ac:dyDescent="0.25">
      <c r="A24" s="38">
        <f>Données!A18</f>
        <v>5413</v>
      </c>
      <c r="B24" s="27" t="str">
        <f>Données!B18</f>
        <v>Roche</v>
      </c>
      <c r="C24" s="26">
        <f>Ecrêtage!C18</f>
        <v>47951.627432220594</v>
      </c>
      <c r="D24" s="12">
        <f>Données!Z18</f>
        <v>1868</v>
      </c>
      <c r="E24" s="8">
        <f>Population!K21</f>
        <v>-425348.89336016093</v>
      </c>
      <c r="F24" s="239">
        <f>Solidarité!I18</f>
        <v>-707614.88619400992</v>
      </c>
      <c r="G24" s="8">
        <f>DT!O18</f>
        <v>0</v>
      </c>
      <c r="H24" s="239">
        <f>Effort!K18+Aide!I18+Taux!J18</f>
        <v>0</v>
      </c>
      <c r="I24" s="317">
        <f t="shared" si="2"/>
        <v>-1132963.7795541708</v>
      </c>
      <c r="J24" s="397">
        <f t="shared" si="3"/>
        <v>918576.10594215884</v>
      </c>
      <c r="K24" s="532">
        <f t="shared" si="4"/>
        <v>-214387.67361201195</v>
      </c>
    </row>
    <row r="25" spans="1:11" x14ac:dyDescent="0.25">
      <c r="A25" s="38">
        <f>Données!A19</f>
        <v>5414</v>
      </c>
      <c r="B25" s="27" t="str">
        <f>Données!B19</f>
        <v>Villeneuve</v>
      </c>
      <c r="C25" s="26">
        <f>Ecrêtage!C19</f>
        <v>159309.32612133506</v>
      </c>
      <c r="D25" s="12">
        <f>Données!Z19</f>
        <v>5837</v>
      </c>
      <c r="E25" s="8">
        <f>Population!K22</f>
        <v>-2308470.0201207241</v>
      </c>
      <c r="F25" s="239">
        <f>Solidarité!I19</f>
        <v>-2006236.1046253976</v>
      </c>
      <c r="G25" s="8">
        <f>DT!O19</f>
        <v>-2442181.5486809886</v>
      </c>
      <c r="H25" s="239">
        <f>Effort!K19+Aide!I19+Taux!J19</f>
        <v>0</v>
      </c>
      <c r="I25" s="317">
        <f t="shared" si="2"/>
        <v>-6756887.6734271105</v>
      </c>
      <c r="J25" s="397">
        <f t="shared" si="3"/>
        <v>3051778.3913727044</v>
      </c>
      <c r="K25" s="532">
        <f t="shared" si="4"/>
        <v>-3705109.2820544061</v>
      </c>
    </row>
    <row r="26" spans="1:11" x14ac:dyDescent="0.25">
      <c r="A26" s="38">
        <f>Données!A20</f>
        <v>5415</v>
      </c>
      <c r="B26" s="27" t="str">
        <f>Données!B20</f>
        <v>Yvorne</v>
      </c>
      <c r="C26" s="26">
        <f>Ecrêtage!C20</f>
        <v>38141.091526902295</v>
      </c>
      <c r="D26" s="12">
        <f>Données!Z20</f>
        <v>1070</v>
      </c>
      <c r="E26" s="8">
        <f>Population!K23</f>
        <v>-148296.7806841046</v>
      </c>
      <c r="F26" s="239">
        <f>Solidarité!I20</f>
        <v>-230072.04189054549</v>
      </c>
      <c r="G26" s="8">
        <f>DT!O20</f>
        <v>-178011.88219340952</v>
      </c>
      <c r="H26" s="239">
        <f>Effort!K20+Aide!I20+Taux!J20</f>
        <v>0</v>
      </c>
      <c r="I26" s="317">
        <f t="shared" si="2"/>
        <v>-556380.70476805954</v>
      </c>
      <c r="J26" s="397">
        <f t="shared" si="3"/>
        <v>730642.46632062469</v>
      </c>
      <c r="K26" s="532">
        <f t="shared" si="4"/>
        <v>174261.76155256515</v>
      </c>
    </row>
    <row r="27" spans="1:11" x14ac:dyDescent="0.25">
      <c r="A27" s="38">
        <f>Données!A21</f>
        <v>5422</v>
      </c>
      <c r="B27" s="27" t="str">
        <f>Données!B21</f>
        <v>Aubonne</v>
      </c>
      <c r="C27" s="26">
        <f>Ecrêtage!C21</f>
        <v>257139.62131053992</v>
      </c>
      <c r="D27" s="12">
        <f>Données!Z21</f>
        <v>3764</v>
      </c>
      <c r="E27" s="8">
        <f>Population!K24</f>
        <v>-1197285.7142857141</v>
      </c>
      <c r="F27" s="239">
        <f>Solidarité!I21</f>
        <v>0</v>
      </c>
      <c r="G27" s="8">
        <f>DT!O21</f>
        <v>0</v>
      </c>
      <c r="H27" s="239">
        <f>Effort!K21+Aide!I21+Taux!J21</f>
        <v>0</v>
      </c>
      <c r="I27" s="317">
        <f t="shared" si="2"/>
        <v>-1197285.7142857141</v>
      </c>
      <c r="J27" s="397">
        <f t="shared" si="3"/>
        <v>4925845.5797094274</v>
      </c>
      <c r="K27" s="532">
        <f t="shared" si="4"/>
        <v>3728559.8654237133</v>
      </c>
    </row>
    <row r="28" spans="1:11" x14ac:dyDescent="0.25">
      <c r="A28" s="38">
        <f>Données!A22</f>
        <v>5423</v>
      </c>
      <c r="B28" s="27" t="str">
        <f>Données!B22</f>
        <v>Ballens</v>
      </c>
      <c r="C28" s="26">
        <f>Ecrêtage!C22</f>
        <v>17113.568875479887</v>
      </c>
      <c r="D28" s="12">
        <f>Données!Z22</f>
        <v>562</v>
      </c>
      <c r="E28" s="8">
        <f>Population!K25</f>
        <v>-69684.607645875236</v>
      </c>
      <c r="F28" s="239">
        <f>Solidarité!I22</f>
        <v>-188131.47474502446</v>
      </c>
      <c r="G28" s="8">
        <f>DT!O22</f>
        <v>-139649.16009051076</v>
      </c>
      <c r="H28" s="239">
        <f>Effort!K22+Aide!I22+Taux!J22</f>
        <v>0</v>
      </c>
      <c r="I28" s="317">
        <f t="shared" si="2"/>
        <v>-397465.2424814105</v>
      </c>
      <c r="J28" s="397">
        <f t="shared" si="3"/>
        <v>327832.78270652139</v>
      </c>
      <c r="K28" s="532">
        <f t="shared" si="4"/>
        <v>-69632.45977488911</v>
      </c>
    </row>
    <row r="29" spans="1:11" x14ac:dyDescent="0.25">
      <c r="A29" s="38">
        <f>Données!A23</f>
        <v>5424</v>
      </c>
      <c r="B29" s="27" t="str">
        <f>Données!B23</f>
        <v>Berolle</v>
      </c>
      <c r="C29" s="26">
        <f>Ecrêtage!C23</f>
        <v>9114.6527235419599</v>
      </c>
      <c r="D29" s="12">
        <f>Données!Z23</f>
        <v>313</v>
      </c>
      <c r="E29" s="8">
        <f>Population!K26</f>
        <v>-38810.110663983898</v>
      </c>
      <c r="F29" s="239">
        <f>Solidarité!I23</f>
        <v>-121565.76734268044</v>
      </c>
      <c r="G29" s="8">
        <f>DT!O23</f>
        <v>-46575.583658748241</v>
      </c>
      <c r="H29" s="239">
        <f>Effort!K23+Aide!I23+Taux!J23</f>
        <v>0</v>
      </c>
      <c r="I29" s="317">
        <f t="shared" si="2"/>
        <v>-206951.46166541259</v>
      </c>
      <c r="J29" s="397">
        <f t="shared" si="3"/>
        <v>174603.08761450817</v>
      </c>
      <c r="K29" s="532">
        <f t="shared" si="4"/>
        <v>-32348.374050904415</v>
      </c>
    </row>
    <row r="30" spans="1:11" x14ac:dyDescent="0.25">
      <c r="A30" s="38">
        <f>Données!A24</f>
        <v>5425</v>
      </c>
      <c r="B30" s="27" t="str">
        <f>Données!B24</f>
        <v>Bière</v>
      </c>
      <c r="C30" s="26">
        <f>Ecrêtage!C24</f>
        <v>40150.134165172873</v>
      </c>
      <c r="D30" s="12">
        <f>Données!Z24</f>
        <v>1627</v>
      </c>
      <c r="E30" s="8">
        <f>Population!K27</f>
        <v>-341677.76659959753</v>
      </c>
      <c r="F30" s="239">
        <f>Solidarité!I24</f>
        <v>-665307.1552229455</v>
      </c>
      <c r="G30" s="8">
        <f>DT!O24</f>
        <v>-596205.59438508307</v>
      </c>
      <c r="H30" s="239">
        <f>Effort!K24+Aide!I24+Taux!J24</f>
        <v>0</v>
      </c>
      <c r="I30" s="317">
        <f t="shared" si="2"/>
        <v>-1603190.5162076261</v>
      </c>
      <c r="J30" s="397">
        <f t="shared" si="3"/>
        <v>769128.30428186792</v>
      </c>
      <c r="K30" s="532">
        <f t="shared" si="4"/>
        <v>-834062.21192575817</v>
      </c>
    </row>
    <row r="31" spans="1:11" x14ac:dyDescent="0.25">
      <c r="A31" s="38">
        <f>Données!A25</f>
        <v>5426</v>
      </c>
      <c r="B31" s="27" t="str">
        <f>Données!B25</f>
        <v>Bougy-Villars</v>
      </c>
      <c r="C31" s="26">
        <f>Ecrêtage!C25</f>
        <v>55602.19681468232</v>
      </c>
      <c r="D31" s="12">
        <f>Données!Z25</f>
        <v>477</v>
      </c>
      <c r="E31" s="8">
        <f>Population!K28</f>
        <v>-59145.120724346067</v>
      </c>
      <c r="F31" s="239">
        <f>Solidarité!I25</f>
        <v>0</v>
      </c>
      <c r="G31" s="8">
        <f>DT!O25</f>
        <v>0</v>
      </c>
      <c r="H31" s="239">
        <f>Effort!K25+Aide!I25+Taux!J25</f>
        <v>0</v>
      </c>
      <c r="I31" s="317">
        <f t="shared" si="2"/>
        <v>-59145.120724346067</v>
      </c>
      <c r="J31" s="397">
        <f t="shared" si="3"/>
        <v>1065132.7633051549</v>
      </c>
      <c r="K31" s="532">
        <f t="shared" si="4"/>
        <v>1005987.6425808088</v>
      </c>
    </row>
    <row r="32" spans="1:11" x14ac:dyDescent="0.25">
      <c r="A32" s="38">
        <f>Données!A26</f>
        <v>5427</v>
      </c>
      <c r="B32" s="27" t="str">
        <f>Données!B26</f>
        <v>Féchy</v>
      </c>
      <c r="C32" s="26">
        <f>Ecrêtage!C26</f>
        <v>77005.502299275147</v>
      </c>
      <c r="D32" s="12">
        <f>Données!Z26</f>
        <v>869</v>
      </c>
      <c r="E32" s="8">
        <f>Population!K29</f>
        <v>-107750.75452716296</v>
      </c>
      <c r="F32" s="239">
        <f>Solidarité!I26</f>
        <v>0</v>
      </c>
      <c r="G32" s="8">
        <f>DT!O26</f>
        <v>0</v>
      </c>
      <c r="H32" s="239">
        <f>Effort!K26+Aide!I26+Taux!J26</f>
        <v>0</v>
      </c>
      <c r="I32" s="317">
        <f t="shared" si="2"/>
        <v>-107750.75452716296</v>
      </c>
      <c r="J32" s="397">
        <f t="shared" si="3"/>
        <v>1475141.058312824</v>
      </c>
      <c r="K32" s="532">
        <f t="shared" si="4"/>
        <v>1367390.303785661</v>
      </c>
    </row>
    <row r="33" spans="1:11" x14ac:dyDescent="0.25">
      <c r="A33" s="38">
        <f>Données!A27</f>
        <v>5428</v>
      </c>
      <c r="B33" s="27" t="str">
        <f>Données!B27</f>
        <v>Gimel</v>
      </c>
      <c r="C33" s="26">
        <f>Ecrêtage!C27</f>
        <v>70160.017528660552</v>
      </c>
      <c r="D33" s="12">
        <f>Données!Z27</f>
        <v>2307</v>
      </c>
      <c r="E33" s="8">
        <f>Population!K30</f>
        <v>-577762.27364185103</v>
      </c>
      <c r="F33" s="239">
        <f>Solidarité!I27</f>
        <v>-806355.32723171101</v>
      </c>
      <c r="G33" s="8">
        <f>DT!O27</f>
        <v>-251295.63168154127</v>
      </c>
      <c r="H33" s="239">
        <f>Effort!K27+Aide!I27+Taux!J27</f>
        <v>0</v>
      </c>
      <c r="I33" s="317">
        <f t="shared" si="2"/>
        <v>-1635413.2325551033</v>
      </c>
      <c r="J33" s="397">
        <f t="shared" si="3"/>
        <v>1344006.8490982209</v>
      </c>
      <c r="K33" s="532">
        <f t="shared" si="4"/>
        <v>-291406.38345688232</v>
      </c>
    </row>
    <row r="34" spans="1:11" x14ac:dyDescent="0.25">
      <c r="A34" s="38">
        <f>Données!A28</f>
        <v>5429</v>
      </c>
      <c r="B34" s="27" t="str">
        <f>Données!B28</f>
        <v>Longirod</v>
      </c>
      <c r="C34" s="26">
        <f>Ecrêtage!C28</f>
        <v>16136.097907481106</v>
      </c>
      <c r="D34" s="12">
        <f>Données!Z28</f>
        <v>494</v>
      </c>
      <c r="E34" s="8">
        <f>Population!K31</f>
        <v>-61253.018108651901</v>
      </c>
      <c r="F34" s="239">
        <f>Solidarité!I28</f>
        <v>-160147.06248056475</v>
      </c>
      <c r="G34" s="8">
        <f>DT!O28</f>
        <v>-122763.08912450253</v>
      </c>
      <c r="H34" s="239">
        <f>Effort!K28+Aide!I28+Taux!J28</f>
        <v>0</v>
      </c>
      <c r="I34" s="317">
        <f t="shared" si="2"/>
        <v>-344163.16971371917</v>
      </c>
      <c r="J34" s="397">
        <f t="shared" si="3"/>
        <v>309108.04856220097</v>
      </c>
      <c r="K34" s="532">
        <f t="shared" si="4"/>
        <v>-35055.121151518193</v>
      </c>
    </row>
    <row r="35" spans="1:11" x14ac:dyDescent="0.25">
      <c r="A35" s="38">
        <f>Données!A29</f>
        <v>5430</v>
      </c>
      <c r="B35" s="27" t="str">
        <f>Données!B29</f>
        <v>Marchissy</v>
      </c>
      <c r="C35" s="26">
        <f>Ecrêtage!C29</f>
        <v>14848.61677419355</v>
      </c>
      <c r="D35" s="12">
        <f>Données!Z29</f>
        <v>481</v>
      </c>
      <c r="E35" s="8">
        <f>Population!K32</f>
        <v>-59641.096579476849</v>
      </c>
      <c r="F35" s="239">
        <f>Solidarité!I29</f>
        <v>-176641.30294901598</v>
      </c>
      <c r="G35" s="8">
        <f>DT!O29</f>
        <v>-367999.83677419351</v>
      </c>
      <c r="H35" s="239">
        <f>Effort!K29+Aide!I29+Taux!J29</f>
        <v>0</v>
      </c>
      <c r="I35" s="317">
        <f t="shared" si="2"/>
        <v>-604282.23630268639</v>
      </c>
      <c r="J35" s="397">
        <f t="shared" si="3"/>
        <v>284444.66445577098</v>
      </c>
      <c r="K35" s="532">
        <f t="shared" si="4"/>
        <v>-319837.57184691541</v>
      </c>
    </row>
    <row r="36" spans="1:11" x14ac:dyDescent="0.25">
      <c r="A36" s="38">
        <f>Données!A30</f>
        <v>5431</v>
      </c>
      <c r="B36" s="27" t="str">
        <f>Données!B30</f>
        <v>Mollens</v>
      </c>
      <c r="C36" s="26">
        <f>Ecrêtage!C30</f>
        <v>9333.1487396041775</v>
      </c>
      <c r="D36" s="12">
        <f>Données!Z30</f>
        <v>330</v>
      </c>
      <c r="E36" s="8">
        <f>Population!K33</f>
        <v>-40918.008048289732</v>
      </c>
      <c r="F36" s="239">
        <f>Solidarité!I30</f>
        <v>-129177.50489954614</v>
      </c>
      <c r="G36" s="8">
        <f>DT!O30</f>
        <v>-74163.496007671798</v>
      </c>
      <c r="H36" s="239">
        <f>Effort!K30+Aide!I30+Taux!J30</f>
        <v>0</v>
      </c>
      <c r="I36" s="317">
        <f t="shared" si="2"/>
        <v>-244259.00895550766</v>
      </c>
      <c r="J36" s="397">
        <f t="shared" si="3"/>
        <v>178788.66442067607</v>
      </c>
      <c r="K36" s="532">
        <f t="shared" si="4"/>
        <v>-65470.344534831587</v>
      </c>
    </row>
    <row r="37" spans="1:11" x14ac:dyDescent="0.25">
      <c r="A37" s="38">
        <f>Données!A31</f>
        <v>5434</v>
      </c>
      <c r="B37" s="27" t="str">
        <f>Données!B31</f>
        <v>Saint-George</v>
      </c>
      <c r="C37" s="26">
        <f>Ecrêtage!C31</f>
        <v>40791.515913403804</v>
      </c>
      <c r="D37" s="12">
        <f>Données!Z31</f>
        <v>1074</v>
      </c>
      <c r="E37" s="8">
        <f>Population!K34</f>
        <v>-149685.5130784708</v>
      </c>
      <c r="F37" s="239">
        <f>Solidarité!I31</f>
        <v>-169789.23768983825</v>
      </c>
      <c r="G37" s="8">
        <f>DT!O31</f>
        <v>-54961.113064947152</v>
      </c>
      <c r="H37" s="239">
        <f>Effort!K31+Aide!I31+Taux!J31</f>
        <v>0</v>
      </c>
      <c r="I37" s="317">
        <f t="shared" si="2"/>
        <v>-374435.86383325618</v>
      </c>
      <c r="J37" s="397">
        <f t="shared" si="3"/>
        <v>781414.81008493202</v>
      </c>
      <c r="K37" s="532">
        <f t="shared" si="4"/>
        <v>406978.94625167584</v>
      </c>
    </row>
    <row r="38" spans="1:11" x14ac:dyDescent="0.25">
      <c r="A38" s="38">
        <f>Données!A32</f>
        <v>5435</v>
      </c>
      <c r="B38" s="27" t="str">
        <f>Données!B32</f>
        <v>Saint-Livres</v>
      </c>
      <c r="C38" s="26">
        <f>Ecrêtage!C32</f>
        <v>26337.98545829628</v>
      </c>
      <c r="D38" s="12">
        <f>Données!Z32</f>
        <v>683</v>
      </c>
      <c r="E38" s="8">
        <f>Population!K35</f>
        <v>-84687.877263581468</v>
      </c>
      <c r="F38" s="239">
        <f>Solidarité!I32</f>
        <v>-98874.872670340905</v>
      </c>
      <c r="G38" s="8">
        <f>DT!O32</f>
        <v>-40542.837250222321</v>
      </c>
      <c r="H38" s="239">
        <f>Effort!K32+Aide!I32+Taux!J32</f>
        <v>0</v>
      </c>
      <c r="I38" s="317">
        <f t="shared" si="2"/>
        <v>-224105.58718414471</v>
      </c>
      <c r="J38" s="397">
        <f t="shared" si="3"/>
        <v>504538.54052900133</v>
      </c>
      <c r="K38" s="532">
        <f t="shared" si="4"/>
        <v>280432.95334485662</v>
      </c>
    </row>
    <row r="39" spans="1:11" x14ac:dyDescent="0.25">
      <c r="A39" s="38">
        <f>Données!A33</f>
        <v>5436</v>
      </c>
      <c r="B39" s="27" t="str">
        <f>Données!B33</f>
        <v>Saint-Oyens</v>
      </c>
      <c r="C39" s="26">
        <f>Ecrêtage!C33</f>
        <v>16753.686386728143</v>
      </c>
      <c r="D39" s="12">
        <f>Données!Z33</f>
        <v>461</v>
      </c>
      <c r="E39" s="8">
        <f>Population!K36</f>
        <v>-57161.21730382293</v>
      </c>
      <c r="F39" s="239">
        <f>Solidarité!I33</f>
        <v>-118801.18474117116</v>
      </c>
      <c r="G39" s="8">
        <f>DT!O33</f>
        <v>0</v>
      </c>
      <c r="H39" s="239">
        <f>Effort!K33+Aide!I33+Taux!J33</f>
        <v>0</v>
      </c>
      <c r="I39" s="317">
        <f t="shared" si="2"/>
        <v>-175962.40204499409</v>
      </c>
      <c r="J39" s="397">
        <f t="shared" si="3"/>
        <v>320938.76319526241</v>
      </c>
      <c r="K39" s="532">
        <f t="shared" si="4"/>
        <v>144976.36115026832</v>
      </c>
    </row>
    <row r="40" spans="1:11" x14ac:dyDescent="0.25">
      <c r="A40" s="38">
        <f>Données!A34</f>
        <v>5437</v>
      </c>
      <c r="B40" s="27" t="str">
        <f>Données!B34</f>
        <v>Saubraz</v>
      </c>
      <c r="C40" s="26">
        <f>Ecrêtage!C34</f>
        <v>13378.426818540998</v>
      </c>
      <c r="D40" s="12">
        <f>Données!Z34</f>
        <v>423</v>
      </c>
      <c r="E40" s="8">
        <f>Population!K37</f>
        <v>-52449.446680080473</v>
      </c>
      <c r="F40" s="239">
        <f>Solidarité!I34</f>
        <v>-157334.24284675083</v>
      </c>
      <c r="G40" s="8">
        <f>DT!O34</f>
        <v>-14986.93908875401</v>
      </c>
      <c r="H40" s="239">
        <f>Effort!K34+Aide!I34+Taux!J34</f>
        <v>0</v>
      </c>
      <c r="I40" s="317">
        <f t="shared" si="2"/>
        <v>-224770.6286155853</v>
      </c>
      <c r="J40" s="397">
        <f t="shared" si="3"/>
        <v>256281.25401954557</v>
      </c>
      <c r="K40" s="532">
        <f t="shared" si="4"/>
        <v>31510.625403960265</v>
      </c>
    </row>
    <row r="41" spans="1:11" x14ac:dyDescent="0.25">
      <c r="A41" s="38">
        <f>Données!A35</f>
        <v>5451</v>
      </c>
      <c r="B41" s="27" t="str">
        <f>Données!B35</f>
        <v>Avenches</v>
      </c>
      <c r="C41" s="26">
        <f>Ecrêtage!C35</f>
        <v>128992.08671525712</v>
      </c>
      <c r="D41" s="12">
        <f>Données!Z35</f>
        <v>4482</v>
      </c>
      <c r="E41" s="8">
        <f>Population!K38</f>
        <v>-1553396.3782696174</v>
      </c>
      <c r="F41" s="239">
        <f>Solidarité!I35</f>
        <v>-1377429.6163255139</v>
      </c>
      <c r="G41" s="8">
        <f>DT!O35</f>
        <v>-1374038.4797084574</v>
      </c>
      <c r="H41" s="239">
        <f>Effort!K35+Aide!I35+Taux!J35</f>
        <v>0</v>
      </c>
      <c r="I41" s="317">
        <f t="shared" si="2"/>
        <v>-4304864.4743035883</v>
      </c>
      <c r="J41" s="397">
        <f t="shared" si="3"/>
        <v>2471012.0397840072</v>
      </c>
      <c r="K41" s="532">
        <f t="shared" si="4"/>
        <v>-1833852.434519581</v>
      </c>
    </row>
    <row r="42" spans="1:11" x14ac:dyDescent="0.25">
      <c r="A42" s="38">
        <f>Données!A36</f>
        <v>5456</v>
      </c>
      <c r="B42" s="27" t="str">
        <f>Données!B36</f>
        <v>Cudrefin</v>
      </c>
      <c r="C42" s="26">
        <f>Ecrêtage!C36</f>
        <v>64212.312252410848</v>
      </c>
      <c r="D42" s="12">
        <f>Données!Z36</f>
        <v>1780</v>
      </c>
      <c r="E42" s="8">
        <f>Population!K39</f>
        <v>-394796.7806841046</v>
      </c>
      <c r="F42" s="239">
        <f>Solidarité!I36</f>
        <v>-250002.37004758875</v>
      </c>
      <c r="G42" s="8">
        <f>DT!O36</f>
        <v>-233795.62648553491</v>
      </c>
      <c r="H42" s="239">
        <f>Effort!K36+Aide!I36+Taux!J36</f>
        <v>0</v>
      </c>
      <c r="I42" s="317">
        <f t="shared" si="2"/>
        <v>-878594.77721722831</v>
      </c>
      <c r="J42" s="397">
        <f t="shared" si="3"/>
        <v>1230070.7796776032</v>
      </c>
      <c r="K42" s="532">
        <f t="shared" si="4"/>
        <v>351476.00246037485</v>
      </c>
    </row>
    <row r="43" spans="1:11" x14ac:dyDescent="0.25">
      <c r="A43" s="38">
        <f>Données!A37</f>
        <v>5458</v>
      </c>
      <c r="B43" s="27" t="str">
        <f>Données!B37</f>
        <v>Faoug</v>
      </c>
      <c r="C43" s="26">
        <f>Ecrêtage!C37</f>
        <v>32193.574318729454</v>
      </c>
      <c r="D43" s="12">
        <f>Données!Z37</f>
        <v>881</v>
      </c>
      <c r="E43" s="8">
        <f>Population!K40</f>
        <v>-109238.68209255532</v>
      </c>
      <c r="F43" s="239">
        <f>Solidarité!I37</f>
        <v>-147667.41296223132</v>
      </c>
      <c r="G43" s="8">
        <f>DT!O37</f>
        <v>-105672.30408762328</v>
      </c>
      <c r="H43" s="239">
        <f>Effort!K37+Aide!I37+Taux!J37</f>
        <v>0</v>
      </c>
      <c r="I43" s="317">
        <f t="shared" si="2"/>
        <v>-362578.39914240991</v>
      </c>
      <c r="J43" s="397">
        <f t="shared" si="3"/>
        <v>616709.9995898623</v>
      </c>
      <c r="K43" s="532">
        <f t="shared" si="4"/>
        <v>254131.60044745239</v>
      </c>
    </row>
    <row r="44" spans="1:11" x14ac:dyDescent="0.25">
      <c r="A44" s="38">
        <f>Données!A38</f>
        <v>5464</v>
      </c>
      <c r="B44" s="27" t="str">
        <f>Données!B38</f>
        <v>Vully-les-Lacs</v>
      </c>
      <c r="C44" s="26">
        <f>Ecrêtage!C38</f>
        <v>111582.51347109246</v>
      </c>
      <c r="D44" s="12">
        <f>Données!Z38</f>
        <v>3360</v>
      </c>
      <c r="E44" s="8">
        <f>Population!K41</f>
        <v>-996911.4688128772</v>
      </c>
      <c r="F44" s="239">
        <f>Solidarité!I38</f>
        <v>-781257.31856881105</v>
      </c>
      <c r="G44" s="8">
        <f>DT!O38</f>
        <v>-351566.1691734452</v>
      </c>
      <c r="H44" s="239">
        <f>Effort!K38+Aide!I38+Taux!J38</f>
        <v>0</v>
      </c>
      <c r="I44" s="317">
        <f t="shared" si="2"/>
        <v>-2129734.9565551332</v>
      </c>
      <c r="J44" s="397">
        <f t="shared" si="3"/>
        <v>2137508.9064577357</v>
      </c>
      <c r="K44" s="532">
        <f t="shared" si="4"/>
        <v>7773.9499026024714</v>
      </c>
    </row>
    <row r="45" spans="1:11" x14ac:dyDescent="0.25">
      <c r="A45" s="38">
        <f>Données!A39</f>
        <v>5471</v>
      </c>
      <c r="B45" s="27" t="str">
        <f>Données!B39</f>
        <v>Bettens</v>
      </c>
      <c r="C45" s="26">
        <f>Ecrêtage!C39</f>
        <v>20380.173113086941</v>
      </c>
      <c r="D45" s="12">
        <f>Données!Z39</f>
        <v>636</v>
      </c>
      <c r="E45" s="8">
        <f>Population!K42</f>
        <v>-78860.160965794756</v>
      </c>
      <c r="F45" s="239">
        <f>Solidarité!I39</f>
        <v>-175925.23686454695</v>
      </c>
      <c r="G45" s="8">
        <f>DT!O39</f>
        <v>-22103.711321478353</v>
      </c>
      <c r="H45" s="239">
        <f>Effort!K39+Aide!I39+Taux!J39</f>
        <v>0</v>
      </c>
      <c r="I45" s="317">
        <f t="shared" si="2"/>
        <v>-276889.10915182007</v>
      </c>
      <c r="J45" s="397">
        <f t="shared" si="3"/>
        <v>390408.85699047789</v>
      </c>
      <c r="K45" s="532">
        <f t="shared" si="4"/>
        <v>113519.74783865782</v>
      </c>
    </row>
    <row r="46" spans="1:11" x14ac:dyDescent="0.25">
      <c r="A46" s="38">
        <f>Données!A40</f>
        <v>5472</v>
      </c>
      <c r="B46" s="27" t="str">
        <f>Données!B40</f>
        <v>Bournens</v>
      </c>
      <c r="C46" s="26">
        <f>Ecrêtage!C40</f>
        <v>20138.784507874909</v>
      </c>
      <c r="D46" s="12">
        <f>Données!Z40</f>
        <v>490</v>
      </c>
      <c r="E46" s="8">
        <f>Population!K43</f>
        <v>-60757.042253521118</v>
      </c>
      <c r="F46" s="239">
        <f>Solidarité!I40</f>
        <v>-51482.766628922465</v>
      </c>
      <c r="G46" s="8">
        <f>DT!O40</f>
        <v>-15654.161619093818</v>
      </c>
      <c r="H46" s="239">
        <f>Effort!K40+Aide!I40+Taux!J40</f>
        <v>0</v>
      </c>
      <c r="I46" s="317">
        <f t="shared" si="2"/>
        <v>-127893.97050153741</v>
      </c>
      <c r="J46" s="397">
        <f t="shared" si="3"/>
        <v>385784.74271389999</v>
      </c>
      <c r="K46" s="532">
        <f t="shared" si="4"/>
        <v>257890.77221236259</v>
      </c>
    </row>
    <row r="47" spans="1:11" x14ac:dyDescent="0.25">
      <c r="A47" s="38">
        <f>Données!A41</f>
        <v>5473</v>
      </c>
      <c r="B47" s="27" t="str">
        <f>Données!B41</f>
        <v>Boussens</v>
      </c>
      <c r="C47" s="26">
        <f>Ecrêtage!C41</f>
        <v>37766.597979852122</v>
      </c>
      <c r="D47" s="12">
        <f>Données!Z41</f>
        <v>999</v>
      </c>
      <c r="E47" s="8">
        <f>Population!K44</f>
        <v>-123869.96981891347</v>
      </c>
      <c r="F47" s="239">
        <f>Solidarité!I41</f>
        <v>-152184.2491690898</v>
      </c>
      <c r="G47" s="8">
        <f>DT!O41</f>
        <v>0</v>
      </c>
      <c r="H47" s="239">
        <f>Effort!K41+Aide!I41+Taux!J41</f>
        <v>0</v>
      </c>
      <c r="I47" s="317">
        <f t="shared" si="2"/>
        <v>-276054.21898800327</v>
      </c>
      <c r="J47" s="397">
        <f t="shared" si="3"/>
        <v>723468.55288805021</v>
      </c>
      <c r="K47" s="532">
        <f t="shared" si="4"/>
        <v>447414.33390004694</v>
      </c>
    </row>
    <row r="48" spans="1:11" x14ac:dyDescent="0.25">
      <c r="A48" s="38">
        <f>Données!A42</f>
        <v>5474</v>
      </c>
      <c r="B48" s="27" t="str">
        <f>Données!B42</f>
        <v>La Chaux (Cossonay)</v>
      </c>
      <c r="C48" s="26">
        <f>Ecrêtage!C42</f>
        <v>13181.653644203574</v>
      </c>
      <c r="D48" s="12">
        <f>Données!Z42</f>
        <v>391</v>
      </c>
      <c r="E48" s="8">
        <f>Population!K45</f>
        <v>-48481.6398390342</v>
      </c>
      <c r="F48" s="239">
        <f>Solidarité!I42</f>
        <v>-115413.03615958996</v>
      </c>
      <c r="G48" s="8">
        <f>DT!O42</f>
        <v>-222534.57813477857</v>
      </c>
      <c r="H48" s="239">
        <f>Effort!K42+Aide!I42+Taux!J42</f>
        <v>0</v>
      </c>
      <c r="I48" s="317">
        <f t="shared" si="2"/>
        <v>-386429.25413340272</v>
      </c>
      <c r="J48" s="397">
        <f t="shared" si="3"/>
        <v>252511.80664276486</v>
      </c>
      <c r="K48" s="532">
        <f t="shared" si="4"/>
        <v>-133917.44749063786</v>
      </c>
    </row>
    <row r="49" spans="1:11" x14ac:dyDescent="0.25">
      <c r="A49" s="38">
        <f>Données!A43</f>
        <v>5475</v>
      </c>
      <c r="B49" s="27" t="str">
        <f>Données!B43</f>
        <v>Chavannes-le-Veyron</v>
      </c>
      <c r="C49" s="26">
        <f>Ecrêtage!C43</f>
        <v>3874.542905998469</v>
      </c>
      <c r="D49" s="12">
        <f>Données!Z43</f>
        <v>152</v>
      </c>
      <c r="E49" s="8">
        <f>Population!K46</f>
        <v>-18847.082494969814</v>
      </c>
      <c r="F49" s="239">
        <f>Solidarité!I43</f>
        <v>-74475.897541162034</v>
      </c>
      <c r="G49" s="8">
        <f>DT!O43</f>
        <v>-31260.085384510334</v>
      </c>
      <c r="H49" s="239">
        <f>Effort!K43+Aide!I43+Taux!J43</f>
        <v>0</v>
      </c>
      <c r="I49" s="317">
        <f t="shared" si="2"/>
        <v>-124583.06542064218</v>
      </c>
      <c r="J49" s="397">
        <f t="shared" si="3"/>
        <v>74221.93417582351</v>
      </c>
      <c r="K49" s="532">
        <f t="shared" si="4"/>
        <v>-50361.131244818665</v>
      </c>
    </row>
    <row r="50" spans="1:11" x14ac:dyDescent="0.25">
      <c r="A50" s="38">
        <f>Données!A44</f>
        <v>5476</v>
      </c>
      <c r="B50" s="27" t="str">
        <f>Données!B44</f>
        <v>Chevilly</v>
      </c>
      <c r="C50" s="26">
        <f>Ecrêtage!C44</f>
        <v>11841.851486486486</v>
      </c>
      <c r="D50" s="12">
        <f>Données!Z44</f>
        <v>317</v>
      </c>
      <c r="E50" s="8">
        <f>Population!K47</f>
        <v>-39306.08651911468</v>
      </c>
      <c r="F50" s="239">
        <f>Solidarité!I44</f>
        <v>-61149.257131886407</v>
      </c>
      <c r="G50" s="8">
        <f>DT!O44</f>
        <v>-4362.1113851351347</v>
      </c>
      <c r="H50" s="239">
        <f>Effort!K44+Aide!I44+Taux!J44</f>
        <v>0</v>
      </c>
      <c r="I50" s="317">
        <f t="shared" si="2"/>
        <v>-104817.45503613622</v>
      </c>
      <c r="J50" s="397">
        <f t="shared" si="3"/>
        <v>226846.14491922341</v>
      </c>
      <c r="K50" s="532">
        <f t="shared" si="4"/>
        <v>122028.68988308719</v>
      </c>
    </row>
    <row r="51" spans="1:11" x14ac:dyDescent="0.25">
      <c r="A51" s="38">
        <f>Données!A45</f>
        <v>5477</v>
      </c>
      <c r="B51" s="27" t="str">
        <f>Données!B45</f>
        <v>Cossonay</v>
      </c>
      <c r="C51" s="26">
        <f>Ecrêtage!C45</f>
        <v>119044.37813513582</v>
      </c>
      <c r="D51" s="12">
        <f>Données!Z45</f>
        <v>4222</v>
      </c>
      <c r="E51" s="8">
        <f>Population!K48</f>
        <v>-1424442.6559356134</v>
      </c>
      <c r="F51" s="239">
        <f>Solidarité!I45</f>
        <v>-1464811.3026970809</v>
      </c>
      <c r="G51" s="8">
        <f>DT!O45</f>
        <v>-854938.48118918517</v>
      </c>
      <c r="H51" s="239">
        <f>Effort!K45+Aide!I45+Taux!J45</f>
        <v>0</v>
      </c>
      <c r="I51" s="317">
        <f t="shared" si="2"/>
        <v>-3744192.4398218798</v>
      </c>
      <c r="J51" s="397">
        <f t="shared" si="3"/>
        <v>2280450.6782641849</v>
      </c>
      <c r="K51" s="532">
        <f t="shared" si="4"/>
        <v>-1463741.761557695</v>
      </c>
    </row>
    <row r="52" spans="1:11" x14ac:dyDescent="0.25">
      <c r="A52" s="38">
        <f>Données!A46</f>
        <v>5479</v>
      </c>
      <c r="B52" s="27" t="str">
        <f>Données!B46</f>
        <v>Cuarnens</v>
      </c>
      <c r="C52" s="26">
        <f>Ecrêtage!C46</f>
        <v>18064.580944641726</v>
      </c>
      <c r="D52" s="12">
        <f>Données!Z46</f>
        <v>527</v>
      </c>
      <c r="E52" s="8">
        <f>Population!K49</f>
        <v>-65344.818913480871</v>
      </c>
      <c r="F52" s="239">
        <f>Solidarité!I46</f>
        <v>-148496.47988912725</v>
      </c>
      <c r="G52" s="8">
        <f>DT!O46</f>
        <v>-90227.078623668349</v>
      </c>
      <c r="H52" s="239">
        <f>Effort!K46+Aide!I46+Taux!J46</f>
        <v>0</v>
      </c>
      <c r="I52" s="317">
        <f t="shared" si="2"/>
        <v>-304068.37742627645</v>
      </c>
      <c r="J52" s="397">
        <f t="shared" si="3"/>
        <v>346050.66205648665</v>
      </c>
      <c r="K52" s="532">
        <f t="shared" si="4"/>
        <v>41982.284630210197</v>
      </c>
    </row>
    <row r="53" spans="1:11" x14ac:dyDescent="0.25">
      <c r="A53" s="38">
        <f>Données!A47</f>
        <v>5480</v>
      </c>
      <c r="B53" s="27" t="str">
        <f>Données!B47</f>
        <v>Daillens</v>
      </c>
      <c r="C53" s="26">
        <f>Ecrêtage!C47</f>
        <v>40967.735913324992</v>
      </c>
      <c r="D53" s="12">
        <f>Données!Z47</f>
        <v>1048</v>
      </c>
      <c r="E53" s="8">
        <f>Population!K50</f>
        <v>-140658.75251509051</v>
      </c>
      <c r="F53" s="239">
        <f>Solidarité!I47</f>
        <v>-129156.04832235401</v>
      </c>
      <c r="G53" s="8">
        <f>DT!O47</f>
        <v>-434287.58452005009</v>
      </c>
      <c r="H53" s="239">
        <f>Effort!K47+Aide!I47+Taux!J47</f>
        <v>0</v>
      </c>
      <c r="I53" s="317">
        <f t="shared" si="2"/>
        <v>-704102.38535749458</v>
      </c>
      <c r="J53" s="397">
        <f t="shared" si="3"/>
        <v>784790.5345386127</v>
      </c>
      <c r="K53" s="532">
        <f t="shared" si="4"/>
        <v>80688.149181118119</v>
      </c>
    </row>
    <row r="54" spans="1:11" x14ac:dyDescent="0.25">
      <c r="A54" s="38">
        <f>Données!A48</f>
        <v>5481</v>
      </c>
      <c r="B54" s="27" t="str">
        <f>Données!B48</f>
        <v>Dizy</v>
      </c>
      <c r="C54" s="26">
        <f>Ecrêtage!C48</f>
        <v>8106.5312898245948</v>
      </c>
      <c r="D54" s="12">
        <f>Données!Z48</f>
        <v>224</v>
      </c>
      <c r="E54" s="8">
        <f>Population!K51</f>
        <v>-27774.647887323939</v>
      </c>
      <c r="F54" s="239">
        <f>Solidarité!I48</f>
        <v>-50256.536370036229</v>
      </c>
      <c r="G54" s="8">
        <f>DT!O48</f>
        <v>-28955.06226105243</v>
      </c>
      <c r="H54" s="239">
        <f>Effort!K48+Aide!I48+Taux!J48</f>
        <v>0</v>
      </c>
      <c r="I54" s="317">
        <f t="shared" si="2"/>
        <v>-106986.2465184126</v>
      </c>
      <c r="J54" s="397">
        <f t="shared" si="3"/>
        <v>155291.2037329888</v>
      </c>
      <c r="K54" s="532">
        <f t="shared" si="4"/>
        <v>48304.957214576192</v>
      </c>
    </row>
    <row r="55" spans="1:11" x14ac:dyDescent="0.25">
      <c r="A55" s="38">
        <f>Données!A49</f>
        <v>5482</v>
      </c>
      <c r="B55" s="27" t="str">
        <f>Données!B49</f>
        <v>Eclépens</v>
      </c>
      <c r="C55" s="26">
        <f>Ecrêtage!C49</f>
        <v>70435.439965635131</v>
      </c>
      <c r="D55" s="12">
        <f>Données!Z49</f>
        <v>1220</v>
      </c>
      <c r="E55" s="8">
        <f>Population!K52</f>
        <v>-200374.24547283701</v>
      </c>
      <c r="F55" s="239">
        <f>Solidarité!I49</f>
        <v>0</v>
      </c>
      <c r="G55" s="8">
        <f>DT!O49</f>
        <v>0</v>
      </c>
      <c r="H55" s="239">
        <f>Effort!K49+Aide!I49+Taux!J49</f>
        <v>0</v>
      </c>
      <c r="I55" s="317">
        <f t="shared" si="2"/>
        <v>-200374.24547283701</v>
      </c>
      <c r="J55" s="397">
        <f t="shared" si="3"/>
        <v>1349282.9259113139</v>
      </c>
      <c r="K55" s="532">
        <f t="shared" si="4"/>
        <v>1148908.6804384768</v>
      </c>
    </row>
    <row r="56" spans="1:11" x14ac:dyDescent="0.25">
      <c r="A56" s="38">
        <f>Données!A50</f>
        <v>5483</v>
      </c>
      <c r="B56" s="27" t="str">
        <f>Données!B50</f>
        <v>Ferreyres</v>
      </c>
      <c r="C56" s="26">
        <f>Ecrêtage!C50</f>
        <v>10817.678140952161</v>
      </c>
      <c r="D56" s="12">
        <f>Données!Z50</f>
        <v>319</v>
      </c>
      <c r="E56" s="8">
        <f>Population!K53</f>
        <v>-39554.074446680075</v>
      </c>
      <c r="F56" s="239">
        <f>Solidarité!I50</f>
        <v>-90268.83193222819</v>
      </c>
      <c r="G56" s="8">
        <f>DT!O50</f>
        <v>0</v>
      </c>
      <c r="H56" s="239">
        <f>Effort!K50+Aide!I50+Taux!J50</f>
        <v>0</v>
      </c>
      <c r="I56" s="317">
        <f t="shared" si="2"/>
        <v>-129822.90637890826</v>
      </c>
      <c r="J56" s="397">
        <f t="shared" si="3"/>
        <v>207226.76568375403</v>
      </c>
      <c r="K56" s="532">
        <f t="shared" si="4"/>
        <v>77403.85930484577</v>
      </c>
    </row>
    <row r="57" spans="1:11" x14ac:dyDescent="0.25">
      <c r="A57" s="38">
        <f>Données!A51</f>
        <v>5484</v>
      </c>
      <c r="B57" s="27" t="str">
        <f>Données!B51</f>
        <v>Gollion</v>
      </c>
      <c r="C57" s="26">
        <f>Ecrêtage!C51</f>
        <v>34968.588815884439</v>
      </c>
      <c r="D57" s="12">
        <f>Données!Z51</f>
        <v>996</v>
      </c>
      <c r="E57" s="8">
        <f>Population!K54</f>
        <v>-123497.98792756537</v>
      </c>
      <c r="F57" s="239">
        <f>Solidarité!I51</f>
        <v>-241098.82262273118</v>
      </c>
      <c r="G57" s="8">
        <f>DT!O51</f>
        <v>-217834.27549278003</v>
      </c>
      <c r="H57" s="239">
        <f>Effort!K51+Aide!I51+Taux!J51</f>
        <v>0</v>
      </c>
      <c r="I57" s="317">
        <f t="shared" si="2"/>
        <v>-582431.08604307659</v>
      </c>
      <c r="J57" s="397">
        <f t="shared" si="3"/>
        <v>669869.02978821693</v>
      </c>
      <c r="K57" s="532">
        <f t="shared" si="4"/>
        <v>87437.943745140336</v>
      </c>
    </row>
    <row r="58" spans="1:11" x14ac:dyDescent="0.25">
      <c r="A58" s="38">
        <f>Données!A52</f>
        <v>5485</v>
      </c>
      <c r="B58" s="27" t="str">
        <f>Données!B52</f>
        <v>Grancy</v>
      </c>
      <c r="C58" s="26">
        <f>Ecrêtage!C52</f>
        <v>14538.346948228997</v>
      </c>
      <c r="D58" s="12">
        <f>Données!Z52</f>
        <v>406</v>
      </c>
      <c r="E58" s="8">
        <f>Population!K55</f>
        <v>-50341.549295774639</v>
      </c>
      <c r="F58" s="239">
        <f>Solidarité!I52</f>
        <v>-82379.300010836872</v>
      </c>
      <c r="G58" s="8">
        <f>DT!O52</f>
        <v>-41762.908099454275</v>
      </c>
      <c r="H58" s="239">
        <f>Effort!K52+Aide!I52+Taux!J52</f>
        <v>0</v>
      </c>
      <c r="I58" s="317">
        <f t="shared" si="2"/>
        <v>-174483.75740606579</v>
      </c>
      <c r="J58" s="397">
        <f t="shared" si="3"/>
        <v>278501.04035398789</v>
      </c>
      <c r="K58" s="532">
        <f t="shared" si="4"/>
        <v>104017.2829479221</v>
      </c>
    </row>
    <row r="59" spans="1:11" x14ac:dyDescent="0.25">
      <c r="A59" s="38">
        <f>Données!A53</f>
        <v>5486</v>
      </c>
      <c r="B59" s="27" t="str">
        <f>Données!B53</f>
        <v>L'Isle</v>
      </c>
      <c r="C59" s="26">
        <f>Ecrêtage!C53</f>
        <v>37453.794062170404</v>
      </c>
      <c r="D59" s="12">
        <f>Données!Z53</f>
        <v>1065</v>
      </c>
      <c r="E59" s="8">
        <f>Population!K56</f>
        <v>-146560.86519114685</v>
      </c>
      <c r="F59" s="239">
        <f>Solidarité!I53</f>
        <v>-263407.22681750538</v>
      </c>
      <c r="G59" s="8">
        <f>DT!O53</f>
        <v>-270927.64008034975</v>
      </c>
      <c r="H59" s="239">
        <f>Effort!K53+Aide!I53+Taux!J53</f>
        <v>0</v>
      </c>
      <c r="I59" s="317">
        <f t="shared" si="2"/>
        <v>-680895.73208900192</v>
      </c>
      <c r="J59" s="397">
        <f t="shared" si="3"/>
        <v>717476.38494685432</v>
      </c>
      <c r="K59" s="532">
        <f t="shared" si="4"/>
        <v>36580.652857852401</v>
      </c>
    </row>
    <row r="60" spans="1:11" x14ac:dyDescent="0.25">
      <c r="A60" s="38">
        <f>Données!A54</f>
        <v>5487</v>
      </c>
      <c r="B60" s="27" t="str">
        <f>Données!B54</f>
        <v>Lussery-Villars</v>
      </c>
      <c r="C60" s="26">
        <f>Ecrêtage!C54</f>
        <v>12890.529066666668</v>
      </c>
      <c r="D60" s="12">
        <f>Données!Z54</f>
        <v>459</v>
      </c>
      <c r="E60" s="8">
        <f>Population!K57</f>
        <v>-56913.229376257535</v>
      </c>
      <c r="F60" s="239">
        <f>Solidarité!I54</f>
        <v>-186609.16301409484</v>
      </c>
      <c r="G60" s="8">
        <f>DT!O54</f>
        <v>-33649.325599999996</v>
      </c>
      <c r="H60" s="239">
        <f>Effort!K54+Aide!I54+Taux!J54</f>
        <v>0</v>
      </c>
      <c r="I60" s="317">
        <f t="shared" si="2"/>
        <v>-277171.71799035236</v>
      </c>
      <c r="J60" s="397">
        <f t="shared" si="3"/>
        <v>246934.93480132625</v>
      </c>
      <c r="K60" s="532">
        <f t="shared" si="4"/>
        <v>-30236.783189026115</v>
      </c>
    </row>
    <row r="61" spans="1:11" x14ac:dyDescent="0.25">
      <c r="A61" s="38">
        <f>Données!A55</f>
        <v>5488</v>
      </c>
      <c r="B61" s="27" t="str">
        <f>Données!B55</f>
        <v>Mauraz</v>
      </c>
      <c r="C61" s="26">
        <f>Ecrêtage!C55</f>
        <v>1631.9031355919719</v>
      </c>
      <c r="D61" s="12">
        <f>Données!Z55</f>
        <v>58</v>
      </c>
      <c r="E61" s="8">
        <f>Population!K58</f>
        <v>-7191.6498993963769</v>
      </c>
      <c r="F61" s="239">
        <f>Solidarité!I55</f>
        <v>-24782.730632431969</v>
      </c>
      <c r="G61" s="8">
        <f>DT!O55</f>
        <v>0</v>
      </c>
      <c r="H61" s="239">
        <f>Effort!K55+Aide!I55+Taux!J55</f>
        <v>0</v>
      </c>
      <c r="I61" s="317">
        <f t="shared" si="2"/>
        <v>-31974.380531828345</v>
      </c>
      <c r="J61" s="397">
        <f t="shared" si="3"/>
        <v>31261.237789806833</v>
      </c>
      <c r="K61" s="532">
        <f t="shared" si="4"/>
        <v>-713.14274202151137</v>
      </c>
    </row>
    <row r="62" spans="1:11" x14ac:dyDescent="0.25">
      <c r="A62" s="38">
        <f>Données!A56</f>
        <v>5489</v>
      </c>
      <c r="B62" s="27" t="str">
        <f>Données!B56</f>
        <v>Mex</v>
      </c>
      <c r="C62" s="26">
        <f>Ecrêtage!C56</f>
        <v>57470.761557418853</v>
      </c>
      <c r="D62" s="12">
        <f>Données!Z56</f>
        <v>791</v>
      </c>
      <c r="E62" s="8">
        <f>Population!K59</f>
        <v>-98079.225352112655</v>
      </c>
      <c r="F62" s="239">
        <f>Solidarité!I56</f>
        <v>0</v>
      </c>
      <c r="G62" s="8">
        <f>DT!O56</f>
        <v>-3077.4288319358602</v>
      </c>
      <c r="H62" s="239">
        <f>Effort!K56+Aide!I56+Taux!J56</f>
        <v>0</v>
      </c>
      <c r="I62" s="317">
        <f t="shared" si="2"/>
        <v>-101156.65418404852</v>
      </c>
      <c r="J62" s="397">
        <f t="shared" si="3"/>
        <v>1100927.5635444145</v>
      </c>
      <c r="K62" s="532">
        <f t="shared" si="4"/>
        <v>999770.90936036594</v>
      </c>
    </row>
    <row r="63" spans="1:11" x14ac:dyDescent="0.25">
      <c r="A63" s="38">
        <f>Données!A57</f>
        <v>5490</v>
      </c>
      <c r="B63" s="27" t="str">
        <f>Données!B57</f>
        <v>Moiry</v>
      </c>
      <c r="C63" s="26">
        <f>Ecrêtage!C57</f>
        <v>8655.6964066779783</v>
      </c>
      <c r="D63" s="12">
        <f>Données!Z57</f>
        <v>311</v>
      </c>
      <c r="E63" s="8">
        <f>Population!K60</f>
        <v>-38562.122736418503</v>
      </c>
      <c r="F63" s="239">
        <f>Solidarité!I57</f>
        <v>-136890.48747787517</v>
      </c>
      <c r="G63" s="8">
        <f>DT!O57</f>
        <v>-23116.07155993213</v>
      </c>
      <c r="H63" s="239">
        <f>Effort!K57+Aide!I57+Taux!J57</f>
        <v>0</v>
      </c>
      <c r="I63" s="317">
        <f t="shared" si="2"/>
        <v>-198568.68177422581</v>
      </c>
      <c r="J63" s="397">
        <f t="shared" si="3"/>
        <v>165811.17941622267</v>
      </c>
      <c r="K63" s="532">
        <f t="shared" si="4"/>
        <v>-32757.502358003141</v>
      </c>
    </row>
    <row r="64" spans="1:11" x14ac:dyDescent="0.25">
      <c r="A64" s="38">
        <f>Données!A58</f>
        <v>5491</v>
      </c>
      <c r="B64" s="27" t="str">
        <f>Données!B58</f>
        <v>Mont-la-Ville</v>
      </c>
      <c r="C64" s="26">
        <f>Ecrêtage!C58</f>
        <v>14318.599966826661</v>
      </c>
      <c r="D64" s="12">
        <f>Données!Z58</f>
        <v>490</v>
      </c>
      <c r="E64" s="8">
        <f>Population!K61</f>
        <v>-60757.042253521118</v>
      </c>
      <c r="F64" s="239">
        <f>Solidarité!I58</f>
        <v>-191693.5952916409</v>
      </c>
      <c r="G64" s="8">
        <f>DT!O58</f>
        <v>-78502.650199040028</v>
      </c>
      <c r="H64" s="239">
        <f>Effort!K58+Aide!I58+Taux!J58</f>
        <v>0</v>
      </c>
      <c r="I64" s="317">
        <f t="shared" si="2"/>
        <v>-330953.28774420207</v>
      </c>
      <c r="J64" s="397">
        <f t="shared" si="3"/>
        <v>274291.49967146525</v>
      </c>
      <c r="K64" s="532">
        <f t="shared" si="4"/>
        <v>-56661.788072736817</v>
      </c>
    </row>
    <row r="65" spans="1:11" x14ac:dyDescent="0.25">
      <c r="A65" s="38">
        <f>Données!A59</f>
        <v>5492</v>
      </c>
      <c r="B65" s="27" t="str">
        <f>Données!B59</f>
        <v>Montricher</v>
      </c>
      <c r="C65" s="26">
        <f>Ecrêtage!C59</f>
        <v>157142.15514628743</v>
      </c>
      <c r="D65" s="12">
        <f>Données!Z59</f>
        <v>964</v>
      </c>
      <c r="E65" s="8">
        <f>Population!K62</f>
        <v>-119530.18108651909</v>
      </c>
      <c r="F65" s="239">
        <f>Solidarité!I59</f>
        <v>0</v>
      </c>
      <c r="G65" s="8">
        <f>DT!O59</f>
        <v>-207517.38364028445</v>
      </c>
      <c r="H65" s="239">
        <f>Effort!K59+Aide!I59+Taux!J59</f>
        <v>-705816.01229836838</v>
      </c>
      <c r="I65" s="317">
        <f t="shared" si="2"/>
        <v>-1032863.577025172</v>
      </c>
      <c r="J65" s="397">
        <f t="shared" si="3"/>
        <v>3010263.3984147701</v>
      </c>
      <c r="K65" s="532">
        <f t="shared" si="4"/>
        <v>1977399.8213895983</v>
      </c>
    </row>
    <row r="66" spans="1:11" x14ac:dyDescent="0.25">
      <c r="A66" s="38">
        <f>Données!A60</f>
        <v>5493</v>
      </c>
      <c r="B66" s="27" t="str">
        <f>Données!B60</f>
        <v>Orny</v>
      </c>
      <c r="C66" s="26">
        <f>Ecrêtage!C60</f>
        <v>12876.853954456508</v>
      </c>
      <c r="D66" s="12">
        <f>Données!Z60</f>
        <v>462</v>
      </c>
      <c r="E66" s="8">
        <f>Population!K63</f>
        <v>-57285.21126760562</v>
      </c>
      <c r="F66" s="239">
        <f>Solidarité!I60</f>
        <v>-180030.12987646135</v>
      </c>
      <c r="G66" s="8">
        <f>DT!O60</f>
        <v>0</v>
      </c>
      <c r="H66" s="239">
        <f>Effort!K60+Aide!I60+Taux!J60</f>
        <v>0</v>
      </c>
      <c r="I66" s="317">
        <f t="shared" si="2"/>
        <v>-237315.34114406697</v>
      </c>
      <c r="J66" s="397">
        <f t="shared" si="3"/>
        <v>246672.9701508024</v>
      </c>
      <c r="K66" s="532">
        <f t="shared" si="4"/>
        <v>9357.6290067354275</v>
      </c>
    </row>
    <row r="67" spans="1:11" x14ac:dyDescent="0.25">
      <c r="A67" s="38">
        <f>Données!A61</f>
        <v>5495</v>
      </c>
      <c r="B67" s="27" t="str">
        <f>Données!B61</f>
        <v>Penthalaz</v>
      </c>
      <c r="C67" s="26">
        <f>Ecrêtage!C61</f>
        <v>93343.047382121076</v>
      </c>
      <c r="D67" s="12">
        <f>Données!Z61</f>
        <v>3207</v>
      </c>
      <c r="E67" s="8">
        <f>Population!K64</f>
        <v>-921027.16297786706</v>
      </c>
      <c r="F67" s="239">
        <f>Solidarité!I61</f>
        <v>-1197563.6023866287</v>
      </c>
      <c r="G67" s="8">
        <f>DT!O61</f>
        <v>-611329.21570727357</v>
      </c>
      <c r="H67" s="239">
        <f>Effort!K61+Aide!I61+Taux!J61</f>
        <v>0</v>
      </c>
      <c r="I67" s="317">
        <f t="shared" si="2"/>
        <v>-2729919.9810717697</v>
      </c>
      <c r="J67" s="397">
        <f t="shared" si="3"/>
        <v>1788108.0908513502</v>
      </c>
      <c r="K67" s="532">
        <f t="shared" si="4"/>
        <v>-941811.8902204195</v>
      </c>
    </row>
    <row r="68" spans="1:11" x14ac:dyDescent="0.25">
      <c r="A68" s="38">
        <f>Données!A62</f>
        <v>5496</v>
      </c>
      <c r="B68" s="27" t="str">
        <f>Données!B62</f>
        <v>Penthaz</v>
      </c>
      <c r="C68" s="26">
        <f>Ecrêtage!C62</f>
        <v>60111.570435586618</v>
      </c>
      <c r="D68" s="12">
        <f>Données!Z62</f>
        <v>1855</v>
      </c>
      <c r="E68" s="8">
        <f>Population!K65</f>
        <v>-420835.51307847077</v>
      </c>
      <c r="F68" s="239">
        <f>Solidarité!I62</f>
        <v>-492891.04535024083</v>
      </c>
      <c r="G68" s="8">
        <f>DT!O62</f>
        <v>-207077.57738648029</v>
      </c>
      <c r="H68" s="239">
        <f>Effort!K62+Aide!I62+Taux!J62</f>
        <v>0</v>
      </c>
      <c r="I68" s="317">
        <f t="shared" si="2"/>
        <v>-1120804.135815192</v>
      </c>
      <c r="J68" s="397">
        <f t="shared" si="3"/>
        <v>1151515.7096771742</v>
      </c>
      <c r="K68" s="532">
        <f t="shared" si="4"/>
        <v>30711.573861982208</v>
      </c>
    </row>
    <row r="69" spans="1:11" x14ac:dyDescent="0.25">
      <c r="A69" s="38">
        <f>Données!A63</f>
        <v>5497</v>
      </c>
      <c r="B69" s="27" t="str">
        <f>Données!B63</f>
        <v>Pompaples</v>
      </c>
      <c r="C69" s="26">
        <f>Ecrêtage!C63</f>
        <v>20415.356363636369</v>
      </c>
      <c r="D69" s="12">
        <f>Données!Z63</f>
        <v>847</v>
      </c>
      <c r="E69" s="8">
        <f>Population!K66</f>
        <v>-105022.88732394365</v>
      </c>
      <c r="F69" s="239">
        <f>Solidarité!I63</f>
        <v>-325355.8268243394</v>
      </c>
      <c r="G69" s="8">
        <f>DT!O63</f>
        <v>-100740.86181818179</v>
      </c>
      <c r="H69" s="239">
        <f>Effort!K63+Aide!I63+Taux!J63</f>
        <v>0</v>
      </c>
      <c r="I69" s="317">
        <f t="shared" si="2"/>
        <v>-531119.57596646482</v>
      </c>
      <c r="J69" s="397">
        <f t="shared" si="3"/>
        <v>391082.83814637846</v>
      </c>
      <c r="K69" s="532">
        <f t="shared" si="4"/>
        <v>-140036.73782008636</v>
      </c>
    </row>
    <row r="70" spans="1:11" x14ac:dyDescent="0.25">
      <c r="A70" s="38">
        <f>Données!A64</f>
        <v>5498</v>
      </c>
      <c r="B70" s="27" t="str">
        <f>Données!B64</f>
        <v>La Sarraz</v>
      </c>
      <c r="C70" s="26">
        <f>Ecrêtage!C64</f>
        <v>77489.743908484481</v>
      </c>
      <c r="D70" s="12">
        <f>Données!Z64</f>
        <v>2598</v>
      </c>
      <c r="E70" s="8">
        <f>Population!K67</f>
        <v>-678792.55533199187</v>
      </c>
      <c r="F70" s="239">
        <f>Solidarité!I64</f>
        <v>-739137.14955008682</v>
      </c>
      <c r="G70" s="8">
        <f>DT!O64</f>
        <v>-426194.28654909309</v>
      </c>
      <c r="H70" s="239">
        <f>Effort!K64+Aide!I64+Taux!J64</f>
        <v>0</v>
      </c>
      <c r="I70" s="317">
        <f t="shared" si="2"/>
        <v>-1844123.991431172</v>
      </c>
      <c r="J70" s="397">
        <f t="shared" si="3"/>
        <v>1484417.3393389771</v>
      </c>
      <c r="K70" s="532">
        <f t="shared" si="4"/>
        <v>-359706.65209219488</v>
      </c>
    </row>
    <row r="71" spans="1:11" x14ac:dyDescent="0.25">
      <c r="A71" s="38">
        <f>Données!A65</f>
        <v>5499</v>
      </c>
      <c r="B71" s="27" t="str">
        <f>Données!B65</f>
        <v>Senarclens</v>
      </c>
      <c r="C71" s="26">
        <f>Ecrêtage!C65</f>
        <v>19645.120071728084</v>
      </c>
      <c r="D71" s="12">
        <f>Données!Z65</f>
        <v>496</v>
      </c>
      <c r="E71" s="8">
        <f>Population!K68</f>
        <v>-61501.006036217295</v>
      </c>
      <c r="F71" s="239">
        <f>Solidarité!I65</f>
        <v>-61049.478580968833</v>
      </c>
      <c r="G71" s="8">
        <f>DT!O65</f>
        <v>-217670.27956963147</v>
      </c>
      <c r="H71" s="239">
        <f>Effort!K65+Aide!I65+Taux!J65</f>
        <v>0</v>
      </c>
      <c r="I71" s="317">
        <f t="shared" si="2"/>
        <v>-340220.76418681757</v>
      </c>
      <c r="J71" s="397">
        <f t="shared" si="3"/>
        <v>376327.95512021804</v>
      </c>
      <c r="K71" s="532">
        <f t="shared" si="4"/>
        <v>36107.190933400474</v>
      </c>
    </row>
    <row r="72" spans="1:11" x14ac:dyDescent="0.25">
      <c r="A72" s="38">
        <f>Données!A66</f>
        <v>5501</v>
      </c>
      <c r="B72" s="27" t="str">
        <f>Données!B66</f>
        <v>Sullens</v>
      </c>
      <c r="C72" s="26">
        <f>Ecrêtage!C66</f>
        <v>41909.752277748921</v>
      </c>
      <c r="D72" s="12">
        <f>Données!Z66</f>
        <v>1041</v>
      </c>
      <c r="E72" s="8">
        <f>Population!K69</f>
        <v>-138228.47082494968</v>
      </c>
      <c r="F72" s="239">
        <f>Solidarité!I66</f>
        <v>-115403.39270582027</v>
      </c>
      <c r="G72" s="8">
        <f>DT!O66</f>
        <v>-15990.922125194782</v>
      </c>
      <c r="H72" s="239">
        <f>Effort!K66+Aide!I66+Taux!J66</f>
        <v>0</v>
      </c>
      <c r="I72" s="317">
        <f t="shared" si="2"/>
        <v>-269622.78565596475</v>
      </c>
      <c r="J72" s="397">
        <f t="shared" si="3"/>
        <v>802836.08940511721</v>
      </c>
      <c r="K72" s="532">
        <f t="shared" si="4"/>
        <v>533213.30374915246</v>
      </c>
    </row>
    <row r="73" spans="1:11" x14ac:dyDescent="0.25">
      <c r="A73" s="38">
        <f>Données!A67</f>
        <v>5503</v>
      </c>
      <c r="B73" s="27" t="str">
        <f>Données!B67</f>
        <v>Vufflens-la-Ville</v>
      </c>
      <c r="C73" s="26">
        <f>Ecrêtage!C67</f>
        <v>67522.299953701979</v>
      </c>
      <c r="D73" s="12">
        <f>Données!Z67</f>
        <v>1349</v>
      </c>
      <c r="E73" s="8">
        <f>Population!K70</f>
        <v>-245160.86519114685</v>
      </c>
      <c r="F73" s="239">
        <f>Solidarité!I67</f>
        <v>0</v>
      </c>
      <c r="G73" s="8">
        <f>DT!O67</f>
        <v>0</v>
      </c>
      <c r="H73" s="239">
        <f>Effort!K67+Aide!I67+Taux!J67</f>
        <v>0</v>
      </c>
      <c r="I73" s="317">
        <f t="shared" si="2"/>
        <v>-245160.86519114685</v>
      </c>
      <c r="J73" s="397">
        <f t="shared" si="3"/>
        <v>1293477.920919392</v>
      </c>
      <c r="K73" s="532">
        <f t="shared" si="4"/>
        <v>1048317.0557282452</v>
      </c>
    </row>
    <row r="74" spans="1:11" x14ac:dyDescent="0.25">
      <c r="A74" s="38">
        <f>Données!A68</f>
        <v>5511</v>
      </c>
      <c r="B74" s="27" t="str">
        <f>Données!B68</f>
        <v>Assens</v>
      </c>
      <c r="C74" s="26">
        <f>Ecrêtage!C68</f>
        <v>66087.783372412887</v>
      </c>
      <c r="D74" s="12">
        <f>Données!Z68</f>
        <v>1666</v>
      </c>
      <c r="E74" s="8">
        <f>Population!K71</f>
        <v>-355217.90744466794</v>
      </c>
      <c r="F74" s="239">
        <f>Solidarité!I68</f>
        <v>-208150.71871233155</v>
      </c>
      <c r="G74" s="8">
        <f>DT!O68</f>
        <v>-156446.79976552268</v>
      </c>
      <c r="H74" s="239">
        <f>Effort!K68+Aide!I68+Taux!J68</f>
        <v>0</v>
      </c>
      <c r="I74" s="317">
        <f t="shared" si="2"/>
        <v>-719815.4259225222</v>
      </c>
      <c r="J74" s="397">
        <f t="shared" si="3"/>
        <v>1265997.8806014159</v>
      </c>
      <c r="K74" s="532">
        <f t="shared" si="4"/>
        <v>546182.45467889367</v>
      </c>
    </row>
    <row r="75" spans="1:11" x14ac:dyDescent="0.25">
      <c r="A75" s="38">
        <f>Données!A69</f>
        <v>5512</v>
      </c>
      <c r="B75" s="27" t="str">
        <f>Données!B69</f>
        <v>Bercher</v>
      </c>
      <c r="C75" s="26">
        <f>Ecrêtage!C69</f>
        <v>40303.726605085889</v>
      </c>
      <c r="D75" s="12">
        <f>Données!Z69</f>
        <v>1323</v>
      </c>
      <c r="E75" s="8">
        <f>Population!K72</f>
        <v>-236134.10462776656</v>
      </c>
      <c r="F75" s="239">
        <f>Solidarité!I69</f>
        <v>-518253.75776063598</v>
      </c>
      <c r="G75" s="8">
        <f>DT!O69</f>
        <v>-235591.84541567025</v>
      </c>
      <c r="H75" s="239">
        <f>Effort!K69+Aide!I69+Taux!J69</f>
        <v>0</v>
      </c>
      <c r="I75" s="317">
        <f t="shared" si="2"/>
        <v>-989979.70780407288</v>
      </c>
      <c r="J75" s="397">
        <f t="shared" si="3"/>
        <v>772070.56824479345</v>
      </c>
      <c r="K75" s="532">
        <f t="shared" si="4"/>
        <v>-217909.13955927943</v>
      </c>
    </row>
    <row r="76" spans="1:11" x14ac:dyDescent="0.25">
      <c r="A76" s="38">
        <f>Données!A70</f>
        <v>5514</v>
      </c>
      <c r="B76" s="27" t="str">
        <f>Données!B70</f>
        <v>Bottens</v>
      </c>
      <c r="C76" s="26">
        <f>Ecrêtage!C70</f>
        <v>44188.527468794709</v>
      </c>
      <c r="D76" s="12">
        <f>Données!Z70</f>
        <v>1330</v>
      </c>
      <c r="E76" s="8">
        <f>Population!K73</f>
        <v>-238564.38631790743</v>
      </c>
      <c r="F76" s="239">
        <f>Solidarité!I70</f>
        <v>-361674.11903121555</v>
      </c>
      <c r="G76" s="8">
        <f>DT!O70</f>
        <v>0</v>
      </c>
      <c r="H76" s="239">
        <f>Effort!K70+Aide!I70+Taux!J70</f>
        <v>0</v>
      </c>
      <c r="I76" s="317">
        <f t="shared" si="2"/>
        <v>-600238.50534912292</v>
      </c>
      <c r="J76" s="397">
        <f t="shared" si="3"/>
        <v>846489.00700978481</v>
      </c>
      <c r="K76" s="532">
        <f t="shared" si="4"/>
        <v>246250.50166066189</v>
      </c>
    </row>
    <row r="77" spans="1:11" x14ac:dyDescent="0.25">
      <c r="A77" s="38">
        <f>Données!A71</f>
        <v>5515</v>
      </c>
      <c r="B77" s="27" t="str">
        <f>Données!B71</f>
        <v>Bretigny-sur-Morrens</v>
      </c>
      <c r="C77" s="26">
        <f>Ecrêtage!C71</f>
        <v>29581.308918344312</v>
      </c>
      <c r="D77" s="12">
        <f>Données!Z71</f>
        <v>859</v>
      </c>
      <c r="E77" s="8">
        <f>Population!K74</f>
        <v>-106510.814889336</v>
      </c>
      <c r="F77" s="239">
        <f>Solidarité!I71</f>
        <v>-264271.70302743424</v>
      </c>
      <c r="G77" s="8">
        <f>DT!O71</f>
        <v>-53060.64648993413</v>
      </c>
      <c r="H77" s="239">
        <f>Effort!K71+Aide!I71+Taux!J71</f>
        <v>0</v>
      </c>
      <c r="I77" s="317">
        <f t="shared" ref="I77:I140" si="5">SUM(E77:H77)</f>
        <v>-423843.16440670437</v>
      </c>
      <c r="J77" s="397">
        <f t="shared" ref="J77:J140" si="6">C77*$J$11</f>
        <v>566668.64108612866</v>
      </c>
      <c r="K77" s="532">
        <f t="shared" ref="K77:K140" si="7">I77+J77</f>
        <v>142825.47667942429</v>
      </c>
    </row>
    <row r="78" spans="1:11" x14ac:dyDescent="0.25">
      <c r="A78" s="38">
        <f>Données!A72</f>
        <v>5516</v>
      </c>
      <c r="B78" s="27" t="str">
        <f>Données!B72</f>
        <v>Cugy</v>
      </c>
      <c r="C78" s="26">
        <f>Ecrêtage!C72</f>
        <v>107018.16986148078</v>
      </c>
      <c r="D78" s="12">
        <f>Données!Z72</f>
        <v>2760</v>
      </c>
      <c r="E78" s="8">
        <f>Population!K75</f>
        <v>-735036.21730382286</v>
      </c>
      <c r="F78" s="239">
        <f>Solidarité!I72</f>
        <v>-496323.71920616552</v>
      </c>
      <c r="G78" s="8">
        <f>DT!O72</f>
        <v>-163097.7308311153</v>
      </c>
      <c r="H78" s="239">
        <f>Effort!K72+Aide!I72+Taux!J72</f>
        <v>0</v>
      </c>
      <c r="I78" s="317">
        <f t="shared" si="5"/>
        <v>-1394457.6673411035</v>
      </c>
      <c r="J78" s="397">
        <f t="shared" si="6"/>
        <v>2050072.9380951303</v>
      </c>
      <c r="K78" s="532">
        <f t="shared" si="7"/>
        <v>655615.27075402671</v>
      </c>
    </row>
    <row r="79" spans="1:11" x14ac:dyDescent="0.25">
      <c r="A79" s="38">
        <f>Données!A73</f>
        <v>5518</v>
      </c>
      <c r="B79" s="27" t="str">
        <f>Données!B73</f>
        <v>Echallens</v>
      </c>
      <c r="C79" s="26">
        <f>Ecrêtage!C73</f>
        <v>178600.86493850421</v>
      </c>
      <c r="D79" s="12">
        <f>Données!Z73</f>
        <v>5731</v>
      </c>
      <c r="E79" s="8">
        <f>Population!K76</f>
        <v>-2245381.8913480882</v>
      </c>
      <c r="F79" s="239">
        <f>Solidarité!I73</f>
        <v>-1806480.9352836492</v>
      </c>
      <c r="G79" s="8">
        <f>DT!O73</f>
        <v>-1192072.5603689747</v>
      </c>
      <c r="H79" s="239">
        <f>Effort!K73+Aide!I73+Taux!J73</f>
        <v>0</v>
      </c>
      <c r="I79" s="317">
        <f t="shared" si="5"/>
        <v>-5243935.3870007116</v>
      </c>
      <c r="J79" s="397">
        <f t="shared" si="6"/>
        <v>3421333.0353596145</v>
      </c>
      <c r="K79" s="532">
        <f t="shared" si="7"/>
        <v>-1822602.3516410971</v>
      </c>
    </row>
    <row r="80" spans="1:11" x14ac:dyDescent="0.25">
      <c r="A80" s="38">
        <f>Données!A74</f>
        <v>5520</v>
      </c>
      <c r="B80" s="27" t="str">
        <f>Données!B74</f>
        <v>Essertines-sur-Yverdon</v>
      </c>
      <c r="C80" s="26">
        <f>Ecrêtage!C74</f>
        <v>29717.541203363555</v>
      </c>
      <c r="D80" s="12">
        <f>Données!Z74</f>
        <v>1036</v>
      </c>
      <c r="E80" s="8">
        <f>Population!K77</f>
        <v>-136492.55533199193</v>
      </c>
      <c r="F80" s="239">
        <f>Solidarité!I74</f>
        <v>-385770.60735444928</v>
      </c>
      <c r="G80" s="8">
        <f>DT!O74</f>
        <v>-142998.84687729599</v>
      </c>
      <c r="H80" s="239">
        <f>Effort!K74+Aide!I74+Taux!J74</f>
        <v>0</v>
      </c>
      <c r="I80" s="317">
        <f t="shared" si="5"/>
        <v>-665262.0095637372</v>
      </c>
      <c r="J80" s="397">
        <f t="shared" si="6"/>
        <v>569278.34858882939</v>
      </c>
      <c r="K80" s="532">
        <f t="shared" si="7"/>
        <v>-95983.660974907805</v>
      </c>
    </row>
    <row r="81" spans="1:11" x14ac:dyDescent="0.25">
      <c r="A81" s="38">
        <f>Données!A75</f>
        <v>5521</v>
      </c>
      <c r="B81" s="27" t="str">
        <f>Données!B75</f>
        <v>Etagnières</v>
      </c>
      <c r="C81" s="26">
        <f>Ecrêtage!C75</f>
        <v>46728.684482765391</v>
      </c>
      <c r="D81" s="12">
        <f>Données!Z75</f>
        <v>1148</v>
      </c>
      <c r="E81" s="8">
        <f>Population!K78</f>
        <v>-175377.06237424543</v>
      </c>
      <c r="F81" s="239">
        <f>Solidarité!I75</f>
        <v>-133649.7477744584</v>
      </c>
      <c r="G81" s="8">
        <f>DT!O75</f>
        <v>-68523.393103407652</v>
      </c>
      <c r="H81" s="239">
        <f>Effort!K75+Aide!I75+Taux!J75</f>
        <v>0</v>
      </c>
      <c r="I81" s="317">
        <f t="shared" si="5"/>
        <v>-377550.2032521115</v>
      </c>
      <c r="J81" s="397">
        <f t="shared" si="6"/>
        <v>895149.03511150042</v>
      </c>
      <c r="K81" s="532">
        <f t="shared" si="7"/>
        <v>517598.83185938891</v>
      </c>
    </row>
    <row r="82" spans="1:11" x14ac:dyDescent="0.25">
      <c r="A82" s="38">
        <f>Données!A76</f>
        <v>5522</v>
      </c>
      <c r="B82" s="27" t="str">
        <f>Données!B76</f>
        <v>Fey</v>
      </c>
      <c r="C82" s="26">
        <f>Ecrêtage!C76</f>
        <v>23725.546686457117</v>
      </c>
      <c r="D82" s="12">
        <f>Données!Z76</f>
        <v>749</v>
      </c>
      <c r="E82" s="8">
        <f>Population!K79</f>
        <v>-92871.478873239423</v>
      </c>
      <c r="F82" s="239">
        <f>Solidarité!I76</f>
        <v>-244032.29133570881</v>
      </c>
      <c r="G82" s="8">
        <f>DT!O76</f>
        <v>-109297.55986641446</v>
      </c>
      <c r="H82" s="239">
        <f>Effort!K76+Aide!I76+Taux!J76</f>
        <v>0</v>
      </c>
      <c r="I82" s="317">
        <f t="shared" si="5"/>
        <v>-446201.3300753627</v>
      </c>
      <c r="J82" s="397">
        <f t="shared" si="6"/>
        <v>454493.86086843442</v>
      </c>
      <c r="K82" s="532">
        <f t="shared" si="7"/>
        <v>8292.5307930717245</v>
      </c>
    </row>
    <row r="83" spans="1:11" x14ac:dyDescent="0.25">
      <c r="A83" s="38">
        <f>Données!A77</f>
        <v>5523</v>
      </c>
      <c r="B83" s="27" t="str">
        <f>Données!B77</f>
        <v>Froideville</v>
      </c>
      <c r="C83" s="26">
        <f>Ecrêtage!C77</f>
        <v>85857.812378374249</v>
      </c>
      <c r="D83" s="12">
        <f>Données!Z77</f>
        <v>2694</v>
      </c>
      <c r="E83" s="8">
        <f>Population!K80</f>
        <v>-712122.13279678056</v>
      </c>
      <c r="F83" s="239">
        <f>Solidarité!I77</f>
        <v>-798109.58980339009</v>
      </c>
      <c r="G83" s="8">
        <f>DT!O77</f>
        <v>-122045.62572975451</v>
      </c>
      <c r="H83" s="239">
        <f>Effort!K77+Aide!I77+Taux!J77</f>
        <v>0</v>
      </c>
      <c r="I83" s="317">
        <f t="shared" si="5"/>
        <v>-1632277.3483299252</v>
      </c>
      <c r="J83" s="397">
        <f t="shared" si="6"/>
        <v>1644718.6296381191</v>
      </c>
      <c r="K83" s="532">
        <f t="shared" si="7"/>
        <v>12441.281308193924</v>
      </c>
    </row>
    <row r="84" spans="1:11" x14ac:dyDescent="0.25">
      <c r="A84" s="38">
        <f>Données!A78</f>
        <v>5527</v>
      </c>
      <c r="B84" s="27" t="str">
        <f>Données!B78</f>
        <v>Morrens</v>
      </c>
      <c r="C84" s="26">
        <f>Ecrêtage!C78</f>
        <v>40562.178421686454</v>
      </c>
      <c r="D84" s="12">
        <f>Données!Z78</f>
        <v>1153</v>
      </c>
      <c r="E84" s="8">
        <f>Population!K81</f>
        <v>-177112.97786720318</v>
      </c>
      <c r="F84" s="239">
        <f>Solidarité!I78</f>
        <v>-277320.60838406498</v>
      </c>
      <c r="G84" s="8">
        <f>DT!O78</f>
        <v>-83675.679469881274</v>
      </c>
      <c r="H84" s="239">
        <f>Effort!K78+Aide!I78+Taux!J78</f>
        <v>0</v>
      </c>
      <c r="I84" s="317">
        <f t="shared" si="5"/>
        <v>-538109.26572114939</v>
      </c>
      <c r="J84" s="397">
        <f t="shared" si="6"/>
        <v>777021.55064058804</v>
      </c>
      <c r="K84" s="532">
        <f t="shared" si="7"/>
        <v>238912.28491943865</v>
      </c>
    </row>
    <row r="85" spans="1:11" x14ac:dyDescent="0.25">
      <c r="A85" s="38">
        <f>Données!A79</f>
        <v>5529</v>
      </c>
      <c r="B85" s="27" t="str">
        <f>Données!B79</f>
        <v>Oulens-sous-Echallens</v>
      </c>
      <c r="C85" s="26">
        <f>Ecrêtage!C79</f>
        <v>20197.480835918959</v>
      </c>
      <c r="D85" s="12">
        <f>Données!Z79</f>
        <v>618</v>
      </c>
      <c r="E85" s="8">
        <f>Population!K82</f>
        <v>-76628.269617706217</v>
      </c>
      <c r="F85" s="239">
        <f>Solidarité!I79</f>
        <v>-163229.68391116275</v>
      </c>
      <c r="G85" s="8">
        <f>DT!O79</f>
        <v>-65837.364984486252</v>
      </c>
      <c r="H85" s="239">
        <f>Effort!K79+Aide!I79+Taux!J79</f>
        <v>0</v>
      </c>
      <c r="I85" s="317">
        <f t="shared" si="5"/>
        <v>-305695.31851335522</v>
      </c>
      <c r="J85" s="397">
        <f t="shared" si="6"/>
        <v>386909.14760555915</v>
      </c>
      <c r="K85" s="532">
        <f t="shared" si="7"/>
        <v>81213.82909220393</v>
      </c>
    </row>
    <row r="86" spans="1:11" x14ac:dyDescent="0.25">
      <c r="A86" s="38">
        <f>Données!A80</f>
        <v>5530</v>
      </c>
      <c r="B86" s="27" t="str">
        <f>Données!B80</f>
        <v>Pailly</v>
      </c>
      <c r="C86" s="26">
        <f>Ecrêtage!C80</f>
        <v>18293.784444479894</v>
      </c>
      <c r="D86" s="12">
        <f>Données!Z80</f>
        <v>567</v>
      </c>
      <c r="E86" s="8">
        <f>Population!K83</f>
        <v>-70304.577464788716</v>
      </c>
      <c r="F86" s="239">
        <f>Solidarité!I80</f>
        <v>-182000.61033342019</v>
      </c>
      <c r="G86" s="8">
        <f>DT!O80</f>
        <v>-373688.20499976072</v>
      </c>
      <c r="H86" s="239">
        <f>Effort!K80+Aide!I80+Taux!J80</f>
        <v>0</v>
      </c>
      <c r="I86" s="317">
        <f t="shared" si="5"/>
        <v>-625993.39279796963</v>
      </c>
      <c r="J86" s="397">
        <f t="shared" si="6"/>
        <v>350441.35471123032</v>
      </c>
      <c r="K86" s="532">
        <f t="shared" si="7"/>
        <v>-275552.03808673931</v>
      </c>
    </row>
    <row r="87" spans="1:11" x14ac:dyDescent="0.25">
      <c r="A87" s="38">
        <f>Données!A81</f>
        <v>5531</v>
      </c>
      <c r="B87" s="27" t="str">
        <f>Données!B81</f>
        <v>Penthéréaz</v>
      </c>
      <c r="C87" s="26">
        <f>Ecrêtage!C81</f>
        <v>13840.342734120952</v>
      </c>
      <c r="D87" s="12">
        <f>Données!Z81</f>
        <v>419</v>
      </c>
      <c r="E87" s="8">
        <f>Population!K84</f>
        <v>-51953.470824949691</v>
      </c>
      <c r="F87" s="239">
        <f>Solidarité!I81</f>
        <v>-120470.4570821216</v>
      </c>
      <c r="G87" s="8">
        <f>DT!O81</f>
        <v>-66395.186544683587</v>
      </c>
      <c r="H87" s="239">
        <f>Effort!K81+Aide!I81+Taux!J81</f>
        <v>0</v>
      </c>
      <c r="I87" s="317">
        <f t="shared" si="5"/>
        <v>-238819.1144517549</v>
      </c>
      <c r="J87" s="397">
        <f t="shared" si="6"/>
        <v>265129.85720002977</v>
      </c>
      <c r="K87" s="532">
        <f t="shared" si="7"/>
        <v>26310.742748274875</v>
      </c>
    </row>
    <row r="88" spans="1:11" x14ac:dyDescent="0.25">
      <c r="A88" s="38">
        <f>Données!A82</f>
        <v>5533</v>
      </c>
      <c r="B88" s="27" t="str">
        <f>Données!B82</f>
        <v>Poliez-Pittet</v>
      </c>
      <c r="C88" s="26">
        <f>Ecrêtage!C82</f>
        <v>27171.721019789369</v>
      </c>
      <c r="D88" s="12">
        <f>Données!Z82</f>
        <v>829</v>
      </c>
      <c r="E88" s="8">
        <f>Population!K85</f>
        <v>-102790.99597585511</v>
      </c>
      <c r="F88" s="239">
        <f>Solidarité!I82</f>
        <v>-236462.28774937231</v>
      </c>
      <c r="G88" s="8">
        <f>DT!O82</f>
        <v>-33180.95923515797</v>
      </c>
      <c r="H88" s="239">
        <f>Effort!K82+Aide!I82+Taux!J82</f>
        <v>0</v>
      </c>
      <c r="I88" s="317">
        <f t="shared" si="5"/>
        <v>-372434.2429603854</v>
      </c>
      <c r="J88" s="397">
        <f t="shared" si="6"/>
        <v>520509.83507045032</v>
      </c>
      <c r="K88" s="532">
        <f t="shared" si="7"/>
        <v>148075.59211006493</v>
      </c>
    </row>
    <row r="89" spans="1:11" x14ac:dyDescent="0.25">
      <c r="A89" s="38">
        <f>Données!A83</f>
        <v>5534</v>
      </c>
      <c r="B89" s="27" t="str">
        <f>Données!B83</f>
        <v>Rueyres</v>
      </c>
      <c r="C89" s="26">
        <f>Ecrêtage!C83</f>
        <v>9741.2664246848526</v>
      </c>
      <c r="D89" s="12">
        <f>Données!Z83</f>
        <v>266</v>
      </c>
      <c r="E89" s="8">
        <f>Population!K86</f>
        <v>-32982.394366197179</v>
      </c>
      <c r="F89" s="239">
        <f>Solidarité!I83</f>
        <v>-54095.435621636447</v>
      </c>
      <c r="G89" s="8">
        <f>DT!O83</f>
        <v>-1844.8001814863605</v>
      </c>
      <c r="H89" s="239">
        <f>Effort!K83+Aide!I83+Taux!J83</f>
        <v>0</v>
      </c>
      <c r="I89" s="317">
        <f t="shared" si="5"/>
        <v>-88922.630169319993</v>
      </c>
      <c r="J89" s="397">
        <f t="shared" si="6"/>
        <v>186606.69217077561</v>
      </c>
      <c r="K89" s="532">
        <f t="shared" si="7"/>
        <v>97684.062001455619</v>
      </c>
    </row>
    <row r="90" spans="1:11" x14ac:dyDescent="0.25">
      <c r="A90" s="38">
        <f>Données!A84</f>
        <v>5535</v>
      </c>
      <c r="B90" s="27" t="str">
        <f>Données!B84</f>
        <v>Saint-Barthélemy</v>
      </c>
      <c r="C90" s="26">
        <f>Ecrêtage!C84</f>
        <v>22506.660400000004</v>
      </c>
      <c r="D90" s="12">
        <f>Données!Z84</f>
        <v>784</v>
      </c>
      <c r="E90" s="8">
        <f>Population!K87</f>
        <v>-97211.26760563378</v>
      </c>
      <c r="F90" s="239">
        <f>Solidarité!I84</f>
        <v>-307751.98126187263</v>
      </c>
      <c r="G90" s="8">
        <f>DT!O84</f>
        <v>0</v>
      </c>
      <c r="H90" s="239">
        <f>Effort!K84+Aide!I84+Taux!J84</f>
        <v>0</v>
      </c>
      <c r="I90" s="317">
        <f t="shared" si="5"/>
        <v>-404963.24886750639</v>
      </c>
      <c r="J90" s="397">
        <f t="shared" si="6"/>
        <v>431144.50072038354</v>
      </c>
      <c r="K90" s="532">
        <f t="shared" si="7"/>
        <v>26181.251852877147</v>
      </c>
    </row>
    <row r="91" spans="1:11" x14ac:dyDescent="0.25">
      <c r="A91" s="38">
        <f>Données!A85</f>
        <v>5537</v>
      </c>
      <c r="B91" s="27" t="str">
        <f>Données!B85</f>
        <v>Villars-le-Terroir</v>
      </c>
      <c r="C91" s="26">
        <f>Ecrêtage!C85</f>
        <v>37957.948044056422</v>
      </c>
      <c r="D91" s="12">
        <f>Données!Z85</f>
        <v>1281</v>
      </c>
      <c r="E91" s="8">
        <f>Population!K88</f>
        <v>-221552.41448692151</v>
      </c>
      <c r="F91" s="239">
        <f>Solidarité!I85</f>
        <v>-451178.66072299378</v>
      </c>
      <c r="G91" s="8">
        <f>DT!O85</f>
        <v>-41980.811735661468</v>
      </c>
      <c r="H91" s="239">
        <f>Effort!K85+Aide!I85+Taux!J85</f>
        <v>0</v>
      </c>
      <c r="I91" s="317">
        <f t="shared" si="5"/>
        <v>-714711.88694557676</v>
      </c>
      <c r="J91" s="397">
        <f t="shared" si="6"/>
        <v>727134.11350112886</v>
      </c>
      <c r="K91" s="532">
        <f t="shared" si="7"/>
        <v>12422.226555552101</v>
      </c>
    </row>
    <row r="92" spans="1:11" x14ac:dyDescent="0.25">
      <c r="A92" s="38">
        <f>Données!A86</f>
        <v>5539</v>
      </c>
      <c r="B92" s="27" t="str">
        <f>Données!B86</f>
        <v>Vuarrens</v>
      </c>
      <c r="C92" s="26">
        <f>Ecrêtage!C86</f>
        <v>35955.043474705482</v>
      </c>
      <c r="D92" s="12">
        <f>Données!Z86</f>
        <v>1060</v>
      </c>
      <c r="E92" s="8">
        <f>Population!K89</f>
        <v>-144824.9496981891</v>
      </c>
      <c r="F92" s="239">
        <f>Solidarité!I86</f>
        <v>-280346.08585764235</v>
      </c>
      <c r="G92" s="8">
        <f>DT!O86</f>
        <v>-36508.467393970888</v>
      </c>
      <c r="H92" s="239">
        <f>Effort!K86+Aide!I86+Taux!J86</f>
        <v>0</v>
      </c>
      <c r="I92" s="317">
        <f t="shared" si="5"/>
        <v>-461679.50294980232</v>
      </c>
      <c r="J92" s="397">
        <f t="shared" si="6"/>
        <v>688765.85827373911</v>
      </c>
      <c r="K92" s="532">
        <f t="shared" si="7"/>
        <v>227086.35532393679</v>
      </c>
    </row>
    <row r="93" spans="1:11" x14ac:dyDescent="0.25">
      <c r="A93" s="38">
        <f>Données!A87</f>
        <v>5540</v>
      </c>
      <c r="B93" s="27" t="str">
        <f>Données!B87</f>
        <v>Montilliez</v>
      </c>
      <c r="C93" s="26">
        <f>Ecrêtage!C87</f>
        <v>66216.365354079026</v>
      </c>
      <c r="D93" s="12">
        <f>Données!Z87</f>
        <v>1857</v>
      </c>
      <c r="E93" s="8">
        <f>Population!K90</f>
        <v>-421529.87927565386</v>
      </c>
      <c r="F93" s="239">
        <f>Solidarité!I87</f>
        <v>-410079.03306374635</v>
      </c>
      <c r="G93" s="8">
        <f>DT!O87</f>
        <v>-253984.28385996658</v>
      </c>
      <c r="H93" s="239">
        <f>Effort!K87+Aide!I87+Taux!J87</f>
        <v>0</v>
      </c>
      <c r="I93" s="317">
        <f t="shared" si="5"/>
        <v>-1085593.1961993668</v>
      </c>
      <c r="J93" s="397">
        <f t="shared" si="6"/>
        <v>1268461.0365428936</v>
      </c>
      <c r="K93" s="532">
        <f t="shared" si="7"/>
        <v>182867.8403435268</v>
      </c>
    </row>
    <row r="94" spans="1:11" x14ac:dyDescent="0.25">
      <c r="A94" s="38">
        <f>Données!A88</f>
        <v>5541</v>
      </c>
      <c r="B94" s="27" t="str">
        <f>Données!B88</f>
        <v>Goumoëns</v>
      </c>
      <c r="C94" s="26">
        <f>Ecrêtage!C88</f>
        <v>36974.846186713199</v>
      </c>
      <c r="D94" s="12">
        <f>Données!Z88</f>
        <v>1153</v>
      </c>
      <c r="E94" s="8">
        <f>Population!K91</f>
        <v>-177112.97786720318</v>
      </c>
      <c r="F94" s="239">
        <f>Solidarité!I88</f>
        <v>-370388.15112418617</v>
      </c>
      <c r="G94" s="8">
        <f>DT!O88</f>
        <v>-13963.038239685906</v>
      </c>
      <c r="H94" s="239">
        <f>Effort!K88+Aide!I88+Taux!J88</f>
        <v>0</v>
      </c>
      <c r="I94" s="317">
        <f t="shared" si="5"/>
        <v>-561464.16723107535</v>
      </c>
      <c r="J94" s="397">
        <f t="shared" si="6"/>
        <v>708301.5123107041</v>
      </c>
      <c r="K94" s="532">
        <f t="shared" si="7"/>
        <v>146837.34507962875</v>
      </c>
    </row>
    <row r="95" spans="1:11" x14ac:dyDescent="0.25">
      <c r="A95" s="38">
        <f>Données!A89</f>
        <v>5551</v>
      </c>
      <c r="B95" s="27" t="str">
        <f>Données!B89</f>
        <v>Bonvillars</v>
      </c>
      <c r="C95" s="26">
        <f>Ecrêtage!C89</f>
        <v>19152.288613413803</v>
      </c>
      <c r="D95" s="12">
        <f>Données!Z89</f>
        <v>489</v>
      </c>
      <c r="E95" s="8">
        <f>Population!K92</f>
        <v>-60633.048289738421</v>
      </c>
      <c r="F95" s="239">
        <f>Solidarité!I89</f>
        <v>-41407.798516381088</v>
      </c>
      <c r="G95" s="8">
        <f>DT!O89</f>
        <v>-55384.801859456835</v>
      </c>
      <c r="H95" s="239">
        <f>Effort!K89+Aide!I89+Taux!J89</f>
        <v>0</v>
      </c>
      <c r="I95" s="317">
        <f t="shared" si="5"/>
        <v>-157425.64866557636</v>
      </c>
      <c r="J95" s="397">
        <f t="shared" si="6"/>
        <v>366887.12430578901</v>
      </c>
      <c r="K95" s="532">
        <f t="shared" si="7"/>
        <v>209461.47564021265</v>
      </c>
    </row>
    <row r="96" spans="1:11" x14ac:dyDescent="0.25">
      <c r="A96" s="38">
        <f>Données!A90</f>
        <v>5552</v>
      </c>
      <c r="B96" s="27" t="str">
        <f>Données!B90</f>
        <v>Bullet</v>
      </c>
      <c r="C96" s="26">
        <f>Ecrêtage!C90</f>
        <v>17562.45286713287</v>
      </c>
      <c r="D96" s="12">
        <f>Données!Z90</f>
        <v>657</v>
      </c>
      <c r="E96" s="8">
        <f>Population!K93</f>
        <v>-81464.034205231379</v>
      </c>
      <c r="F96" s="239">
        <f>Solidarité!I90</f>
        <v>-260913.24223235733</v>
      </c>
      <c r="G96" s="8">
        <f>DT!O90</f>
        <v>-184475.19314685313</v>
      </c>
      <c r="H96" s="239">
        <f>Effort!K90+Aide!I90+Taux!J90</f>
        <v>0</v>
      </c>
      <c r="I96" s="317">
        <f t="shared" si="5"/>
        <v>-526852.46958444186</v>
      </c>
      <c r="J96" s="397">
        <f t="shared" si="6"/>
        <v>336431.74234882346</v>
      </c>
      <c r="K96" s="532">
        <f t="shared" si="7"/>
        <v>-190420.7272356184</v>
      </c>
    </row>
    <row r="97" spans="1:11" x14ac:dyDescent="0.25">
      <c r="A97" s="38">
        <f>Données!A91</f>
        <v>5553</v>
      </c>
      <c r="B97" s="27" t="str">
        <f>Données!B91</f>
        <v>Champagne</v>
      </c>
      <c r="C97" s="26">
        <f>Ecrêtage!C91</f>
        <v>38621.939977657414</v>
      </c>
      <c r="D97" s="12">
        <f>Données!Z91</f>
        <v>1061</v>
      </c>
      <c r="E97" s="8">
        <f>Population!K94</f>
        <v>-145172.13279678067</v>
      </c>
      <c r="F97" s="239">
        <f>Solidarité!I91</f>
        <v>-175008.67514705256</v>
      </c>
      <c r="G97" s="8">
        <f>DT!O91</f>
        <v>-145207.86013405552</v>
      </c>
      <c r="H97" s="239">
        <f>Effort!K91+Aide!I91+Taux!J91</f>
        <v>0</v>
      </c>
      <c r="I97" s="317">
        <f t="shared" si="5"/>
        <v>-465388.66807788878</v>
      </c>
      <c r="J97" s="397">
        <f t="shared" si="6"/>
        <v>739853.74696104287</v>
      </c>
      <c r="K97" s="532">
        <f t="shared" si="7"/>
        <v>274465.07888315408</v>
      </c>
    </row>
    <row r="98" spans="1:11" x14ac:dyDescent="0.25">
      <c r="A98" s="38">
        <f>Données!A92</f>
        <v>5554</v>
      </c>
      <c r="B98" s="27" t="str">
        <f>Données!B92</f>
        <v>Concise</v>
      </c>
      <c r="C98" s="26">
        <f>Ecrêtage!C92</f>
        <v>32321.208248272062</v>
      </c>
      <c r="D98" s="12">
        <f>Données!Z92</f>
        <v>1001</v>
      </c>
      <c r="E98" s="8">
        <f>Population!K95</f>
        <v>-124341.1468812877</v>
      </c>
      <c r="F98" s="239">
        <f>Solidarité!I92</f>
        <v>-312352.98607779178</v>
      </c>
      <c r="G98" s="8">
        <f>DT!O92</f>
        <v>-196908.84432416357</v>
      </c>
      <c r="H98" s="239">
        <f>Effort!K92+Aide!I92+Taux!J92</f>
        <v>0</v>
      </c>
      <c r="I98" s="317">
        <f t="shared" si="5"/>
        <v>-633602.97728324309</v>
      </c>
      <c r="J98" s="397">
        <f t="shared" si="6"/>
        <v>619154.99435361801</v>
      </c>
      <c r="K98" s="532">
        <f t="shared" si="7"/>
        <v>-14447.982929625083</v>
      </c>
    </row>
    <row r="99" spans="1:11" x14ac:dyDescent="0.25">
      <c r="A99" s="38">
        <f>Données!A93</f>
        <v>5555</v>
      </c>
      <c r="B99" s="27" t="str">
        <f>Données!B93</f>
        <v>Corcelles-près-Concise</v>
      </c>
      <c r="C99" s="26">
        <f>Ecrêtage!C93</f>
        <v>13590.982580275477</v>
      </c>
      <c r="D99" s="12">
        <f>Données!Z93</f>
        <v>419</v>
      </c>
      <c r="E99" s="8">
        <f>Population!K96</f>
        <v>-51953.470824949691</v>
      </c>
      <c r="F99" s="239">
        <f>Solidarité!I93</f>
        <v>-109484.60264904363</v>
      </c>
      <c r="G99" s="8">
        <f>DT!O93</f>
        <v>-168841.61758314053</v>
      </c>
      <c r="H99" s="239">
        <f>Effort!K93+Aide!I93+Taux!J93</f>
        <v>0</v>
      </c>
      <c r="I99" s="317">
        <f t="shared" si="5"/>
        <v>-330279.69105713384</v>
      </c>
      <c r="J99" s="397">
        <f t="shared" si="6"/>
        <v>260353.03748895146</v>
      </c>
      <c r="K99" s="532">
        <f t="shared" si="7"/>
        <v>-69926.653568182373</v>
      </c>
    </row>
    <row r="100" spans="1:11" x14ac:dyDescent="0.25">
      <c r="A100" s="38">
        <f>Données!A94</f>
        <v>5556</v>
      </c>
      <c r="B100" s="27" t="str">
        <f>Données!B94</f>
        <v>Fiez</v>
      </c>
      <c r="C100" s="26">
        <f>Ecrêtage!C94</f>
        <v>13811.370927055856</v>
      </c>
      <c r="D100" s="12">
        <f>Données!Z94</f>
        <v>451</v>
      </c>
      <c r="E100" s="8">
        <f>Population!K97</f>
        <v>-55921.277665995964</v>
      </c>
      <c r="F100" s="239">
        <f>Solidarité!I94</f>
        <v>-133400.34207211694</v>
      </c>
      <c r="G100" s="8">
        <f>DT!O94</f>
        <v>-18814.996242372974</v>
      </c>
      <c r="H100" s="239">
        <f>Effort!K94+Aide!I94+Taux!J94</f>
        <v>0</v>
      </c>
      <c r="I100" s="317">
        <f t="shared" si="5"/>
        <v>-208136.61598048586</v>
      </c>
      <c r="J100" s="397">
        <f t="shared" si="6"/>
        <v>264574.86436368484</v>
      </c>
      <c r="K100" s="532">
        <f t="shared" si="7"/>
        <v>56438.248383198981</v>
      </c>
    </row>
    <row r="101" spans="1:11" x14ac:dyDescent="0.25">
      <c r="A101" s="38">
        <f>Données!A95</f>
        <v>5557</v>
      </c>
      <c r="B101" s="27" t="str">
        <f>Données!B95</f>
        <v>Fontaines-sur-Grandson</v>
      </c>
      <c r="C101" s="26">
        <f>Ecrêtage!C95</f>
        <v>5898.4472463768097</v>
      </c>
      <c r="D101" s="12">
        <f>Données!Z95</f>
        <v>219</v>
      </c>
      <c r="E101" s="8">
        <f>Population!K98</f>
        <v>-27154.67806841046</v>
      </c>
      <c r="F101" s="239">
        <f>Solidarité!I95</f>
        <v>-80152.800463664244</v>
      </c>
      <c r="G101" s="8">
        <f>DT!O95</f>
        <v>-6687.7310869565345</v>
      </c>
      <c r="H101" s="239">
        <f>Effort!K95+Aide!I95+Taux!J95</f>
        <v>0</v>
      </c>
      <c r="I101" s="317">
        <f t="shared" si="5"/>
        <v>-113995.20961903124</v>
      </c>
      <c r="J101" s="397">
        <f t="shared" si="6"/>
        <v>112992.46746819223</v>
      </c>
      <c r="K101" s="532">
        <f t="shared" si="7"/>
        <v>-1002.7421508390107</v>
      </c>
    </row>
    <row r="102" spans="1:11" x14ac:dyDescent="0.25">
      <c r="A102" s="38">
        <f>Données!A96</f>
        <v>5559</v>
      </c>
      <c r="B102" s="27" t="str">
        <f>Données!B96</f>
        <v>Giez</v>
      </c>
      <c r="C102" s="26">
        <f>Ecrêtage!C96</f>
        <v>17108.440303030304</v>
      </c>
      <c r="D102" s="12">
        <f>Données!Z96</f>
        <v>414</v>
      </c>
      <c r="E102" s="8">
        <f>Population!K99</f>
        <v>-51333.501006036211</v>
      </c>
      <c r="F102" s="239">
        <f>Solidarité!I96</f>
        <v>-34927.497010577485</v>
      </c>
      <c r="G102" s="8">
        <f>DT!O96</f>
        <v>-11309.608181818177</v>
      </c>
      <c r="H102" s="239">
        <f>Effort!K96+Aide!I96+Taux!J96</f>
        <v>0</v>
      </c>
      <c r="I102" s="317">
        <f t="shared" si="5"/>
        <v>-97570.606198431866</v>
      </c>
      <c r="J102" s="397">
        <f t="shared" si="6"/>
        <v>327734.53819716792</v>
      </c>
      <c r="K102" s="532">
        <f t="shared" si="7"/>
        <v>230163.93199873605</v>
      </c>
    </row>
    <row r="103" spans="1:11" x14ac:dyDescent="0.25">
      <c r="A103" s="38">
        <f>Données!A97</f>
        <v>5560</v>
      </c>
      <c r="B103" s="27" t="str">
        <f>Données!B97</f>
        <v>Grandevent</v>
      </c>
      <c r="C103" s="26">
        <f>Ecrêtage!C97</f>
        <v>6167.5355002978977</v>
      </c>
      <c r="D103" s="12">
        <f>Données!Z97</f>
        <v>226</v>
      </c>
      <c r="E103" s="8">
        <f>Population!K100</f>
        <v>-28022.635814889331</v>
      </c>
      <c r="F103" s="239">
        <f>Solidarité!I97</f>
        <v>-78846.218451728826</v>
      </c>
      <c r="G103" s="8">
        <f>DT!O97</f>
        <v>-9385.6353729891907</v>
      </c>
      <c r="H103" s="239">
        <f>Effort!K97+Aide!I97+Taux!J97</f>
        <v>0</v>
      </c>
      <c r="I103" s="317">
        <f t="shared" si="5"/>
        <v>-116254.48963960735</v>
      </c>
      <c r="J103" s="397">
        <f t="shared" si="6"/>
        <v>118147.2047248368</v>
      </c>
      <c r="K103" s="532">
        <f t="shared" si="7"/>
        <v>1892.7150852294581</v>
      </c>
    </row>
    <row r="104" spans="1:11" x14ac:dyDescent="0.25">
      <c r="A104" s="38">
        <f>Données!A98</f>
        <v>5561</v>
      </c>
      <c r="B104" s="27" t="str">
        <f>Données!B98</f>
        <v>Grandson</v>
      </c>
      <c r="C104" s="26">
        <f>Ecrêtage!C98</f>
        <v>114698.81047200582</v>
      </c>
      <c r="D104" s="12">
        <f>Données!Z98</f>
        <v>3356</v>
      </c>
      <c r="E104" s="8">
        <f>Population!K101</f>
        <v>-994927.56539235404</v>
      </c>
      <c r="F104" s="239">
        <f>Solidarité!I98</f>
        <v>-765796.24481989921</v>
      </c>
      <c r="G104" s="8">
        <f>DT!O98</f>
        <v>-1017120.3871679652</v>
      </c>
      <c r="H104" s="239">
        <f>Effort!K98+Aide!I98+Taux!J98</f>
        <v>0</v>
      </c>
      <c r="I104" s="317">
        <f t="shared" si="5"/>
        <v>-2777844.1973802182</v>
      </c>
      <c r="J104" s="397">
        <f t="shared" si="6"/>
        <v>2197205.6491408576</v>
      </c>
      <c r="K104" s="532">
        <f t="shared" si="7"/>
        <v>-580638.54823936056</v>
      </c>
    </row>
    <row r="105" spans="1:11" x14ac:dyDescent="0.25">
      <c r="A105" s="38">
        <f>Données!A99</f>
        <v>5562</v>
      </c>
      <c r="B105" s="27" t="str">
        <f>Données!B99</f>
        <v>Mauborget</v>
      </c>
      <c r="C105" s="26">
        <f>Ecrêtage!C99</f>
        <v>6036.4454253269014</v>
      </c>
      <c r="D105" s="12">
        <f>Données!Z99</f>
        <v>128</v>
      </c>
      <c r="E105" s="8">
        <f>Population!K102</f>
        <v>-15871.227364185108</v>
      </c>
      <c r="F105" s="239">
        <f>Solidarité!I99</f>
        <v>0</v>
      </c>
      <c r="G105" s="8">
        <f>DT!O99</f>
        <v>-5588.2433790434152</v>
      </c>
      <c r="H105" s="239">
        <f>Effort!K99+Aide!I99+Taux!J99</f>
        <v>0</v>
      </c>
      <c r="I105" s="317">
        <f t="shared" si="5"/>
        <v>-21459.470743228521</v>
      </c>
      <c r="J105" s="397">
        <f t="shared" si="6"/>
        <v>115636.00297751903</v>
      </c>
      <c r="K105" s="532">
        <f t="shared" si="7"/>
        <v>94176.532234290513</v>
      </c>
    </row>
    <row r="106" spans="1:11" x14ac:dyDescent="0.25">
      <c r="A106" s="38">
        <f>Données!A100</f>
        <v>5563</v>
      </c>
      <c r="B106" s="27" t="str">
        <f>Données!B100</f>
        <v>Mutrux</v>
      </c>
      <c r="C106" s="26">
        <f>Ecrêtage!C100</f>
        <v>4073.4583735660226</v>
      </c>
      <c r="D106" s="12">
        <f>Données!Z100</f>
        <v>149</v>
      </c>
      <c r="E106" s="8">
        <f>Population!K103</f>
        <v>-18475.100603621726</v>
      </c>
      <c r="F106" s="239">
        <f>Solidarité!I100</f>
        <v>-71762.907433294458</v>
      </c>
      <c r="G106" s="8">
        <f>DT!O100</f>
        <v>-47737.405978429349</v>
      </c>
      <c r="H106" s="239">
        <f>Effort!K100+Aide!I100+Taux!J100</f>
        <v>0</v>
      </c>
      <c r="I106" s="317">
        <f t="shared" si="5"/>
        <v>-137975.41401534554</v>
      </c>
      <c r="J106" s="397">
        <f t="shared" si="6"/>
        <v>78032.41997983797</v>
      </c>
      <c r="K106" s="532">
        <f t="shared" si="7"/>
        <v>-59942.994035507567</v>
      </c>
    </row>
    <row r="107" spans="1:11" x14ac:dyDescent="0.25">
      <c r="A107" s="38">
        <f>Données!A101</f>
        <v>5564</v>
      </c>
      <c r="B107" s="27" t="str">
        <f>Données!B101</f>
        <v>Novalles</v>
      </c>
      <c r="C107" s="26">
        <f>Ecrêtage!C101</f>
        <v>2091.5278618421053</v>
      </c>
      <c r="D107" s="12">
        <f>Données!Z101</f>
        <v>99</v>
      </c>
      <c r="E107" s="8">
        <f>Population!K104</f>
        <v>-12275.40241448692</v>
      </c>
      <c r="F107" s="239">
        <f>Solidarité!I101</f>
        <v>-57226.803133899375</v>
      </c>
      <c r="G107" s="8">
        <f>DT!O101</f>
        <v>-3089.4369325657894</v>
      </c>
      <c r="H107" s="239">
        <f>Effort!K101+Aide!I101+Taux!J101</f>
        <v>0</v>
      </c>
      <c r="I107" s="317">
        <f t="shared" si="5"/>
        <v>-72591.642480952083</v>
      </c>
      <c r="J107" s="397">
        <f t="shared" si="6"/>
        <v>40065.950243630352</v>
      </c>
      <c r="K107" s="532">
        <f t="shared" si="7"/>
        <v>-32525.692237321731</v>
      </c>
    </row>
    <row r="108" spans="1:11" x14ac:dyDescent="0.25">
      <c r="A108" s="38">
        <f>Données!A102</f>
        <v>5565</v>
      </c>
      <c r="B108" s="27" t="str">
        <f>Données!B102</f>
        <v>Onnens</v>
      </c>
      <c r="C108" s="26">
        <f>Ecrêtage!C102</f>
        <v>19614.777543776931</v>
      </c>
      <c r="D108" s="12">
        <f>Données!Z102</f>
        <v>505</v>
      </c>
      <c r="E108" s="8">
        <f>Population!K105</f>
        <v>-62616.951710261557</v>
      </c>
      <c r="F108" s="239">
        <f>Solidarité!I102</f>
        <v>-59646.754063303386</v>
      </c>
      <c r="G108" s="8">
        <f>DT!O102</f>
        <v>-44975.834737338417</v>
      </c>
      <c r="H108" s="239">
        <f>Effort!K102+Aide!I102+Taux!J102</f>
        <v>0</v>
      </c>
      <c r="I108" s="317">
        <f t="shared" si="5"/>
        <v>-167239.54051090335</v>
      </c>
      <c r="J108" s="397">
        <f t="shared" si="6"/>
        <v>375746.70433349116</v>
      </c>
      <c r="K108" s="532">
        <f t="shared" si="7"/>
        <v>208507.16382258781</v>
      </c>
    </row>
    <row r="109" spans="1:11" x14ac:dyDescent="0.25">
      <c r="A109" s="38">
        <f>Données!A103</f>
        <v>5566</v>
      </c>
      <c r="B109" s="27" t="str">
        <f>Données!B103</f>
        <v>Provence</v>
      </c>
      <c r="C109" s="26">
        <f>Ecrêtage!C103</f>
        <v>7592.3490248426833</v>
      </c>
      <c r="D109" s="12">
        <f>Données!Z103</f>
        <v>392</v>
      </c>
      <c r="E109" s="8">
        <f>Population!K106</f>
        <v>-48605.63380281689</v>
      </c>
      <c r="F109" s="239">
        <f>Solidarité!I103</f>
        <v>-275461.20142350881</v>
      </c>
      <c r="G109" s="8">
        <f>DT!O103</f>
        <v>-325407.64408231189</v>
      </c>
      <c r="H109" s="239">
        <f>Effort!K103+Aide!I103+Taux!J103</f>
        <v>0</v>
      </c>
      <c r="I109" s="317">
        <f t="shared" si="5"/>
        <v>-649474.47930863756</v>
      </c>
      <c r="J109" s="397">
        <f t="shared" si="6"/>
        <v>145441.37030701761</v>
      </c>
      <c r="K109" s="532">
        <f t="shared" si="7"/>
        <v>-504033.10900161997</v>
      </c>
    </row>
    <row r="110" spans="1:11" x14ac:dyDescent="0.25">
      <c r="A110" s="38">
        <f>Données!A104</f>
        <v>5568</v>
      </c>
      <c r="B110" s="27" t="str">
        <f>Données!B104</f>
        <v>Sainte-Croix</v>
      </c>
      <c r="C110" s="26">
        <f>Ecrêtage!C104</f>
        <v>106408.06903013417</v>
      </c>
      <c r="D110" s="12">
        <f>Données!Z104</f>
        <v>4917</v>
      </c>
      <c r="E110" s="8">
        <f>Population!K107</f>
        <v>-1769145.8752515088</v>
      </c>
      <c r="F110" s="239">
        <f>Solidarité!I104</f>
        <v>-2361686.2270729207</v>
      </c>
      <c r="G110" s="8">
        <f>DT!O104</f>
        <v>-1481475.2840465943</v>
      </c>
      <c r="H110" s="239">
        <f>Effort!K104+Aide!I104+Taux!J104</f>
        <v>0</v>
      </c>
      <c r="I110" s="317">
        <f t="shared" si="5"/>
        <v>-5612307.386371024</v>
      </c>
      <c r="J110" s="397">
        <f t="shared" si="6"/>
        <v>2038385.6591454721</v>
      </c>
      <c r="K110" s="532">
        <f t="shared" si="7"/>
        <v>-3573921.7272255518</v>
      </c>
    </row>
    <row r="111" spans="1:11" x14ac:dyDescent="0.25">
      <c r="A111" s="38">
        <f>Données!A105</f>
        <v>5571</v>
      </c>
      <c r="B111" s="27" t="str">
        <f>Données!B105</f>
        <v>Tévenon</v>
      </c>
      <c r="C111" s="26">
        <f>Ecrêtage!C105</f>
        <v>21375.598965432913</v>
      </c>
      <c r="D111" s="12">
        <f>Données!Z105</f>
        <v>894</v>
      </c>
      <c r="E111" s="8">
        <f>Population!K108</f>
        <v>-110850.60362173036</v>
      </c>
      <c r="F111" s="239">
        <f>Solidarité!I105</f>
        <v>-406555.54422492767</v>
      </c>
      <c r="G111" s="8">
        <f>DT!O105</f>
        <v>-158848.20698332784</v>
      </c>
      <c r="H111" s="239">
        <f>Effort!K105+Aide!I105+Taux!J105</f>
        <v>0</v>
      </c>
      <c r="I111" s="317">
        <f t="shared" si="5"/>
        <v>-676254.35482998588</v>
      </c>
      <c r="J111" s="397">
        <f t="shared" si="6"/>
        <v>409477.54041513504</v>
      </c>
      <c r="K111" s="532">
        <f t="shared" si="7"/>
        <v>-266776.81441485084</v>
      </c>
    </row>
    <row r="112" spans="1:11" x14ac:dyDescent="0.25">
      <c r="A112" s="38">
        <f>Données!A106</f>
        <v>5581</v>
      </c>
      <c r="B112" s="27" t="str">
        <f>Données!B106</f>
        <v>Belmont-sur-Lausanne</v>
      </c>
      <c r="C112" s="26">
        <f>Ecrêtage!C106</f>
        <v>212399.01953543225</v>
      </c>
      <c r="D112" s="12">
        <f>Données!Z106</f>
        <v>3756</v>
      </c>
      <c r="E112" s="8">
        <f>Population!K109</f>
        <v>-1193317.907444668</v>
      </c>
      <c r="F112" s="239">
        <f>Solidarité!I106</f>
        <v>0</v>
      </c>
      <c r="G112" s="8">
        <f>DT!O106</f>
        <v>-726392.13278740644</v>
      </c>
      <c r="H112" s="239">
        <f>Effort!K106+Aide!I106+Taux!J106</f>
        <v>0</v>
      </c>
      <c r="I112" s="317">
        <f t="shared" si="5"/>
        <v>-1919710.0402320744</v>
      </c>
      <c r="J112" s="397">
        <f t="shared" si="6"/>
        <v>4068780.8676894112</v>
      </c>
      <c r="K112" s="532">
        <f t="shared" si="7"/>
        <v>2149070.8274573367</v>
      </c>
    </row>
    <row r="113" spans="1:11" x14ac:dyDescent="0.25">
      <c r="A113" s="38">
        <f>Données!A107</f>
        <v>5582</v>
      </c>
      <c r="B113" s="27" t="str">
        <f>Données!B107</f>
        <v>Cheseaux-sur-Lausanne</v>
      </c>
      <c r="C113" s="26">
        <f>Ecrêtage!C107</f>
        <v>163661.81439852438</v>
      </c>
      <c r="D113" s="12">
        <f>Données!Z107</f>
        <v>4367</v>
      </c>
      <c r="E113" s="8">
        <f>Population!K110</f>
        <v>-1496359.1549295774</v>
      </c>
      <c r="F113" s="239">
        <f>Solidarité!I107</f>
        <v>-808533.23251586582</v>
      </c>
      <c r="G113" s="8">
        <f>DT!O107</f>
        <v>-411722.61360885372</v>
      </c>
      <c r="H113" s="239">
        <f>Effort!K107+Aide!I107+Taux!J107</f>
        <v>0</v>
      </c>
      <c r="I113" s="317">
        <f t="shared" si="5"/>
        <v>-2716615.0010542972</v>
      </c>
      <c r="J113" s="397">
        <f t="shared" si="6"/>
        <v>3135155.9939049804</v>
      </c>
      <c r="K113" s="532">
        <f t="shared" si="7"/>
        <v>418540.99285068316</v>
      </c>
    </row>
    <row r="114" spans="1:11" x14ac:dyDescent="0.25">
      <c r="A114" s="38">
        <f>Données!A108</f>
        <v>5583</v>
      </c>
      <c r="B114" s="27" t="str">
        <f>Données!B108</f>
        <v>Crissier</v>
      </c>
      <c r="C114" s="26">
        <f>Ecrêtage!C108</f>
        <v>366439.37058398779</v>
      </c>
      <c r="D114" s="12">
        <f>Données!Z108</f>
        <v>8700</v>
      </c>
      <c r="E114" s="8">
        <f>Population!K111</f>
        <v>-4012444.6680080481</v>
      </c>
      <c r="F114" s="239">
        <f>Solidarité!I108</f>
        <v>-568027.57224740658</v>
      </c>
      <c r="G114" s="8">
        <f>DT!O108</f>
        <v>-2739150.7764960732</v>
      </c>
      <c r="H114" s="239">
        <f>Effort!K108+Aide!I108+Taux!J108</f>
        <v>0</v>
      </c>
      <c r="I114" s="317">
        <f t="shared" si="5"/>
        <v>-7319623.0167515278</v>
      </c>
      <c r="J114" s="397">
        <f t="shared" si="6"/>
        <v>7019625.1539266566</v>
      </c>
      <c r="K114" s="532">
        <f t="shared" si="7"/>
        <v>-299997.8628248712</v>
      </c>
    </row>
    <row r="115" spans="1:11" x14ac:dyDescent="0.25">
      <c r="A115" s="38">
        <f>Données!A109</f>
        <v>5584</v>
      </c>
      <c r="B115" s="27" t="str">
        <f>Données!B109</f>
        <v>Epalinges</v>
      </c>
      <c r="C115" s="26">
        <f>Ecrêtage!C109</f>
        <v>481828.05446555291</v>
      </c>
      <c r="D115" s="12">
        <f>Données!Z109</f>
        <v>9755</v>
      </c>
      <c r="E115" s="8">
        <f>Population!K112</f>
        <v>-4827580.9859154923</v>
      </c>
      <c r="F115" s="239">
        <f>Solidarité!I109</f>
        <v>0</v>
      </c>
      <c r="G115" s="8">
        <f>DT!O109</f>
        <v>-3379238.6732066823</v>
      </c>
      <c r="H115" s="239">
        <f>Effort!K109+Aide!I109+Taux!J109</f>
        <v>0</v>
      </c>
      <c r="I115" s="317">
        <f t="shared" si="5"/>
        <v>-8206819.6591221746</v>
      </c>
      <c r="J115" s="397">
        <f t="shared" si="6"/>
        <v>9230046.2300317343</v>
      </c>
      <c r="K115" s="532">
        <f t="shared" si="7"/>
        <v>1023226.5709095597</v>
      </c>
    </row>
    <row r="116" spans="1:11" x14ac:dyDescent="0.25">
      <c r="A116" s="38">
        <f>Données!A110</f>
        <v>5585</v>
      </c>
      <c r="B116" s="27" t="str">
        <f>Données!B110</f>
        <v>Jouxtens-Mézery</v>
      </c>
      <c r="C116" s="26">
        <f>Ecrêtage!C110</f>
        <v>202456.81185453033</v>
      </c>
      <c r="D116" s="12">
        <f>Données!Z110</f>
        <v>1411</v>
      </c>
      <c r="E116" s="8">
        <f>Population!K113</f>
        <v>-266686.21730382292</v>
      </c>
      <c r="F116" s="239">
        <f>Solidarité!I110</f>
        <v>0</v>
      </c>
      <c r="G116" s="8">
        <f>DT!O110</f>
        <v>0</v>
      </c>
      <c r="H116" s="239">
        <f>Effort!K110+Aide!I110+Taux!J110</f>
        <v>-288169.03336797003</v>
      </c>
      <c r="I116" s="317">
        <f t="shared" si="5"/>
        <v>-554855.25067179301</v>
      </c>
      <c r="J116" s="397">
        <f t="shared" si="6"/>
        <v>3878324.883084924</v>
      </c>
      <c r="K116" s="532">
        <f t="shared" si="7"/>
        <v>3323469.6324131312</v>
      </c>
    </row>
    <row r="117" spans="1:11" x14ac:dyDescent="0.25">
      <c r="A117" s="38">
        <f>Données!A111</f>
        <v>5586</v>
      </c>
      <c r="B117" s="27" t="str">
        <f>Données!B111</f>
        <v>Lausanne</v>
      </c>
      <c r="C117" s="26">
        <f>Ecrêtage!C111</f>
        <v>6147866.1896833694</v>
      </c>
      <c r="D117" s="12">
        <f>Données!Z111</f>
        <v>140430</v>
      </c>
      <c r="E117" s="8">
        <f>Population!K114</f>
        <v>-140337856.13682091</v>
      </c>
      <c r="F117" s="239">
        <f>Solidarité!I111</f>
        <v>-8274009.6356836762</v>
      </c>
      <c r="G117" s="8">
        <f>DT!O111</f>
        <v>-45620466.361899786</v>
      </c>
      <c r="H117" s="239">
        <f>Effort!K111+Aide!I111+Taux!J111</f>
        <v>0</v>
      </c>
      <c r="I117" s="317">
        <f t="shared" si="5"/>
        <v>-194232332.13440439</v>
      </c>
      <c r="J117" s="397">
        <f t="shared" si="6"/>
        <v>117770413.36824732</v>
      </c>
      <c r="K117" s="532">
        <f t="shared" si="7"/>
        <v>-76461918.766157076</v>
      </c>
    </row>
    <row r="118" spans="1:11" x14ac:dyDescent="0.25">
      <c r="A118" s="38">
        <f>Données!A112</f>
        <v>5587</v>
      </c>
      <c r="B118" s="27" t="str">
        <f>Données!B112</f>
        <v>Le Mont-sur-Lausanne</v>
      </c>
      <c r="C118" s="26">
        <f>Ecrêtage!C112</f>
        <v>442283.52488437272</v>
      </c>
      <c r="D118" s="12">
        <f>Données!Z112</f>
        <v>9136</v>
      </c>
      <c r="E118" s="8">
        <f>Population!K115</f>
        <v>-4305665.5935613681</v>
      </c>
      <c r="F118" s="239">
        <f>Solidarité!I112</f>
        <v>0</v>
      </c>
      <c r="G118" s="8">
        <f>DT!O112</f>
        <v>-2161736.1006937637</v>
      </c>
      <c r="H118" s="239">
        <f>Effort!K112+Aide!I112+Taux!J112</f>
        <v>0</v>
      </c>
      <c r="I118" s="317">
        <f t="shared" si="5"/>
        <v>-6467401.6942551322</v>
      </c>
      <c r="J118" s="397">
        <f t="shared" si="6"/>
        <v>8472519.0732039548</v>
      </c>
      <c r="K118" s="532">
        <f t="shared" si="7"/>
        <v>2005117.3789488226</v>
      </c>
    </row>
    <row r="119" spans="1:11" x14ac:dyDescent="0.25">
      <c r="A119" s="38">
        <f>Données!A113</f>
        <v>5588</v>
      </c>
      <c r="B119" s="27" t="str">
        <f>Données!B113</f>
        <v>Paudex</v>
      </c>
      <c r="C119" s="26">
        <f>Ecrêtage!C113</f>
        <v>135325.41739882343</v>
      </c>
      <c r="D119" s="12">
        <f>Données!Z113</f>
        <v>1538</v>
      </c>
      <c r="E119" s="8">
        <f>Population!K116</f>
        <v>-310778.47082494968</v>
      </c>
      <c r="F119" s="239">
        <f>Solidarité!I113</f>
        <v>0</v>
      </c>
      <c r="G119" s="8">
        <f>DT!O113</f>
        <v>0</v>
      </c>
      <c r="H119" s="239">
        <f>Effort!K113+Aide!I113+Taux!J113</f>
        <v>0</v>
      </c>
      <c r="I119" s="317">
        <f t="shared" si="5"/>
        <v>-310778.47082494968</v>
      </c>
      <c r="J119" s="397">
        <f t="shared" si="6"/>
        <v>2592335.2679721965</v>
      </c>
      <c r="K119" s="532">
        <f t="shared" si="7"/>
        <v>2281556.797147247</v>
      </c>
    </row>
    <row r="120" spans="1:11" x14ac:dyDescent="0.25">
      <c r="A120" s="38">
        <f>Données!A114</f>
        <v>5589</v>
      </c>
      <c r="B120" s="27" t="str">
        <f>Données!B114</f>
        <v>Prilly</v>
      </c>
      <c r="C120" s="26">
        <f>Ecrêtage!C114</f>
        <v>453159.46835878264</v>
      </c>
      <c r="D120" s="12">
        <f>Données!Z114</f>
        <v>12383</v>
      </c>
      <c r="E120" s="8">
        <f>Population!K117</f>
        <v>-7100390.3420523126</v>
      </c>
      <c r="F120" s="239">
        <f>Solidarité!I114</f>
        <v>-2490671.5696865097</v>
      </c>
      <c r="G120" s="8">
        <f>DT!O114</f>
        <v>-2611465.689847304</v>
      </c>
      <c r="H120" s="239">
        <f>Effort!K114+Aide!I114+Taux!J114</f>
        <v>0</v>
      </c>
      <c r="I120" s="317">
        <f t="shared" si="5"/>
        <v>-12202527.601586126</v>
      </c>
      <c r="J120" s="397">
        <f t="shared" si="6"/>
        <v>8680861.9875146709</v>
      </c>
      <c r="K120" s="532">
        <f t="shared" si="7"/>
        <v>-3521665.6140714549</v>
      </c>
    </row>
    <row r="121" spans="1:11" x14ac:dyDescent="0.25">
      <c r="A121" s="38">
        <f>Données!A115</f>
        <v>5590</v>
      </c>
      <c r="B121" s="27" t="str">
        <f>Données!B115</f>
        <v>Pully</v>
      </c>
      <c r="C121" s="26">
        <f>Ecrêtage!C115</f>
        <v>1476232.2063472071</v>
      </c>
      <c r="D121" s="12">
        <f>Données!Z115</f>
        <v>18688</v>
      </c>
      <c r="E121" s="8">
        <f>Population!K118</f>
        <v>-13537561.77062374</v>
      </c>
      <c r="F121" s="239">
        <f>Solidarité!I115</f>
        <v>0</v>
      </c>
      <c r="G121" s="8">
        <f>DT!O115</f>
        <v>-2358680.5119167576</v>
      </c>
      <c r="H121" s="239">
        <f>Effort!K115+Aide!I115+Taux!J115</f>
        <v>0</v>
      </c>
      <c r="I121" s="317">
        <f t="shared" si="5"/>
        <v>-15896242.282540496</v>
      </c>
      <c r="J121" s="397">
        <f t="shared" si="6"/>
        <v>28279157.646725621</v>
      </c>
      <c r="K121" s="532">
        <f t="shared" si="7"/>
        <v>12382915.364185125</v>
      </c>
    </row>
    <row r="122" spans="1:11" x14ac:dyDescent="0.25">
      <c r="A122" s="38">
        <f>Données!A116</f>
        <v>5591</v>
      </c>
      <c r="B122" s="27" t="str">
        <f>Données!B116</f>
        <v>Renens</v>
      </c>
      <c r="C122" s="26">
        <f>Ecrêtage!C116</f>
        <v>594878.13045762118</v>
      </c>
      <c r="D122" s="12">
        <f>Données!Z116</f>
        <v>20863</v>
      </c>
      <c r="E122" s="8">
        <f>Population!K119</f>
        <v>-15802931.488933599</v>
      </c>
      <c r="F122" s="239">
        <f>Solidarité!I116</f>
        <v>-8728034.4102397747</v>
      </c>
      <c r="G122" s="8">
        <f>DT!O116</f>
        <v>-5751689.9672542727</v>
      </c>
      <c r="H122" s="239">
        <f>Effort!K116+Aide!I116+Taux!J116</f>
        <v>0</v>
      </c>
      <c r="I122" s="317">
        <f t="shared" si="5"/>
        <v>-30282655.866427645</v>
      </c>
      <c r="J122" s="397">
        <f t="shared" si="6"/>
        <v>11395668.214979874</v>
      </c>
      <c r="K122" s="532">
        <f t="shared" si="7"/>
        <v>-18886987.651447773</v>
      </c>
    </row>
    <row r="123" spans="1:11" x14ac:dyDescent="0.25">
      <c r="A123" s="38">
        <f>Données!A117</f>
        <v>5592</v>
      </c>
      <c r="B123" s="27" t="str">
        <f>Données!B117</f>
        <v>Romanel-sur-Lausanne</v>
      </c>
      <c r="C123" s="26">
        <f>Ecrêtage!C117</f>
        <v>121107.61842839372</v>
      </c>
      <c r="D123" s="12">
        <f>Données!Z117</f>
        <v>3247</v>
      </c>
      <c r="E123" s="8">
        <f>Population!K120</f>
        <v>-940866.19718309853</v>
      </c>
      <c r="F123" s="239">
        <f>Solidarité!I117</f>
        <v>-572218.14243274392</v>
      </c>
      <c r="G123" s="8">
        <f>DT!O117</f>
        <v>-203969.28942963769</v>
      </c>
      <c r="H123" s="239">
        <f>Effort!K117+Aide!I117+Taux!J117</f>
        <v>0</v>
      </c>
      <c r="I123" s="317">
        <f t="shared" si="5"/>
        <v>-1717053.6290454799</v>
      </c>
      <c r="J123" s="397">
        <f t="shared" si="6"/>
        <v>2319974.7431540098</v>
      </c>
      <c r="K123" s="532">
        <f t="shared" si="7"/>
        <v>602921.11410852987</v>
      </c>
    </row>
    <row r="124" spans="1:11" x14ac:dyDescent="0.25">
      <c r="A124" s="38">
        <f>Données!A118</f>
        <v>5601</v>
      </c>
      <c r="B124" s="27" t="str">
        <f>Données!B118</f>
        <v>Chexbres</v>
      </c>
      <c r="C124" s="26">
        <f>Ecrêtage!C118</f>
        <v>98052.639768384004</v>
      </c>
      <c r="D124" s="12">
        <f>Données!Z118</f>
        <v>2251</v>
      </c>
      <c r="E124" s="8">
        <f>Population!K121</f>
        <v>-558320.02012072422</v>
      </c>
      <c r="F124" s="239">
        <f>Solidarité!I118</f>
        <v>-107048.21679374263</v>
      </c>
      <c r="G124" s="8">
        <f>DT!O118</f>
        <v>-362442.66138969595</v>
      </c>
      <c r="H124" s="239">
        <f>Effort!K118+Aide!I118+Taux!J118</f>
        <v>0</v>
      </c>
      <c r="I124" s="317">
        <f t="shared" si="5"/>
        <v>-1027810.8983041628</v>
      </c>
      <c r="J124" s="397">
        <f t="shared" si="6"/>
        <v>1878326.4894002459</v>
      </c>
      <c r="K124" s="532">
        <f t="shared" si="7"/>
        <v>850515.59109608317</v>
      </c>
    </row>
    <row r="125" spans="1:11" x14ac:dyDescent="0.25">
      <c r="A125" s="38">
        <f>Données!A119</f>
        <v>5604</v>
      </c>
      <c r="B125" s="27" t="str">
        <f>Données!B119</f>
        <v>Forel (Lavaux)</v>
      </c>
      <c r="C125" s="26">
        <f>Ecrêtage!C119</f>
        <v>71266.170275257027</v>
      </c>
      <c r="D125" s="12">
        <f>Données!Z119</f>
        <v>2105</v>
      </c>
      <c r="E125" s="8">
        <f>Population!K122</f>
        <v>-507631.2877263581</v>
      </c>
      <c r="F125" s="239">
        <f>Solidarité!I119</f>
        <v>-493212.01488406752</v>
      </c>
      <c r="G125" s="8">
        <f>DT!O119</f>
        <v>-292511.72834845784</v>
      </c>
      <c r="H125" s="239">
        <f>Effort!K119+Aide!I119+Taux!J119</f>
        <v>0</v>
      </c>
      <c r="I125" s="317">
        <f t="shared" si="5"/>
        <v>-1293355.0309588835</v>
      </c>
      <c r="J125" s="397">
        <f t="shared" si="6"/>
        <v>1365196.650924698</v>
      </c>
      <c r="K125" s="532">
        <f t="shared" si="7"/>
        <v>71841.61996581452</v>
      </c>
    </row>
    <row r="126" spans="1:11" x14ac:dyDescent="0.25">
      <c r="A126" s="38">
        <f>Données!A120</f>
        <v>5606</v>
      </c>
      <c r="B126" s="27" t="str">
        <f>Données!B120</f>
        <v>Lutry</v>
      </c>
      <c r="C126" s="26">
        <f>Ecrêtage!C120</f>
        <v>874192.86279135477</v>
      </c>
      <c r="D126" s="12">
        <f>Données!Z120</f>
        <v>10455</v>
      </c>
      <c r="E126" s="8">
        <f>Population!K123</f>
        <v>-5417792.2535211258</v>
      </c>
      <c r="F126" s="239">
        <f>Solidarité!I120</f>
        <v>0</v>
      </c>
      <c r="G126" s="8">
        <f>DT!O120</f>
        <v>-2150565.8232518714</v>
      </c>
      <c r="H126" s="239">
        <f>Effort!K120+Aide!I120+Taux!J120</f>
        <v>0</v>
      </c>
      <c r="I126" s="317">
        <f t="shared" si="5"/>
        <v>-7568358.0767729972</v>
      </c>
      <c r="J126" s="397">
        <f t="shared" si="6"/>
        <v>16746307.03369485</v>
      </c>
      <c r="K126" s="532">
        <f t="shared" si="7"/>
        <v>9177948.9569218531</v>
      </c>
    </row>
    <row r="127" spans="1:11" x14ac:dyDescent="0.25">
      <c r="A127" s="38">
        <f>Données!A121</f>
        <v>5607</v>
      </c>
      <c r="B127" s="27" t="str">
        <f>Données!B121</f>
        <v>Puidoux</v>
      </c>
      <c r="C127" s="26">
        <f>Ecrêtage!C121</f>
        <v>102748.27893179639</v>
      </c>
      <c r="D127" s="12">
        <f>Données!Z121</f>
        <v>2894</v>
      </c>
      <c r="E127" s="8">
        <f>Population!K124</f>
        <v>-781558.75251509051</v>
      </c>
      <c r="F127" s="239">
        <f>Solidarité!I121</f>
        <v>-578850.9051636135</v>
      </c>
      <c r="G127" s="8">
        <f>DT!O121</f>
        <v>-855811.32640922174</v>
      </c>
      <c r="H127" s="239">
        <f>Effort!K121+Aide!I121+Taux!J121</f>
        <v>0</v>
      </c>
      <c r="I127" s="317">
        <f t="shared" si="5"/>
        <v>-2216220.9840879259</v>
      </c>
      <c r="J127" s="397">
        <f t="shared" si="6"/>
        <v>1968277.5957257545</v>
      </c>
      <c r="K127" s="532">
        <f t="shared" si="7"/>
        <v>-247943.38836217136</v>
      </c>
    </row>
    <row r="128" spans="1:11" x14ac:dyDescent="0.25">
      <c r="A128" s="38">
        <f>Données!A122</f>
        <v>5609</v>
      </c>
      <c r="B128" s="27" t="str">
        <f>Données!B122</f>
        <v>Rivaz</v>
      </c>
      <c r="C128" s="26">
        <f>Ecrêtage!C122</f>
        <v>16045.690421494986</v>
      </c>
      <c r="D128" s="12">
        <f>Données!Z122</f>
        <v>337</v>
      </c>
      <c r="E128" s="8">
        <f>Population!K125</f>
        <v>-41785.965794768606</v>
      </c>
      <c r="F128" s="239">
        <f>Solidarité!I122</f>
        <v>0</v>
      </c>
      <c r="G128" s="8">
        <f>DT!O122</f>
        <v>-24258.589654908843</v>
      </c>
      <c r="H128" s="239">
        <f>Effort!K122+Aide!I122+Taux!J122</f>
        <v>0</v>
      </c>
      <c r="I128" s="317">
        <f t="shared" si="5"/>
        <v>-66044.555449677457</v>
      </c>
      <c r="J128" s="397">
        <f t="shared" si="6"/>
        <v>307376.17498726264</v>
      </c>
      <c r="K128" s="532">
        <f t="shared" si="7"/>
        <v>241331.61953758518</v>
      </c>
    </row>
    <row r="129" spans="1:11" x14ac:dyDescent="0.25">
      <c r="A129" s="38">
        <f>Données!A123</f>
        <v>5610</v>
      </c>
      <c r="B129" s="27" t="str">
        <f>Données!B123</f>
        <v>St-Saphorin (Lavaux)</v>
      </c>
      <c r="C129" s="26">
        <f>Ecrêtage!C123</f>
        <v>19212.066388684874</v>
      </c>
      <c r="D129" s="12">
        <f>Données!Z123</f>
        <v>388</v>
      </c>
      <c r="E129" s="8">
        <f>Population!K126</f>
        <v>-48109.657947686108</v>
      </c>
      <c r="F129" s="239">
        <f>Solidarité!I123</f>
        <v>0</v>
      </c>
      <c r="G129" s="8">
        <f>DT!O123</f>
        <v>-6003.3516678907545</v>
      </c>
      <c r="H129" s="239">
        <f>Effort!K123+Aide!I123+Taux!J123</f>
        <v>0</v>
      </c>
      <c r="I129" s="317">
        <f t="shared" si="5"/>
        <v>-54113.009615576862</v>
      </c>
      <c r="J129" s="397">
        <f t="shared" si="6"/>
        <v>368032.24573275208</v>
      </c>
      <c r="K129" s="532">
        <f t="shared" si="7"/>
        <v>313919.2361171752</v>
      </c>
    </row>
    <row r="130" spans="1:11" x14ac:dyDescent="0.25">
      <c r="A130" s="38">
        <f>Données!A124</f>
        <v>5611</v>
      </c>
      <c r="B130" s="27" t="str">
        <f>Données!B124</f>
        <v>Savigny</v>
      </c>
      <c r="C130" s="26">
        <f>Ecrêtage!C124</f>
        <v>136601.19868900886</v>
      </c>
      <c r="D130" s="12">
        <f>Données!Z124</f>
        <v>3348</v>
      </c>
      <c r="E130" s="8">
        <f>Population!K127</f>
        <v>-990959.75855130772</v>
      </c>
      <c r="F130" s="239">
        <f>Solidarité!I124</f>
        <v>-342087.84742679453</v>
      </c>
      <c r="G130" s="8">
        <f>DT!O124</f>
        <v>-512890.80786594684</v>
      </c>
      <c r="H130" s="239">
        <f>Effort!K124+Aide!I124+Taux!J124</f>
        <v>0</v>
      </c>
      <c r="I130" s="317">
        <f t="shared" si="5"/>
        <v>-1845938.413844049</v>
      </c>
      <c r="J130" s="397">
        <f t="shared" si="6"/>
        <v>2616774.5262899431</v>
      </c>
      <c r="K130" s="532">
        <f t="shared" si="7"/>
        <v>770836.11244589416</v>
      </c>
    </row>
    <row r="131" spans="1:11" x14ac:dyDescent="0.25">
      <c r="A131" s="38">
        <f>Données!A125</f>
        <v>5613</v>
      </c>
      <c r="B131" s="27" t="str">
        <f>Données!B125</f>
        <v>Bourg-en-Lavaux</v>
      </c>
      <c r="C131" s="26">
        <f>Ecrêtage!C125</f>
        <v>343743.87305637199</v>
      </c>
      <c r="D131" s="12">
        <f>Données!Z125</f>
        <v>5389</v>
      </c>
      <c r="E131" s="8">
        <f>Population!K128</f>
        <v>-2041833.4004024144</v>
      </c>
      <c r="F131" s="239">
        <f>Solidarité!I125</f>
        <v>0</v>
      </c>
      <c r="G131" s="8">
        <f>DT!O125</f>
        <v>0</v>
      </c>
      <c r="H131" s="239">
        <f>Effort!K125+Aide!I125+Taux!J125</f>
        <v>0</v>
      </c>
      <c r="I131" s="317">
        <f t="shared" si="5"/>
        <v>-2041833.4004024144</v>
      </c>
      <c r="J131" s="397">
        <f t="shared" si="6"/>
        <v>6584863.2311784634</v>
      </c>
      <c r="K131" s="532">
        <f t="shared" si="7"/>
        <v>4543029.8307760488</v>
      </c>
    </row>
    <row r="132" spans="1:11" x14ac:dyDescent="0.25">
      <c r="A132" s="38">
        <f>Données!A126</f>
        <v>5621</v>
      </c>
      <c r="B132" s="27" t="str">
        <f>Données!B126</f>
        <v>Aclens</v>
      </c>
      <c r="C132" s="26">
        <f>Ecrêtage!C126</f>
        <v>32263.209585065993</v>
      </c>
      <c r="D132" s="12">
        <f>Données!Z126</f>
        <v>528</v>
      </c>
      <c r="E132" s="8">
        <f>Population!K129</f>
        <v>-65468.812877263568</v>
      </c>
      <c r="F132" s="239">
        <f>Solidarité!I126</f>
        <v>0</v>
      </c>
      <c r="G132" s="8">
        <f>DT!O126</f>
        <v>-39709.742489604039</v>
      </c>
      <c r="H132" s="239">
        <f>Effort!K126+Aide!I126+Taux!J126</f>
        <v>0</v>
      </c>
      <c r="I132" s="317">
        <f t="shared" si="5"/>
        <v>-105178.5553668676</v>
      </c>
      <c r="J132" s="397">
        <f t="shared" si="6"/>
        <v>618043.9541439194</v>
      </c>
      <c r="K132" s="532">
        <f t="shared" si="7"/>
        <v>512865.39877705183</v>
      </c>
    </row>
    <row r="133" spans="1:11" x14ac:dyDescent="0.25">
      <c r="A133" s="38">
        <f>Données!A127</f>
        <v>5622</v>
      </c>
      <c r="B133" s="27" t="str">
        <f>Données!B127</f>
        <v>Bremblens</v>
      </c>
      <c r="C133" s="26">
        <f>Ecrêtage!C127</f>
        <v>27798.843685819211</v>
      </c>
      <c r="D133" s="12">
        <f>Données!Z127</f>
        <v>583</v>
      </c>
      <c r="E133" s="8">
        <f>Population!K130</f>
        <v>-72288.480885311859</v>
      </c>
      <c r="F133" s="239">
        <f>Solidarité!I127</f>
        <v>0</v>
      </c>
      <c r="G133" s="8">
        <f>DT!O127</f>
        <v>0</v>
      </c>
      <c r="H133" s="239">
        <f>Effort!K127+Aide!I127+Taux!J127</f>
        <v>0</v>
      </c>
      <c r="I133" s="317">
        <f t="shared" si="5"/>
        <v>-72288.480885311859</v>
      </c>
      <c r="J133" s="397">
        <f t="shared" si="6"/>
        <v>532523.18951444735</v>
      </c>
      <c r="K133" s="532">
        <f t="shared" si="7"/>
        <v>460234.70862913551</v>
      </c>
    </row>
    <row r="134" spans="1:11" x14ac:dyDescent="0.25">
      <c r="A134" s="38">
        <f>Données!A128</f>
        <v>5623</v>
      </c>
      <c r="B134" s="27" t="str">
        <f>Données!B128</f>
        <v>Buchillon</v>
      </c>
      <c r="C134" s="26">
        <f>Ecrêtage!C128</f>
        <v>94505.231730769228</v>
      </c>
      <c r="D134" s="12">
        <f>Données!Z128</f>
        <v>686</v>
      </c>
      <c r="E134" s="8">
        <f>Population!K131</f>
        <v>-85059.859154929567</v>
      </c>
      <c r="F134" s="239">
        <f>Solidarité!I128</f>
        <v>0</v>
      </c>
      <c r="G134" s="8">
        <f>DT!O128</f>
        <v>0</v>
      </c>
      <c r="H134" s="239">
        <f>Effort!K128+Aide!I128+Taux!J128</f>
        <v>0</v>
      </c>
      <c r="I134" s="317">
        <f t="shared" si="5"/>
        <v>-85059.859154929567</v>
      </c>
      <c r="J134" s="397">
        <f t="shared" si="6"/>
        <v>1810371.2512597665</v>
      </c>
      <c r="K134" s="532">
        <f t="shared" si="7"/>
        <v>1725311.3921048369</v>
      </c>
    </row>
    <row r="135" spans="1:11" x14ac:dyDescent="0.25">
      <c r="A135" s="38">
        <f>Données!A129</f>
        <v>5624</v>
      </c>
      <c r="B135" s="27" t="str">
        <f>Données!B129</f>
        <v>Bussigny</v>
      </c>
      <c r="C135" s="26">
        <f>Ecrêtage!C129</f>
        <v>350915.44619957998</v>
      </c>
      <c r="D135" s="12">
        <f>Données!Z129</f>
        <v>9614</v>
      </c>
      <c r="E135" s="8">
        <f>Population!K132</f>
        <v>-4708695.573440643</v>
      </c>
      <c r="F135" s="239">
        <f>Solidarité!I129</f>
        <v>-1451302.8380844037</v>
      </c>
      <c r="G135" s="8">
        <f>DT!O129</f>
        <v>-1345671.6603025203</v>
      </c>
      <c r="H135" s="239">
        <f>Effort!K129+Aide!I129+Taux!J129</f>
        <v>0</v>
      </c>
      <c r="I135" s="317">
        <f t="shared" si="5"/>
        <v>-7505670.0718275663</v>
      </c>
      <c r="J135" s="397">
        <f t="shared" si="6"/>
        <v>6722244.0894335657</v>
      </c>
      <c r="K135" s="532">
        <f t="shared" si="7"/>
        <v>-783425.98239400052</v>
      </c>
    </row>
    <row r="136" spans="1:11" x14ac:dyDescent="0.25">
      <c r="A136" s="38">
        <f>Données!A130</f>
        <v>5627</v>
      </c>
      <c r="B136" s="27" t="str">
        <f>Données!B130</f>
        <v>Chavannes-près-Renens</v>
      </c>
      <c r="C136" s="26">
        <f>Ecrêtage!C130</f>
        <v>162426.10008602153</v>
      </c>
      <c r="D136" s="12">
        <f>Données!Z130</f>
        <v>8487</v>
      </c>
      <c r="E136" s="8">
        <f>Population!K133</f>
        <v>-3885673.2394366194</v>
      </c>
      <c r="F136" s="239">
        <f>Solidarité!I130</f>
        <v>-5506465.831187848</v>
      </c>
      <c r="G136" s="8">
        <f>DT!O130</f>
        <v>-1487120.3994838707</v>
      </c>
      <c r="H136" s="239">
        <f>Effort!K130+Aide!I130+Taux!J130</f>
        <v>2094963.3666492109</v>
      </c>
      <c r="I136" s="317">
        <f t="shared" si="5"/>
        <v>-8784296.1034591272</v>
      </c>
      <c r="J136" s="397">
        <f t="shared" si="6"/>
        <v>3111484.2709203889</v>
      </c>
      <c r="K136" s="532">
        <f t="shared" si="7"/>
        <v>-5672811.8325387388</v>
      </c>
    </row>
    <row r="137" spans="1:11" x14ac:dyDescent="0.25">
      <c r="A137" s="38">
        <f>Données!A131</f>
        <v>5628</v>
      </c>
      <c r="B137" s="27" t="str">
        <f>Données!B131</f>
        <v>Chigny</v>
      </c>
      <c r="C137" s="26">
        <f>Ecrêtage!C131</f>
        <v>24622.507795875023</v>
      </c>
      <c r="D137" s="12">
        <f>Données!Z131</f>
        <v>396</v>
      </c>
      <c r="E137" s="8">
        <f>Population!K134</f>
        <v>-49101.60965794768</v>
      </c>
      <c r="F137" s="239">
        <f>Solidarité!I131</f>
        <v>0</v>
      </c>
      <c r="G137" s="8">
        <f>DT!O131</f>
        <v>0</v>
      </c>
      <c r="H137" s="239">
        <f>Effort!K131+Aide!I131+Taux!J131</f>
        <v>0</v>
      </c>
      <c r="I137" s="317">
        <f t="shared" si="5"/>
        <v>-49101.60965794768</v>
      </c>
      <c r="J137" s="397">
        <f t="shared" si="6"/>
        <v>471676.32342896535</v>
      </c>
      <c r="K137" s="532">
        <f t="shared" si="7"/>
        <v>422574.71377101768</v>
      </c>
    </row>
    <row r="138" spans="1:11" x14ac:dyDescent="0.25">
      <c r="A138" s="38">
        <f>Données!A132</f>
        <v>5629</v>
      </c>
      <c r="B138" s="27" t="str">
        <f>Données!B132</f>
        <v>Clarmont</v>
      </c>
      <c r="C138" s="26">
        <f>Ecrêtage!C132</f>
        <v>8520.6241427524346</v>
      </c>
      <c r="D138" s="12">
        <f>Données!Z132</f>
        <v>201</v>
      </c>
      <c r="E138" s="8">
        <f>Population!K135</f>
        <v>-24922.786720321928</v>
      </c>
      <c r="F138" s="239">
        <f>Solidarité!I132</f>
        <v>-16403.32860195353</v>
      </c>
      <c r="G138" s="8">
        <f>DT!O132</f>
        <v>-36680.255143485396</v>
      </c>
      <c r="H138" s="239">
        <f>Effort!K132+Aide!I132+Taux!J132</f>
        <v>0</v>
      </c>
      <c r="I138" s="317">
        <f t="shared" si="5"/>
        <v>-78006.370465760847</v>
      </c>
      <c r="J138" s="397">
        <f t="shared" si="6"/>
        <v>163223.69363395395</v>
      </c>
      <c r="K138" s="532">
        <f t="shared" si="7"/>
        <v>85217.323168193107</v>
      </c>
    </row>
    <row r="139" spans="1:11" x14ac:dyDescent="0.25">
      <c r="A139" s="38">
        <f>Données!A133</f>
        <v>5631</v>
      </c>
      <c r="B139" s="27" t="str">
        <f>Données!B133</f>
        <v>Denens</v>
      </c>
      <c r="C139" s="26">
        <f>Ecrêtage!C133</f>
        <v>43443.742275876699</v>
      </c>
      <c r="D139" s="12">
        <f>Données!Z133</f>
        <v>742</v>
      </c>
      <c r="E139" s="8">
        <f>Population!K136</f>
        <v>-92003.521126760548</v>
      </c>
      <c r="F139" s="239">
        <f>Solidarité!I133</f>
        <v>0</v>
      </c>
      <c r="G139" s="8">
        <f>DT!O133</f>
        <v>0</v>
      </c>
      <c r="H139" s="239">
        <f>Effort!K133+Aide!I133+Taux!J133</f>
        <v>0</v>
      </c>
      <c r="I139" s="317">
        <f t="shared" si="5"/>
        <v>-92003.521126760548</v>
      </c>
      <c r="J139" s="397">
        <f t="shared" si="6"/>
        <v>832221.67305451829</v>
      </c>
      <c r="K139" s="532">
        <f t="shared" si="7"/>
        <v>740218.15192775778</v>
      </c>
    </row>
    <row r="140" spans="1:11" x14ac:dyDescent="0.25">
      <c r="A140" s="38">
        <f>Données!A134</f>
        <v>5632</v>
      </c>
      <c r="B140" s="27" t="str">
        <f>Données!B134</f>
        <v>Denges</v>
      </c>
      <c r="C140" s="26">
        <f>Ecrêtage!C134</f>
        <v>76401.256884060669</v>
      </c>
      <c r="D140" s="12">
        <f>Données!Z134</f>
        <v>1730</v>
      </c>
      <c r="E140" s="8">
        <f>Population!K137</f>
        <v>-377437.62575452711</v>
      </c>
      <c r="F140" s="239">
        <f>Solidarité!I134</f>
        <v>-53387.37245533731</v>
      </c>
      <c r="G140" s="8">
        <f>DT!O134</f>
        <v>-96717.708695635985</v>
      </c>
      <c r="H140" s="239">
        <f>Effort!K134+Aide!I134+Taux!J134</f>
        <v>0</v>
      </c>
      <c r="I140" s="317">
        <f t="shared" si="5"/>
        <v>-527542.70690550038</v>
      </c>
      <c r="J140" s="397">
        <f t="shared" si="6"/>
        <v>1463565.9475133901</v>
      </c>
      <c r="K140" s="532">
        <f t="shared" si="7"/>
        <v>936023.24060788972</v>
      </c>
    </row>
    <row r="141" spans="1:11" x14ac:dyDescent="0.25">
      <c r="A141" s="38">
        <f>Données!A135</f>
        <v>5633</v>
      </c>
      <c r="B141" s="27" t="str">
        <f>Données!B135</f>
        <v>Echandens</v>
      </c>
      <c r="C141" s="26">
        <f>Ecrêtage!C135</f>
        <v>148314.25599471925</v>
      </c>
      <c r="D141" s="12">
        <f>Données!Z135</f>
        <v>2743</v>
      </c>
      <c r="E141" s="8">
        <f>Population!K138</f>
        <v>-729134.10462776653</v>
      </c>
      <c r="F141" s="239">
        <f>Solidarité!I135</f>
        <v>0</v>
      </c>
      <c r="G141" s="8">
        <f>DT!O135</f>
        <v>-630446.96403168445</v>
      </c>
      <c r="H141" s="239">
        <f>Effort!K135+Aide!I135+Taux!J135</f>
        <v>0</v>
      </c>
      <c r="I141" s="317">
        <f t="shared" ref="I141:I204" si="8">SUM(E141:H141)</f>
        <v>-1359581.0686594509</v>
      </c>
      <c r="J141" s="397">
        <f t="shared" ref="J141:J204" si="9">C141*$J$11</f>
        <v>2841153.4503163504</v>
      </c>
      <c r="K141" s="532">
        <f t="shared" ref="K141:K204" si="10">I141+J141</f>
        <v>1481572.3816568996</v>
      </c>
    </row>
    <row r="142" spans="1:11" x14ac:dyDescent="0.25">
      <c r="A142" s="38">
        <f>Données!A136</f>
        <v>5634</v>
      </c>
      <c r="B142" s="27" t="str">
        <f>Données!B136</f>
        <v>Echichens</v>
      </c>
      <c r="C142" s="26">
        <f>Ecrêtage!C136</f>
        <v>164062.1340206177</v>
      </c>
      <c r="D142" s="12">
        <f>Données!Z136</f>
        <v>3127</v>
      </c>
      <c r="E142" s="8">
        <f>Population!K139</f>
        <v>-881349.09456740436</v>
      </c>
      <c r="F142" s="239">
        <f>Solidarité!I136</f>
        <v>0</v>
      </c>
      <c r="G142" s="8">
        <f>DT!O136</f>
        <v>0</v>
      </c>
      <c r="H142" s="239">
        <f>Effort!K136+Aide!I136+Taux!J136</f>
        <v>0</v>
      </c>
      <c r="I142" s="317">
        <f t="shared" si="8"/>
        <v>-881349.09456740436</v>
      </c>
      <c r="J142" s="397">
        <f t="shared" si="9"/>
        <v>3142824.6395649109</v>
      </c>
      <c r="K142" s="532">
        <f t="shared" si="10"/>
        <v>2261475.5449975068</v>
      </c>
    </row>
    <row r="143" spans="1:11" x14ac:dyDescent="0.25">
      <c r="A143" s="38">
        <f>Données!A137</f>
        <v>5635</v>
      </c>
      <c r="B143" s="27" t="str">
        <f>Données!B137</f>
        <v>Ecublens</v>
      </c>
      <c r="C143" s="26">
        <f>Ecrêtage!C137</f>
        <v>502164.08712629444</v>
      </c>
      <c r="D143" s="12">
        <f>Données!Z137</f>
        <v>13164</v>
      </c>
      <c r="E143" s="8">
        <f>Population!K140</f>
        <v>-7875104.627766598</v>
      </c>
      <c r="F143" s="239">
        <f>Solidarité!I137</f>
        <v>-1648923.3420019043</v>
      </c>
      <c r="G143" s="8">
        <f>DT!O137</f>
        <v>-3121539.9772422332</v>
      </c>
      <c r="H143" s="239">
        <f>Effort!K137+Aide!I137+Taux!J137</f>
        <v>0</v>
      </c>
      <c r="I143" s="317">
        <f t="shared" si="8"/>
        <v>-12645567.947010735</v>
      </c>
      <c r="J143" s="397">
        <f t="shared" si="9"/>
        <v>9619609.5189570356</v>
      </c>
      <c r="K143" s="532">
        <f t="shared" si="10"/>
        <v>-3025958.4280536994</v>
      </c>
    </row>
    <row r="144" spans="1:11" x14ac:dyDescent="0.25">
      <c r="A144" s="38">
        <f>Données!A138</f>
        <v>5636</v>
      </c>
      <c r="B144" s="27" t="str">
        <f>Données!B138</f>
        <v>Etoy</v>
      </c>
      <c r="C144" s="26">
        <f>Ecrêtage!C138</f>
        <v>170184.11203181112</v>
      </c>
      <c r="D144" s="12">
        <f>Données!Z138</f>
        <v>2909</v>
      </c>
      <c r="E144" s="8">
        <f>Population!K141</f>
        <v>-786766.4989939637</v>
      </c>
      <c r="F144" s="239">
        <f>Solidarité!I138</f>
        <v>0</v>
      </c>
      <c r="G144" s="8">
        <f>DT!O138</f>
        <v>0</v>
      </c>
      <c r="H144" s="239">
        <f>Effort!K138+Aide!I138+Taux!J138</f>
        <v>0</v>
      </c>
      <c r="I144" s="317">
        <f t="shared" si="8"/>
        <v>-786766.4989939637</v>
      </c>
      <c r="J144" s="397">
        <f t="shared" si="9"/>
        <v>3260099.1310330969</v>
      </c>
      <c r="K144" s="532">
        <f t="shared" si="10"/>
        <v>2473332.6320391335</v>
      </c>
    </row>
    <row r="145" spans="1:11" x14ac:dyDescent="0.25">
      <c r="A145" s="38">
        <f>Données!A139</f>
        <v>5637</v>
      </c>
      <c r="B145" s="27" t="str">
        <f>Données!B139</f>
        <v>Lavigny</v>
      </c>
      <c r="C145" s="26">
        <f>Ecrêtage!C139</f>
        <v>41191.053632524527</v>
      </c>
      <c r="D145" s="12">
        <f>Données!Z139</f>
        <v>1008</v>
      </c>
      <c r="E145" s="8">
        <f>Population!K142</f>
        <v>-126771.42857142855</v>
      </c>
      <c r="F145" s="239">
        <f>Solidarité!I139</f>
        <v>-113922.87177084967</v>
      </c>
      <c r="G145" s="8">
        <f>DT!O139</f>
        <v>-147847.92820485285</v>
      </c>
      <c r="H145" s="239">
        <f>Effort!K139+Aide!I139+Taux!J139</f>
        <v>0</v>
      </c>
      <c r="I145" s="317">
        <f t="shared" si="8"/>
        <v>-388542.22854713106</v>
      </c>
      <c r="J145" s="397">
        <f t="shared" si="9"/>
        <v>789068.47737131733</v>
      </c>
      <c r="K145" s="532">
        <f t="shared" si="10"/>
        <v>400526.24882418627</v>
      </c>
    </row>
    <row r="146" spans="1:11" x14ac:dyDescent="0.25">
      <c r="A146" s="38">
        <f>Données!A140</f>
        <v>5638</v>
      </c>
      <c r="B146" s="27" t="str">
        <f>Données!B140</f>
        <v>Lonay</v>
      </c>
      <c r="C146" s="26">
        <f>Ecrêtage!C140</f>
        <v>145471.80629203771</v>
      </c>
      <c r="D146" s="12">
        <f>Données!Z140</f>
        <v>2679</v>
      </c>
      <c r="E146" s="8">
        <f>Population!K143</f>
        <v>-706914.38631790737</v>
      </c>
      <c r="F146" s="239">
        <f>Solidarité!I140</f>
        <v>0</v>
      </c>
      <c r="G146" s="8">
        <f>DT!O140</f>
        <v>-466761.41224777373</v>
      </c>
      <c r="H146" s="239">
        <f>Effort!K140+Aide!I140+Taux!J140</f>
        <v>0</v>
      </c>
      <c r="I146" s="317">
        <f t="shared" si="8"/>
        <v>-1173675.7985656811</v>
      </c>
      <c r="J146" s="397">
        <f t="shared" si="9"/>
        <v>2786702.6106046783</v>
      </c>
      <c r="K146" s="532">
        <f t="shared" si="10"/>
        <v>1613026.8120389972</v>
      </c>
    </row>
    <row r="147" spans="1:11" x14ac:dyDescent="0.25">
      <c r="A147" s="38">
        <f>Données!A141</f>
        <v>5639</v>
      </c>
      <c r="B147" s="27" t="str">
        <f>Données!B141</f>
        <v>Lully</v>
      </c>
      <c r="C147" s="26">
        <f>Ecrêtage!C141</f>
        <v>45737.117540983607</v>
      </c>
      <c r="D147" s="12">
        <f>Données!Z141</f>
        <v>825</v>
      </c>
      <c r="E147" s="8">
        <f>Population!K144</f>
        <v>-102295.02012072432</v>
      </c>
      <c r="F147" s="239">
        <f>Solidarité!I141</f>
        <v>0</v>
      </c>
      <c r="G147" s="8">
        <f>DT!O141</f>
        <v>0</v>
      </c>
      <c r="H147" s="239">
        <f>Effort!K141+Aide!I141+Taux!J141</f>
        <v>0</v>
      </c>
      <c r="I147" s="317">
        <f t="shared" si="8"/>
        <v>-102295.02012072432</v>
      </c>
      <c r="J147" s="397">
        <f t="shared" si="9"/>
        <v>876154.27416307712</v>
      </c>
      <c r="K147" s="532">
        <f t="shared" si="10"/>
        <v>773859.25404235278</v>
      </c>
    </row>
    <row r="148" spans="1:11" x14ac:dyDescent="0.25">
      <c r="A148" s="38">
        <f>Données!A142</f>
        <v>5640</v>
      </c>
      <c r="B148" s="27" t="str">
        <f>Données!B142</f>
        <v>Lussy-sur-Morges</v>
      </c>
      <c r="C148" s="26">
        <f>Ecrêtage!C142</f>
        <v>57022.810752581783</v>
      </c>
      <c r="D148" s="12">
        <f>Données!Z142</f>
        <v>722</v>
      </c>
      <c r="E148" s="8">
        <f>Population!K145</f>
        <v>-89523.641851106629</v>
      </c>
      <c r="F148" s="239">
        <f>Solidarité!I142</f>
        <v>0</v>
      </c>
      <c r="G148" s="8">
        <f>DT!O142</f>
        <v>0</v>
      </c>
      <c r="H148" s="239">
        <f>Effort!K142+Aide!I142+Taux!J142</f>
        <v>0</v>
      </c>
      <c r="I148" s="317">
        <f t="shared" si="8"/>
        <v>-89523.641851106629</v>
      </c>
      <c r="J148" s="397">
        <f t="shared" si="9"/>
        <v>1092346.4803154352</v>
      </c>
      <c r="K148" s="532">
        <f t="shared" si="10"/>
        <v>1002822.8384643286</v>
      </c>
    </row>
    <row r="149" spans="1:11" x14ac:dyDescent="0.25">
      <c r="A149" s="38">
        <f>Données!A143</f>
        <v>5642</v>
      </c>
      <c r="B149" s="27" t="str">
        <f>Données!B143</f>
        <v>Morges</v>
      </c>
      <c r="C149" s="26">
        <f>Ecrêtage!C143</f>
        <v>872528.88072343986</v>
      </c>
      <c r="D149" s="12">
        <f>Données!Z143</f>
        <v>16095</v>
      </c>
      <c r="E149" s="8">
        <f>Population!K146</f>
        <v>-10836824.446680078</v>
      </c>
      <c r="F149" s="239">
        <f>Solidarité!I143</f>
        <v>0</v>
      </c>
      <c r="G149" s="8">
        <f>DT!O143</f>
        <v>-681999.71565936087</v>
      </c>
      <c r="H149" s="239">
        <f>Effort!K143+Aide!I143+Taux!J143</f>
        <v>0</v>
      </c>
      <c r="I149" s="317">
        <f t="shared" si="8"/>
        <v>-11518824.16233944</v>
      </c>
      <c r="J149" s="397">
        <f t="shared" si="9"/>
        <v>16714431.282022743</v>
      </c>
      <c r="K149" s="532">
        <f t="shared" si="10"/>
        <v>5195607.1196833029</v>
      </c>
    </row>
    <row r="150" spans="1:11" x14ac:dyDescent="0.25">
      <c r="A150" s="38">
        <f>Données!A144</f>
        <v>5643</v>
      </c>
      <c r="B150" s="27" t="str">
        <f>Données!B144</f>
        <v>Préverenges</v>
      </c>
      <c r="C150" s="26">
        <f>Ecrêtage!C144</f>
        <v>262179.27559609117</v>
      </c>
      <c r="D150" s="12">
        <f>Données!Z144</f>
        <v>5241</v>
      </c>
      <c r="E150" s="8">
        <f>Population!K147</f>
        <v>-1953748.088531187</v>
      </c>
      <c r="F150" s="239">
        <f>Solidarité!I144</f>
        <v>0</v>
      </c>
      <c r="G150" s="8">
        <f>DT!O144</f>
        <v>0</v>
      </c>
      <c r="H150" s="239">
        <f>Effort!K144+Aide!I144+Taux!J144</f>
        <v>0</v>
      </c>
      <c r="I150" s="317">
        <f t="shared" si="8"/>
        <v>-1953748.088531187</v>
      </c>
      <c r="J150" s="397">
        <f t="shared" si="9"/>
        <v>5022386.7453968665</v>
      </c>
      <c r="K150" s="532">
        <f t="shared" si="10"/>
        <v>3068638.6568656797</v>
      </c>
    </row>
    <row r="151" spans="1:11" x14ac:dyDescent="0.25">
      <c r="A151" s="38">
        <f>Données!A145</f>
        <v>5645</v>
      </c>
      <c r="B151" s="27" t="str">
        <f>Données!B145</f>
        <v>Romanel-sur-Morges</v>
      </c>
      <c r="C151" s="26">
        <f>Ecrêtage!C145</f>
        <v>27311.487285492814</v>
      </c>
      <c r="D151" s="12">
        <f>Données!Z145</f>
        <v>466</v>
      </c>
      <c r="E151" s="8">
        <f>Population!K148</f>
        <v>-57781.18712273641</v>
      </c>
      <c r="F151" s="239">
        <f>Solidarité!I145</f>
        <v>0</v>
      </c>
      <c r="G151" s="8">
        <f>DT!O145</f>
        <v>-69990.826287043106</v>
      </c>
      <c r="H151" s="239">
        <f>Effort!K145+Aide!I145+Taux!J145</f>
        <v>0</v>
      </c>
      <c r="I151" s="317">
        <f t="shared" si="8"/>
        <v>-127772.01340977952</v>
      </c>
      <c r="J151" s="397">
        <f t="shared" si="9"/>
        <v>523187.24059278471</v>
      </c>
      <c r="K151" s="532">
        <f t="shared" si="10"/>
        <v>395415.22718300519</v>
      </c>
    </row>
    <row r="152" spans="1:11" x14ac:dyDescent="0.25">
      <c r="A152" s="38">
        <f>Données!A146</f>
        <v>5646</v>
      </c>
      <c r="B152" s="27" t="str">
        <f>Données!B146</f>
        <v>Saint-Prex</v>
      </c>
      <c r="C152" s="26">
        <f>Ecrêtage!C146</f>
        <v>536854.93998205999</v>
      </c>
      <c r="D152" s="12">
        <f>Données!Z146</f>
        <v>5865</v>
      </c>
      <c r="E152" s="8">
        <f>Population!K149</f>
        <v>-2325134.8088531187</v>
      </c>
      <c r="F152" s="239">
        <f>Solidarité!I146</f>
        <v>0</v>
      </c>
      <c r="G152" s="8">
        <f>DT!O146</f>
        <v>0</v>
      </c>
      <c r="H152" s="239">
        <f>Effort!K146+Aide!I146+Taux!J146</f>
        <v>0</v>
      </c>
      <c r="I152" s="317">
        <f t="shared" si="8"/>
        <v>-2325134.8088531187</v>
      </c>
      <c r="J152" s="397">
        <f t="shared" si="9"/>
        <v>10284158.153372087</v>
      </c>
      <c r="K152" s="532">
        <f t="shared" si="10"/>
        <v>7959023.3445189679</v>
      </c>
    </row>
    <row r="153" spans="1:11" x14ac:dyDescent="0.25">
      <c r="A153" s="38">
        <f>Données!A147</f>
        <v>5648</v>
      </c>
      <c r="B153" s="27" t="str">
        <f>Données!B147</f>
        <v>Saint-Sulpice</v>
      </c>
      <c r="C153" s="26">
        <f>Ecrêtage!C147</f>
        <v>395932.06546066038</v>
      </c>
      <c r="D153" s="12">
        <f>Données!Z147</f>
        <v>4909</v>
      </c>
      <c r="E153" s="8">
        <f>Population!K150</f>
        <v>-1765178.0684104627</v>
      </c>
      <c r="F153" s="239">
        <f>Solidarité!I147</f>
        <v>0</v>
      </c>
      <c r="G153" s="8">
        <f>DT!O147</f>
        <v>0</v>
      </c>
      <c r="H153" s="239">
        <f>Effort!K147+Aide!I147+Taux!J147</f>
        <v>0</v>
      </c>
      <c r="I153" s="317">
        <f t="shared" si="8"/>
        <v>-1765178.0684104627</v>
      </c>
      <c r="J153" s="397">
        <f t="shared" si="9"/>
        <v>7584596.2772080833</v>
      </c>
      <c r="K153" s="532">
        <f t="shared" si="10"/>
        <v>5819418.2087976206</v>
      </c>
    </row>
    <row r="154" spans="1:11" x14ac:dyDescent="0.25">
      <c r="A154" s="38">
        <f>Données!A148</f>
        <v>5649</v>
      </c>
      <c r="B154" s="27" t="str">
        <f>Données!B148</f>
        <v>Tolochenaz</v>
      </c>
      <c r="C154" s="26">
        <f>Ecrêtage!C148</f>
        <v>197599.65546190951</v>
      </c>
      <c r="D154" s="12">
        <f>Données!Z148</f>
        <v>1889</v>
      </c>
      <c r="E154" s="8">
        <f>Population!K151</f>
        <v>-432639.73843058344</v>
      </c>
      <c r="F154" s="239">
        <f>Solidarité!I148</f>
        <v>0</v>
      </c>
      <c r="G154" s="8">
        <f>DT!O148</f>
        <v>0</v>
      </c>
      <c r="H154" s="239">
        <f>Effort!K148+Aide!I148+Taux!J148</f>
        <v>0</v>
      </c>
      <c r="I154" s="317">
        <f t="shared" si="8"/>
        <v>-432639.73843058344</v>
      </c>
      <c r="J154" s="397">
        <f t="shared" si="9"/>
        <v>3785279.7030982333</v>
      </c>
      <c r="K154" s="532">
        <f t="shared" si="10"/>
        <v>3352639.9646676499</v>
      </c>
    </row>
    <row r="155" spans="1:11" x14ac:dyDescent="0.25">
      <c r="A155" s="38">
        <f>Données!A149</f>
        <v>5650</v>
      </c>
      <c r="B155" s="27" t="str">
        <f>Données!B149</f>
        <v>Vaux-sur-Morges</v>
      </c>
      <c r="C155" s="26">
        <f>Ecrêtage!C149</f>
        <v>63000.299031725983</v>
      </c>
      <c r="D155" s="12">
        <f>Données!Z149</f>
        <v>194</v>
      </c>
      <c r="E155" s="8">
        <f>Population!K152</f>
        <v>-24054.828973843054</v>
      </c>
      <c r="F155" s="239">
        <f>Solidarité!I149</f>
        <v>0</v>
      </c>
      <c r="G155" s="8">
        <f>DT!O149</f>
        <v>0</v>
      </c>
      <c r="H155" s="239">
        <f>Effort!K149+Aide!I149+Taux!J149</f>
        <v>-708852.66951259703</v>
      </c>
      <c r="I155" s="317">
        <f t="shared" si="8"/>
        <v>-732907.49848644005</v>
      </c>
      <c r="J155" s="397">
        <f t="shared" si="9"/>
        <v>1206853.0820889072</v>
      </c>
      <c r="K155" s="532">
        <f t="shared" si="10"/>
        <v>473945.5836024672</v>
      </c>
    </row>
    <row r="156" spans="1:11" x14ac:dyDescent="0.25">
      <c r="A156" s="38">
        <f>Données!A150</f>
        <v>5651</v>
      </c>
      <c r="B156" s="27" t="str">
        <f>Données!B150</f>
        <v>Villars-Sainte-Croix</v>
      </c>
      <c r="C156" s="26">
        <f>Ecrêtage!C150</f>
        <v>55609.921242717981</v>
      </c>
      <c r="D156" s="12">
        <f>Données!Z150</f>
        <v>958</v>
      </c>
      <c r="E156" s="8">
        <f>Population!K153</f>
        <v>-118786.21730382292</v>
      </c>
      <c r="F156" s="239">
        <f>Solidarité!I150</f>
        <v>0</v>
      </c>
      <c r="G156" s="8">
        <f>DT!O150</f>
        <v>0</v>
      </c>
      <c r="H156" s="239">
        <f>Effort!K150+Aide!I150+Taux!J150</f>
        <v>0</v>
      </c>
      <c r="I156" s="317">
        <f t="shared" si="8"/>
        <v>-118786.21730382292</v>
      </c>
      <c r="J156" s="397">
        <f t="shared" si="9"/>
        <v>1065280.7348215682</v>
      </c>
      <c r="K156" s="532">
        <f t="shared" si="10"/>
        <v>946494.51751774526</v>
      </c>
    </row>
    <row r="157" spans="1:11" x14ac:dyDescent="0.25">
      <c r="A157" s="38">
        <f>Données!A151</f>
        <v>5652</v>
      </c>
      <c r="B157" s="27" t="str">
        <f>Données!B151</f>
        <v>Villars-sous-Yens</v>
      </c>
      <c r="C157" s="26">
        <f>Ecrêtage!C151</f>
        <v>25655.145757874605</v>
      </c>
      <c r="D157" s="12">
        <f>Données!Z151</f>
        <v>615</v>
      </c>
      <c r="E157" s="8">
        <f>Population!K154</f>
        <v>-76256.287726358132</v>
      </c>
      <c r="F157" s="239">
        <f>Solidarité!I151</f>
        <v>-63249.626146073962</v>
      </c>
      <c r="G157" s="8">
        <f>DT!O151</f>
        <v>-13974.625452752371</v>
      </c>
      <c r="H157" s="239">
        <f>Effort!K151+Aide!I151+Taux!J151</f>
        <v>0</v>
      </c>
      <c r="I157" s="317">
        <f t="shared" si="8"/>
        <v>-153480.53932518445</v>
      </c>
      <c r="J157" s="397">
        <f t="shared" si="9"/>
        <v>491457.85345779289</v>
      </c>
      <c r="K157" s="532">
        <f t="shared" si="10"/>
        <v>337977.31413260847</v>
      </c>
    </row>
    <row r="158" spans="1:11" x14ac:dyDescent="0.25">
      <c r="A158" s="38">
        <f>Données!A152</f>
        <v>5653</v>
      </c>
      <c r="B158" s="27" t="str">
        <f>Données!B152</f>
        <v>Vufflens-le-Château</v>
      </c>
      <c r="C158" s="26">
        <f>Ecrêtage!C152</f>
        <v>68766.939221326931</v>
      </c>
      <c r="D158" s="12">
        <f>Données!Z152</f>
        <v>870</v>
      </c>
      <c r="E158" s="8">
        <f>Population!K155</f>
        <v>-107874.74849094565</v>
      </c>
      <c r="F158" s="239">
        <f>Solidarité!I152</f>
        <v>0</v>
      </c>
      <c r="G158" s="8">
        <f>DT!O152</f>
        <v>0</v>
      </c>
      <c r="H158" s="239">
        <f>Effort!K152+Aide!I152+Taux!J152</f>
        <v>0</v>
      </c>
      <c r="I158" s="317">
        <f t="shared" si="8"/>
        <v>-107874.74849094565</v>
      </c>
      <c r="J158" s="397">
        <f t="shared" si="9"/>
        <v>1317320.6130860692</v>
      </c>
      <c r="K158" s="532">
        <f t="shared" si="10"/>
        <v>1209445.8645951236</v>
      </c>
    </row>
    <row r="159" spans="1:11" x14ac:dyDescent="0.25">
      <c r="A159" s="38">
        <f>Données!A153</f>
        <v>5654</v>
      </c>
      <c r="B159" s="27" t="str">
        <f>Données!B153</f>
        <v>Vullierens</v>
      </c>
      <c r="C159" s="26">
        <f>Ecrêtage!C153</f>
        <v>19265.305994004091</v>
      </c>
      <c r="D159" s="12">
        <f>Données!Z153</f>
        <v>542</v>
      </c>
      <c r="E159" s="8">
        <f>Population!K156</f>
        <v>-67204.728370221317</v>
      </c>
      <c r="F159" s="239">
        <f>Solidarité!I153</f>
        <v>-132936.20944556803</v>
      </c>
      <c r="G159" s="8">
        <f>DT!O153</f>
        <v>-25202.664035975453</v>
      </c>
      <c r="H159" s="239">
        <f>Effort!K153+Aide!I153+Taux!J153</f>
        <v>0</v>
      </c>
      <c r="I159" s="317">
        <f t="shared" si="8"/>
        <v>-225343.60185176483</v>
      </c>
      <c r="J159" s="397">
        <f t="shared" si="9"/>
        <v>369052.11996757658</v>
      </c>
      <c r="K159" s="532">
        <f t="shared" si="10"/>
        <v>143708.51811581175</v>
      </c>
    </row>
    <row r="160" spans="1:11" x14ac:dyDescent="0.25">
      <c r="A160" s="38">
        <f>Données!A154</f>
        <v>5655</v>
      </c>
      <c r="B160" s="27" t="str">
        <f>Données!B154</f>
        <v>Yens</v>
      </c>
      <c r="C160" s="26">
        <f>Ecrêtage!C154</f>
        <v>90850.412022589255</v>
      </c>
      <c r="D160" s="12">
        <f>Données!Z154</f>
        <v>1480</v>
      </c>
      <c r="E160" s="8">
        <f>Population!K157</f>
        <v>-290641.85110663978</v>
      </c>
      <c r="F160" s="239">
        <f>Solidarité!I154</f>
        <v>0</v>
      </c>
      <c r="G160" s="8">
        <f>DT!O154</f>
        <v>0</v>
      </c>
      <c r="H160" s="239">
        <f>Effort!K154+Aide!I154+Taux!J154</f>
        <v>0</v>
      </c>
      <c r="I160" s="317">
        <f t="shared" si="8"/>
        <v>-290641.85110663978</v>
      </c>
      <c r="J160" s="397">
        <f t="shared" si="9"/>
        <v>1740358.4021608273</v>
      </c>
      <c r="K160" s="532">
        <f t="shared" si="10"/>
        <v>1449716.5510541876</v>
      </c>
    </row>
    <row r="161" spans="1:11" x14ac:dyDescent="0.25">
      <c r="A161" s="38">
        <f>Données!A155</f>
        <v>5656</v>
      </c>
      <c r="B161" s="27" t="str">
        <f>Données!B155</f>
        <v>Hautemorges</v>
      </c>
      <c r="C161" s="26">
        <f>Ecrêtage!C155</f>
        <v>160995.06048587704</v>
      </c>
      <c r="D161" s="12">
        <f>Données!Z155</f>
        <v>4101</v>
      </c>
      <c r="E161" s="8">
        <f>Population!K158</f>
        <v>-1364429.5774647887</v>
      </c>
      <c r="F161" s="239">
        <f>Solidarité!I155</f>
        <v>-621454.25107921497</v>
      </c>
      <c r="G161" s="8">
        <f>DT!O155</f>
        <v>0</v>
      </c>
      <c r="H161" s="239">
        <f>Effort!K155+Aide!I155+Taux!J155</f>
        <v>0</v>
      </c>
      <c r="I161" s="317">
        <f t="shared" si="8"/>
        <v>-1985883.8285440037</v>
      </c>
      <c r="J161" s="397">
        <f t="shared" si="9"/>
        <v>3084070.8367213551</v>
      </c>
      <c r="K161" s="532">
        <f t="shared" si="10"/>
        <v>1098187.0081773514</v>
      </c>
    </row>
    <row r="162" spans="1:11" x14ac:dyDescent="0.25">
      <c r="A162" s="38">
        <f>Données!A156</f>
        <v>5661</v>
      </c>
      <c r="B162" s="27" t="str">
        <f>Données!B156</f>
        <v>Boulens</v>
      </c>
      <c r="C162" s="26">
        <f>Ecrêtage!C156</f>
        <v>10163.82569082424</v>
      </c>
      <c r="D162" s="12">
        <f>Données!Z156</f>
        <v>369</v>
      </c>
      <c r="E162" s="8">
        <f>Population!K159</f>
        <v>-45753.772635814879</v>
      </c>
      <c r="F162" s="239">
        <f>Solidarité!I156</f>
        <v>-140412.26781883038</v>
      </c>
      <c r="G162" s="8">
        <f>DT!O156</f>
        <v>-13667.38073188182</v>
      </c>
      <c r="H162" s="239">
        <f>Effort!K156+Aide!I156+Taux!J156</f>
        <v>0</v>
      </c>
      <c r="I162" s="317">
        <f t="shared" si="8"/>
        <v>-199833.42118652709</v>
      </c>
      <c r="J162" s="397">
        <f t="shared" si="9"/>
        <v>194701.36728412285</v>
      </c>
      <c r="K162" s="532">
        <f t="shared" si="10"/>
        <v>-5132.0539024042373</v>
      </c>
    </row>
    <row r="163" spans="1:11" x14ac:dyDescent="0.25">
      <c r="A163" s="38">
        <f>Données!A157</f>
        <v>5663</v>
      </c>
      <c r="B163" s="27" t="str">
        <f>Données!B157</f>
        <v>Bussy-sur-Moudon</v>
      </c>
      <c r="C163" s="26">
        <f>Ecrêtage!C157</f>
        <v>5406.7758852371026</v>
      </c>
      <c r="D163" s="12">
        <f>Données!Z157</f>
        <v>219</v>
      </c>
      <c r="E163" s="8">
        <f>Population!K160</f>
        <v>-27154.67806841046</v>
      </c>
      <c r="F163" s="239">
        <f>Solidarité!I157</f>
        <v>-120319.71263458069</v>
      </c>
      <c r="G163" s="8">
        <f>DT!O157</f>
        <v>0</v>
      </c>
      <c r="H163" s="239">
        <f>Effort!K157+Aide!I157+Taux!J157</f>
        <v>0</v>
      </c>
      <c r="I163" s="317">
        <f t="shared" si="8"/>
        <v>-147474.39070299116</v>
      </c>
      <c r="J163" s="397">
        <f t="shared" si="9"/>
        <v>103573.85983162388</v>
      </c>
      <c r="K163" s="532">
        <f t="shared" si="10"/>
        <v>-43900.530871367286</v>
      </c>
    </row>
    <row r="164" spans="1:11" x14ac:dyDescent="0.25">
      <c r="A164" s="38">
        <f>Données!A158</f>
        <v>5665</v>
      </c>
      <c r="B164" s="27" t="str">
        <f>Données!B158</f>
        <v>Chavannes-sur-Moudon</v>
      </c>
      <c r="C164" s="26">
        <f>Ecrêtage!C158</f>
        <v>6834.7640808977276</v>
      </c>
      <c r="D164" s="12">
        <f>Données!Z158</f>
        <v>223</v>
      </c>
      <c r="E164" s="8">
        <f>Population!K161</f>
        <v>-27650.653923541242</v>
      </c>
      <c r="F164" s="239">
        <f>Solidarité!I158</f>
        <v>-73709.925678747488</v>
      </c>
      <c r="G164" s="8">
        <f>DT!O158</f>
        <v>-2301.9269393267041</v>
      </c>
      <c r="H164" s="239">
        <f>Effort!K158+Aide!I158+Taux!J158</f>
        <v>0</v>
      </c>
      <c r="I164" s="317">
        <f t="shared" si="8"/>
        <v>-103662.50654161542</v>
      </c>
      <c r="J164" s="397">
        <f t="shared" si="9"/>
        <v>130928.84038896598</v>
      </c>
      <c r="K164" s="532">
        <f t="shared" si="10"/>
        <v>27266.333847350557</v>
      </c>
    </row>
    <row r="165" spans="1:11" x14ac:dyDescent="0.25">
      <c r="A165" s="38">
        <f>Données!A159</f>
        <v>5669</v>
      </c>
      <c r="B165" s="27" t="str">
        <f>Données!B159</f>
        <v>Curtilles</v>
      </c>
      <c r="C165" s="26">
        <f>Ecrêtage!C159</f>
        <v>10284.99372876246</v>
      </c>
      <c r="D165" s="12">
        <f>Données!Z159</f>
        <v>301</v>
      </c>
      <c r="E165" s="8">
        <f>Population!K162</f>
        <v>-37322.183098591544</v>
      </c>
      <c r="F165" s="239">
        <f>Solidarité!I159</f>
        <v>-76928.718470716529</v>
      </c>
      <c r="G165" s="8">
        <f>DT!O159</f>
        <v>0</v>
      </c>
      <c r="H165" s="239">
        <f>Effort!K159+Aide!I159+Taux!J159</f>
        <v>0</v>
      </c>
      <c r="I165" s="317">
        <f t="shared" si="8"/>
        <v>-114250.90156930807</v>
      </c>
      <c r="J165" s="397">
        <f t="shared" si="9"/>
        <v>197022.4994419681</v>
      </c>
      <c r="K165" s="532">
        <f t="shared" si="10"/>
        <v>82771.59787266003</v>
      </c>
    </row>
    <row r="166" spans="1:11" x14ac:dyDescent="0.25">
      <c r="A166" s="38">
        <f>Données!A160</f>
        <v>5671</v>
      </c>
      <c r="B166" s="27" t="str">
        <f>Données!B160</f>
        <v>Dompierre</v>
      </c>
      <c r="C166" s="26">
        <f>Ecrêtage!C160</f>
        <v>6033.0922485669453</v>
      </c>
      <c r="D166" s="12">
        <f>Données!Z160</f>
        <v>245</v>
      </c>
      <c r="E166" s="8">
        <f>Population!K163</f>
        <v>-30378.521126760559</v>
      </c>
      <c r="F166" s="239">
        <f>Solidarité!I160</f>
        <v>-128337.02265808311</v>
      </c>
      <c r="G166" s="8">
        <f>DT!O160</f>
        <v>-46928.446508598325</v>
      </c>
      <c r="H166" s="239">
        <f>Effort!K160+Aide!I160+Taux!J160</f>
        <v>0</v>
      </c>
      <c r="I166" s="317">
        <f t="shared" si="8"/>
        <v>-205643.99029344198</v>
      </c>
      <c r="J166" s="397">
        <f t="shared" si="9"/>
        <v>115571.76849340167</v>
      </c>
      <c r="K166" s="532">
        <f t="shared" si="10"/>
        <v>-90072.221800040308</v>
      </c>
    </row>
    <row r="167" spans="1:11" x14ac:dyDescent="0.25">
      <c r="A167" s="38">
        <f>Données!A161</f>
        <v>5673</v>
      </c>
      <c r="B167" s="27" t="str">
        <f>Données!B161</f>
        <v>Hermenches</v>
      </c>
      <c r="C167" s="26">
        <f>Ecrêtage!C161</f>
        <v>10638.00475305371</v>
      </c>
      <c r="D167" s="12">
        <f>Données!Z161</f>
        <v>384</v>
      </c>
      <c r="E167" s="8">
        <f>Population!K164</f>
        <v>-47613.682092555326</v>
      </c>
      <c r="F167" s="239">
        <f>Solidarité!I161</f>
        <v>-153091.83326901036</v>
      </c>
      <c r="G167" s="8">
        <f>DT!O161</f>
        <v>-54469.467916887457</v>
      </c>
      <c r="H167" s="239">
        <f>Effort!K161+Aide!I161+Taux!J161</f>
        <v>0</v>
      </c>
      <c r="I167" s="317">
        <f t="shared" si="8"/>
        <v>-255174.98327845315</v>
      </c>
      <c r="J167" s="397">
        <f t="shared" si="9"/>
        <v>203784.88706909213</v>
      </c>
      <c r="K167" s="532">
        <f t="shared" si="10"/>
        <v>-51390.096209361014</v>
      </c>
    </row>
    <row r="168" spans="1:11" x14ac:dyDescent="0.25">
      <c r="A168" s="38">
        <f>Données!A162</f>
        <v>5674</v>
      </c>
      <c r="B168" s="27" t="str">
        <f>Données!B162</f>
        <v>Lovatens</v>
      </c>
      <c r="C168" s="26">
        <f>Ecrêtage!C162</f>
        <v>3430.6671539886806</v>
      </c>
      <c r="D168" s="12">
        <f>Données!Z162</f>
        <v>142</v>
      </c>
      <c r="E168" s="8">
        <f>Population!K165</f>
        <v>-17607.142857142855</v>
      </c>
      <c r="F168" s="239">
        <f>Solidarité!I162</f>
        <v>-70256.260988300026</v>
      </c>
      <c r="G168" s="8">
        <f>DT!O162</f>
        <v>-29782.247076067913</v>
      </c>
      <c r="H168" s="239">
        <f>Effort!K162+Aide!I162+Taux!J162</f>
        <v>0</v>
      </c>
      <c r="I168" s="317">
        <f t="shared" si="8"/>
        <v>-117645.65092151079</v>
      </c>
      <c r="J168" s="397">
        <f t="shared" si="9"/>
        <v>65718.913910669246</v>
      </c>
      <c r="K168" s="532">
        <f t="shared" si="10"/>
        <v>-51926.737010841549</v>
      </c>
    </row>
    <row r="169" spans="1:11" x14ac:dyDescent="0.25">
      <c r="A169" s="38">
        <f>Données!A163</f>
        <v>5675</v>
      </c>
      <c r="B169" s="27" t="str">
        <f>Données!B163</f>
        <v>Lucens</v>
      </c>
      <c r="C169" s="26">
        <f>Ecrêtage!C163</f>
        <v>96952.062979645387</v>
      </c>
      <c r="D169" s="12">
        <f>Données!Z163</f>
        <v>4309</v>
      </c>
      <c r="E169" s="8">
        <f>Population!K166</f>
        <v>-1467592.5553319918</v>
      </c>
      <c r="F169" s="239">
        <f>Solidarité!I163</f>
        <v>-1857071.6466181136</v>
      </c>
      <c r="G169" s="8">
        <f>DT!O163</f>
        <v>-581927.62212212768</v>
      </c>
      <c r="H169" s="239">
        <f>Effort!K163+Aide!I163+Taux!J163</f>
        <v>0</v>
      </c>
      <c r="I169" s="317">
        <f t="shared" si="8"/>
        <v>-3906591.8240722329</v>
      </c>
      <c r="J169" s="397">
        <f t="shared" si="9"/>
        <v>1857243.5023354413</v>
      </c>
      <c r="K169" s="532">
        <f t="shared" si="10"/>
        <v>-2049348.3217367916</v>
      </c>
    </row>
    <row r="170" spans="1:11" x14ac:dyDescent="0.25">
      <c r="A170" s="38">
        <f>Données!A164</f>
        <v>5678</v>
      </c>
      <c r="B170" s="27" t="str">
        <f>Données!B164</f>
        <v>Moudon</v>
      </c>
      <c r="C170" s="26">
        <f>Ecrêtage!C164</f>
        <v>124861.70956096463</v>
      </c>
      <c r="D170" s="12">
        <f>Données!Z164</f>
        <v>6109</v>
      </c>
      <c r="E170" s="8">
        <f>Population!K167</f>
        <v>-2470356.5392354121</v>
      </c>
      <c r="F170" s="239">
        <f>Solidarité!I164</f>
        <v>-3301758.2966029109</v>
      </c>
      <c r="G170" s="8">
        <f>DT!O164</f>
        <v>-1223776.7426342121</v>
      </c>
      <c r="H170" s="239">
        <f>Effort!K164+Aide!I164+Taux!J164</f>
        <v>0</v>
      </c>
      <c r="I170" s="317">
        <f t="shared" si="8"/>
        <v>-6995891.5784725361</v>
      </c>
      <c r="J170" s="397">
        <f t="shared" si="9"/>
        <v>2391889.2661549924</v>
      </c>
      <c r="K170" s="532">
        <f t="shared" si="10"/>
        <v>-4604002.3123175437</v>
      </c>
    </row>
    <row r="171" spans="1:11" x14ac:dyDescent="0.25">
      <c r="A171" s="38">
        <f>Données!A165</f>
        <v>5680</v>
      </c>
      <c r="B171" s="27" t="str">
        <f>Données!B165</f>
        <v>Ogens</v>
      </c>
      <c r="C171" s="26">
        <f>Ecrêtage!C165</f>
        <v>8674.1647445530853</v>
      </c>
      <c r="D171" s="12">
        <f>Données!Z165</f>
        <v>301</v>
      </c>
      <c r="E171" s="8">
        <f>Population!K168</f>
        <v>-37322.183098591544</v>
      </c>
      <c r="F171" s="239">
        <f>Solidarité!I165</f>
        <v>-126988.7228702048</v>
      </c>
      <c r="G171" s="8">
        <f>DT!O165</f>
        <v>-6169.3764415851856</v>
      </c>
      <c r="H171" s="239">
        <f>Effort!K165+Aide!I165+Taux!J165</f>
        <v>0</v>
      </c>
      <c r="I171" s="317">
        <f t="shared" si="8"/>
        <v>-170480.28241038154</v>
      </c>
      <c r="J171" s="397">
        <f t="shared" si="9"/>
        <v>166164.96457007423</v>
      </c>
      <c r="K171" s="532">
        <f t="shared" si="10"/>
        <v>-4315.3178403073107</v>
      </c>
    </row>
    <row r="172" spans="1:11" x14ac:dyDescent="0.25">
      <c r="A172" s="38">
        <f>Données!A166</f>
        <v>5683</v>
      </c>
      <c r="B172" s="27" t="str">
        <f>Données!B166</f>
        <v>Prévonloup</v>
      </c>
      <c r="C172" s="26">
        <f>Ecrêtage!C166</f>
        <v>5010.6526896551723</v>
      </c>
      <c r="D172" s="12">
        <f>Données!Z166</f>
        <v>202</v>
      </c>
      <c r="E172" s="8">
        <f>Population!K169</f>
        <v>-25046.780684104622</v>
      </c>
      <c r="F172" s="239">
        <f>Solidarité!I166</f>
        <v>-90651.238217334583</v>
      </c>
      <c r="G172" s="8">
        <f>DT!O166</f>
        <v>0</v>
      </c>
      <c r="H172" s="239">
        <f>Effort!K166+Aide!I166+Taux!J166</f>
        <v>0</v>
      </c>
      <c r="I172" s="317">
        <f t="shared" si="8"/>
        <v>-115698.01890143921</v>
      </c>
      <c r="J172" s="397">
        <f t="shared" si="9"/>
        <v>95985.602207097138</v>
      </c>
      <c r="K172" s="532">
        <f t="shared" si="10"/>
        <v>-19712.416694342071</v>
      </c>
    </row>
    <row r="173" spans="1:11" x14ac:dyDescent="0.25">
      <c r="A173" s="38">
        <f>Données!A167</f>
        <v>5684</v>
      </c>
      <c r="B173" s="27" t="str">
        <f>Données!B167</f>
        <v>Rossenges</v>
      </c>
      <c r="C173" s="26">
        <f>Ecrêtage!C167</f>
        <v>4335.3702000000012</v>
      </c>
      <c r="D173" s="12">
        <f>Données!Z167</f>
        <v>84</v>
      </c>
      <c r="E173" s="8">
        <f>Population!K170</f>
        <v>-10415.492957746477</v>
      </c>
      <c r="F173" s="239">
        <f>Solidarité!I167</f>
        <v>0</v>
      </c>
      <c r="G173" s="8">
        <f>DT!O167</f>
        <v>0</v>
      </c>
      <c r="H173" s="239">
        <f>Effort!K167+Aide!I167+Taux!J167</f>
        <v>0</v>
      </c>
      <c r="I173" s="317">
        <f t="shared" si="8"/>
        <v>-10415.492957746477</v>
      </c>
      <c r="J173" s="397">
        <f t="shared" si="9"/>
        <v>83049.683386924415</v>
      </c>
      <c r="K173" s="532">
        <f t="shared" si="10"/>
        <v>72634.190429177936</v>
      </c>
    </row>
    <row r="174" spans="1:11" x14ac:dyDescent="0.25">
      <c r="A174" s="38">
        <f>Données!A168</f>
        <v>5688</v>
      </c>
      <c r="B174" s="27" t="str">
        <f>Données!B168</f>
        <v>Syens</v>
      </c>
      <c r="C174" s="26">
        <f>Ecrêtage!C168</f>
        <v>5090.9474673292525</v>
      </c>
      <c r="D174" s="12">
        <f>Données!Z168</f>
        <v>156</v>
      </c>
      <c r="E174" s="8">
        <f>Population!K171</f>
        <v>-19343.0583501006</v>
      </c>
      <c r="F174" s="239">
        <f>Solidarité!I168</f>
        <v>-48229.936213046902</v>
      </c>
      <c r="G174" s="8">
        <f>DT!O168</f>
        <v>-9849.315196024485</v>
      </c>
      <c r="H174" s="239">
        <f>Effort!K168+Aide!I168+Taux!J168</f>
        <v>-50936.811862585564</v>
      </c>
      <c r="I174" s="317">
        <f t="shared" si="8"/>
        <v>-128359.12162175754</v>
      </c>
      <c r="J174" s="397">
        <f t="shared" si="9"/>
        <v>97523.753634962704</v>
      </c>
      <c r="K174" s="532">
        <f t="shared" si="10"/>
        <v>-30835.367986794838</v>
      </c>
    </row>
    <row r="175" spans="1:11" x14ac:dyDescent="0.25">
      <c r="A175" s="38">
        <f>Données!A169</f>
        <v>5690</v>
      </c>
      <c r="B175" s="27" t="str">
        <f>Données!B169</f>
        <v>Villars-le-Comte</v>
      </c>
      <c r="C175" s="26">
        <f>Ecrêtage!C169</f>
        <v>3483.6555381452017</v>
      </c>
      <c r="D175" s="12">
        <f>Données!Z169</f>
        <v>120</v>
      </c>
      <c r="E175" s="8">
        <f>Population!K172</f>
        <v>-14879.275653923538</v>
      </c>
      <c r="F175" s="239">
        <f>Solidarité!I169</f>
        <v>-40274.709313064275</v>
      </c>
      <c r="G175" s="8">
        <f>DT!O169</f>
        <v>-9710.8167711287897</v>
      </c>
      <c r="H175" s="239">
        <f>Effort!K169+Aide!I169+Taux!J169</f>
        <v>0</v>
      </c>
      <c r="I175" s="317">
        <f t="shared" si="8"/>
        <v>-64864.801738116606</v>
      </c>
      <c r="J175" s="397">
        <f t="shared" si="9"/>
        <v>66733.975675725378</v>
      </c>
      <c r="K175" s="532">
        <f t="shared" si="10"/>
        <v>1869.1739376087717</v>
      </c>
    </row>
    <row r="176" spans="1:11" x14ac:dyDescent="0.25">
      <c r="A176" s="38">
        <f>Données!A170</f>
        <v>5692</v>
      </c>
      <c r="B176" s="27" t="str">
        <f>Données!B170</f>
        <v>Vucherens</v>
      </c>
      <c r="C176" s="26">
        <f>Ecrêtage!C170</f>
        <v>18080.765402288005</v>
      </c>
      <c r="D176" s="12">
        <f>Données!Z170</f>
        <v>617</v>
      </c>
      <c r="E176" s="8">
        <f>Population!K173</f>
        <v>-76504.275653923527</v>
      </c>
      <c r="F176" s="239">
        <f>Solidarité!I170</f>
        <v>-246562.56906232485</v>
      </c>
      <c r="G176" s="8">
        <f>DT!O170</f>
        <v>-79829.157586271962</v>
      </c>
      <c r="H176" s="239">
        <f>Effort!K170+Aide!I170+Taux!J170</f>
        <v>0</v>
      </c>
      <c r="I176" s="317">
        <f t="shared" si="8"/>
        <v>-402896.00230252033</v>
      </c>
      <c r="J176" s="397">
        <f t="shared" si="9"/>
        <v>346360.69649906148</v>
      </c>
      <c r="K176" s="532">
        <f t="shared" si="10"/>
        <v>-56535.305803458847</v>
      </c>
    </row>
    <row r="177" spans="1:11" x14ac:dyDescent="0.25">
      <c r="A177" s="38">
        <f>Données!A171</f>
        <v>5693</v>
      </c>
      <c r="B177" s="27" t="str">
        <f>Données!B171</f>
        <v>Montanaire</v>
      </c>
      <c r="C177" s="26">
        <f>Ecrêtage!C171</f>
        <v>71109.274307717249</v>
      </c>
      <c r="D177" s="12">
        <f>Données!Z171</f>
        <v>2782</v>
      </c>
      <c r="E177" s="8">
        <f>Population!K174</f>
        <v>-742674.24547283689</v>
      </c>
      <c r="F177" s="239">
        <f>Solidarité!I171</f>
        <v>-1187787.7280413669</v>
      </c>
      <c r="G177" s="8">
        <f>DT!O171</f>
        <v>-432968.64842290856</v>
      </c>
      <c r="H177" s="239">
        <f>Effort!K171+Aide!I171+Taux!J171</f>
        <v>0</v>
      </c>
      <c r="I177" s="317">
        <f t="shared" si="8"/>
        <v>-2363430.6219371124</v>
      </c>
      <c r="J177" s="397">
        <f t="shared" si="9"/>
        <v>1362191.103571703</v>
      </c>
      <c r="K177" s="532">
        <f t="shared" si="10"/>
        <v>-1001239.5183654095</v>
      </c>
    </row>
    <row r="178" spans="1:11" x14ac:dyDescent="0.25">
      <c r="A178" s="38">
        <f>Données!A172</f>
        <v>5701</v>
      </c>
      <c r="B178" s="27" t="str">
        <f>Données!B172</f>
        <v>Arnex-sur-Nyon</v>
      </c>
      <c r="C178" s="26">
        <f>Ecrêtage!C172</f>
        <v>12577.692288260665</v>
      </c>
      <c r="D178" s="12">
        <f>Données!Z172</f>
        <v>240</v>
      </c>
      <c r="E178" s="8">
        <f>Population!K175</f>
        <v>-29758.551307847076</v>
      </c>
      <c r="F178" s="239">
        <f>Solidarité!I172</f>
        <v>0</v>
      </c>
      <c r="G178" s="8">
        <f>DT!O172</f>
        <v>0</v>
      </c>
      <c r="H178" s="239">
        <f>Effort!K172+Aide!I172+Taux!J172</f>
        <v>0</v>
      </c>
      <c r="I178" s="317">
        <f t="shared" si="8"/>
        <v>-29758.551307847076</v>
      </c>
      <c r="J178" s="397">
        <f t="shared" si="9"/>
        <v>240942.137370001</v>
      </c>
      <c r="K178" s="532">
        <f t="shared" si="10"/>
        <v>211183.58606215392</v>
      </c>
    </row>
    <row r="179" spans="1:11" x14ac:dyDescent="0.25">
      <c r="A179" s="38">
        <f>Données!A173</f>
        <v>5702</v>
      </c>
      <c r="B179" s="27" t="str">
        <f>Données!B173</f>
        <v>Arzier-Le Muids</v>
      </c>
      <c r="C179" s="26">
        <f>Ecrêtage!C173</f>
        <v>167718.32276638702</v>
      </c>
      <c r="D179" s="12">
        <f>Données!Z173</f>
        <v>2912</v>
      </c>
      <c r="E179" s="8">
        <f>Population!K176</f>
        <v>-787808.04828973836</v>
      </c>
      <c r="F179" s="239">
        <f>Solidarité!I173</f>
        <v>0</v>
      </c>
      <c r="G179" s="8">
        <f>DT!O173</f>
        <v>-439362.50792520971</v>
      </c>
      <c r="H179" s="239">
        <f>Effort!K173+Aide!I173+Taux!J173</f>
        <v>0</v>
      </c>
      <c r="I179" s="317">
        <f t="shared" si="8"/>
        <v>-1227170.5562149482</v>
      </c>
      <c r="J179" s="397">
        <f t="shared" si="9"/>
        <v>3212863.7143684835</v>
      </c>
      <c r="K179" s="532">
        <f t="shared" si="10"/>
        <v>1985693.1581535353</v>
      </c>
    </row>
    <row r="180" spans="1:11" x14ac:dyDescent="0.25">
      <c r="A180" s="38">
        <f>Données!A174</f>
        <v>5703</v>
      </c>
      <c r="B180" s="27" t="str">
        <f>Données!B174</f>
        <v>Bassins</v>
      </c>
      <c r="C180" s="26">
        <f>Ecrêtage!C174</f>
        <v>66886.981709814791</v>
      </c>
      <c r="D180" s="12">
        <f>Données!Z174</f>
        <v>1475</v>
      </c>
      <c r="E180" s="8">
        <f>Population!K177</f>
        <v>-288905.93561368203</v>
      </c>
      <c r="F180" s="239">
        <f>Solidarité!I174</f>
        <v>-25544.257322476002</v>
      </c>
      <c r="G180" s="8">
        <f>DT!O174</f>
        <v>-276775.51371763891</v>
      </c>
      <c r="H180" s="239">
        <f>Effort!K174+Aide!I174+Taux!J174</f>
        <v>0</v>
      </c>
      <c r="I180" s="317">
        <f t="shared" si="8"/>
        <v>-591225.70665379695</v>
      </c>
      <c r="J180" s="397">
        <f t="shared" si="9"/>
        <v>1281307.5694682591</v>
      </c>
      <c r="K180" s="532">
        <f t="shared" si="10"/>
        <v>690081.86281446216</v>
      </c>
    </row>
    <row r="181" spans="1:11" x14ac:dyDescent="0.25">
      <c r="A181" s="38">
        <f>Données!A175</f>
        <v>5704</v>
      </c>
      <c r="B181" s="27" t="str">
        <f>Données!B175</f>
        <v>Begnins</v>
      </c>
      <c r="C181" s="26">
        <f>Ecrêtage!C175</f>
        <v>141530.02646227158</v>
      </c>
      <c r="D181" s="12">
        <f>Données!Z175</f>
        <v>1928</v>
      </c>
      <c r="E181" s="8">
        <f>Population!K178</f>
        <v>-446179.87927565386</v>
      </c>
      <c r="F181" s="239">
        <f>Solidarité!I175</f>
        <v>0</v>
      </c>
      <c r="G181" s="8">
        <f>DT!O175</f>
        <v>0</v>
      </c>
      <c r="H181" s="239">
        <f>Effort!K175+Aide!I175+Taux!J175</f>
        <v>0</v>
      </c>
      <c r="I181" s="317">
        <f t="shared" si="8"/>
        <v>-446179.87927565386</v>
      </c>
      <c r="J181" s="397">
        <f t="shared" si="9"/>
        <v>2711192.6652618237</v>
      </c>
      <c r="K181" s="532">
        <f t="shared" si="10"/>
        <v>2265012.7859861697</v>
      </c>
    </row>
    <row r="182" spans="1:11" x14ac:dyDescent="0.25">
      <c r="A182" s="38">
        <f>Données!A176</f>
        <v>5705</v>
      </c>
      <c r="B182" s="27" t="str">
        <f>Données!B176</f>
        <v>Bogis-Bossey</v>
      </c>
      <c r="C182" s="26">
        <f>Ecrêtage!C176</f>
        <v>56143.373517355147</v>
      </c>
      <c r="D182" s="12">
        <f>Données!Z176</f>
        <v>835</v>
      </c>
      <c r="E182" s="8">
        <f>Population!K179</f>
        <v>-103534.9597585513</v>
      </c>
      <c r="F182" s="239">
        <f>Solidarité!I176</f>
        <v>0</v>
      </c>
      <c r="G182" s="8">
        <f>DT!O176</f>
        <v>0</v>
      </c>
      <c r="H182" s="239">
        <f>Effort!K176+Aide!I176+Taux!J176</f>
        <v>0</v>
      </c>
      <c r="I182" s="317">
        <f t="shared" si="8"/>
        <v>-103534.9597585513</v>
      </c>
      <c r="J182" s="397">
        <f t="shared" si="9"/>
        <v>1075499.7104722869</v>
      </c>
      <c r="K182" s="532">
        <f t="shared" si="10"/>
        <v>971964.75071373559</v>
      </c>
    </row>
    <row r="183" spans="1:11" x14ac:dyDescent="0.25">
      <c r="A183" s="38">
        <f>Données!A177</f>
        <v>5706</v>
      </c>
      <c r="B183" s="27" t="str">
        <f>Données!B177</f>
        <v>Borex</v>
      </c>
      <c r="C183" s="26">
        <f>Ecrêtage!C177</f>
        <v>84061.533508771914</v>
      </c>
      <c r="D183" s="12">
        <f>Données!Z177</f>
        <v>1157</v>
      </c>
      <c r="E183" s="8">
        <f>Population!K180</f>
        <v>-178501.71026156939</v>
      </c>
      <c r="F183" s="239">
        <f>Solidarité!I177</f>
        <v>0</v>
      </c>
      <c r="G183" s="8">
        <f>DT!O177</f>
        <v>0</v>
      </c>
      <c r="H183" s="239">
        <f>Effort!K177+Aide!I177+Taux!J177</f>
        <v>0</v>
      </c>
      <c r="I183" s="317">
        <f t="shared" si="8"/>
        <v>-178501.71026156939</v>
      </c>
      <c r="J183" s="397">
        <f t="shared" si="9"/>
        <v>1610308.5597910052</v>
      </c>
      <c r="K183" s="532">
        <f t="shared" si="10"/>
        <v>1431806.8495294359</v>
      </c>
    </row>
    <row r="184" spans="1:11" x14ac:dyDescent="0.25">
      <c r="A184" s="38">
        <f>Données!A178</f>
        <v>5707</v>
      </c>
      <c r="B184" s="27" t="str">
        <f>Données!B178</f>
        <v>Chavannes-de-Bogis</v>
      </c>
      <c r="C184" s="26">
        <f>Ecrêtage!C178</f>
        <v>81740.650607161704</v>
      </c>
      <c r="D184" s="12">
        <f>Données!Z178</f>
        <v>1329</v>
      </c>
      <c r="E184" s="8">
        <f>Population!K181</f>
        <v>-238217.20321931585</v>
      </c>
      <c r="F184" s="239">
        <f>Solidarité!I178</f>
        <v>0</v>
      </c>
      <c r="G184" s="8">
        <f>DT!O178</f>
        <v>0</v>
      </c>
      <c r="H184" s="239">
        <f>Effort!K178+Aide!I178+Taux!J178</f>
        <v>0</v>
      </c>
      <c r="I184" s="317">
        <f t="shared" si="8"/>
        <v>-238217.20321931585</v>
      </c>
      <c r="J184" s="397">
        <f t="shared" si="9"/>
        <v>1565849.01394718</v>
      </c>
      <c r="K184" s="532">
        <f t="shared" si="10"/>
        <v>1327631.810727864</v>
      </c>
    </row>
    <row r="185" spans="1:11" x14ac:dyDescent="0.25">
      <c r="A185" s="38">
        <f>Données!A179</f>
        <v>5708</v>
      </c>
      <c r="B185" s="27" t="str">
        <f>Données!B179</f>
        <v>Chavannes-des-Bois</v>
      </c>
      <c r="C185" s="26">
        <f>Ecrêtage!C179</f>
        <v>67246.19149969735</v>
      </c>
      <c r="D185" s="12">
        <f>Données!Z179</f>
        <v>1013</v>
      </c>
      <c r="E185" s="8">
        <f>Population!K182</f>
        <v>-128507.3440643863</v>
      </c>
      <c r="F185" s="239">
        <f>Solidarité!I179</f>
        <v>0</v>
      </c>
      <c r="G185" s="8">
        <f>DT!O179</f>
        <v>0</v>
      </c>
      <c r="H185" s="239">
        <f>Effort!K179+Aide!I179+Taux!J179</f>
        <v>0</v>
      </c>
      <c r="I185" s="317">
        <f t="shared" si="8"/>
        <v>-128507.3440643863</v>
      </c>
      <c r="J185" s="397">
        <f t="shared" si="9"/>
        <v>1288188.7025533253</v>
      </c>
      <c r="K185" s="532">
        <f t="shared" si="10"/>
        <v>1159681.358488939</v>
      </c>
    </row>
    <row r="186" spans="1:11" x14ac:dyDescent="0.25">
      <c r="A186" s="38">
        <f>Données!A180</f>
        <v>5709</v>
      </c>
      <c r="B186" s="27" t="str">
        <f>Données!B180</f>
        <v>Chéserex</v>
      </c>
      <c r="C186" s="26">
        <f>Ecrêtage!C180</f>
        <v>97363.543103732183</v>
      </c>
      <c r="D186" s="12">
        <f>Données!Z180</f>
        <v>1248</v>
      </c>
      <c r="E186" s="8">
        <f>Population!K183</f>
        <v>-210095.37223340035</v>
      </c>
      <c r="F186" s="239">
        <f>Solidarité!I180</f>
        <v>0</v>
      </c>
      <c r="G186" s="8">
        <f>DT!O180</f>
        <v>0</v>
      </c>
      <c r="H186" s="239">
        <f>Effort!K180+Aide!I180+Taux!J180</f>
        <v>0</v>
      </c>
      <c r="I186" s="317">
        <f t="shared" si="8"/>
        <v>-210095.37223340035</v>
      </c>
      <c r="J186" s="397">
        <f t="shared" si="9"/>
        <v>1865125.9420000911</v>
      </c>
      <c r="K186" s="532">
        <f t="shared" si="10"/>
        <v>1655030.5697666907</v>
      </c>
    </row>
    <row r="187" spans="1:11" x14ac:dyDescent="0.25">
      <c r="A187" s="38">
        <f>Données!A181</f>
        <v>5710</v>
      </c>
      <c r="B187" s="27" t="str">
        <f>Données!B181</f>
        <v>Coinsins</v>
      </c>
      <c r="C187" s="26">
        <f>Ecrêtage!C181</f>
        <v>41089.8274990719</v>
      </c>
      <c r="D187" s="12">
        <f>Données!Z181</f>
        <v>509</v>
      </c>
      <c r="E187" s="8">
        <f>Population!K184</f>
        <v>-63112.927565392347</v>
      </c>
      <c r="F187" s="239">
        <f>Solidarité!I181</f>
        <v>0</v>
      </c>
      <c r="G187" s="8">
        <f>DT!O181</f>
        <v>0</v>
      </c>
      <c r="H187" s="239">
        <f>Effort!K181+Aide!I181+Taux!J181</f>
        <v>0</v>
      </c>
      <c r="I187" s="317">
        <f t="shared" si="8"/>
        <v>-63112.927565392347</v>
      </c>
      <c r="J187" s="397">
        <f t="shared" si="9"/>
        <v>787129.35846199724</v>
      </c>
      <c r="K187" s="532">
        <f t="shared" si="10"/>
        <v>724016.4308966049</v>
      </c>
    </row>
    <row r="188" spans="1:11" x14ac:dyDescent="0.25">
      <c r="A188" s="38">
        <f>Données!A182</f>
        <v>5711</v>
      </c>
      <c r="B188" s="27" t="str">
        <f>Données!B182</f>
        <v>Commugny</v>
      </c>
      <c r="C188" s="26">
        <f>Ecrêtage!C182</f>
        <v>252751.28311656581</v>
      </c>
      <c r="D188" s="12">
        <f>Données!Z182</f>
        <v>2997</v>
      </c>
      <c r="E188" s="8">
        <f>Population!K185</f>
        <v>-817318.61167002004</v>
      </c>
      <c r="F188" s="239">
        <f>Solidarité!I182</f>
        <v>0</v>
      </c>
      <c r="G188" s="8">
        <f>DT!O182</f>
        <v>0</v>
      </c>
      <c r="H188" s="239">
        <f>Effort!K182+Aide!I182+Taux!J182</f>
        <v>0</v>
      </c>
      <c r="I188" s="317">
        <f t="shared" si="8"/>
        <v>-817318.61167002004</v>
      </c>
      <c r="J188" s="397">
        <f t="shared" si="9"/>
        <v>4841781.2251580451</v>
      </c>
      <c r="K188" s="532">
        <f t="shared" si="10"/>
        <v>4024462.613488025</v>
      </c>
    </row>
    <row r="189" spans="1:11" x14ac:dyDescent="0.25">
      <c r="A189" s="38">
        <f>Données!A183</f>
        <v>5712</v>
      </c>
      <c r="B189" s="27" t="str">
        <f>Données!B183</f>
        <v>Coppet</v>
      </c>
      <c r="C189" s="26">
        <f>Ecrêtage!C183</f>
        <v>381936.87435905024</v>
      </c>
      <c r="D189" s="12">
        <f>Données!Z183</f>
        <v>3247</v>
      </c>
      <c r="E189" s="8">
        <f>Population!K186</f>
        <v>-940866.19718309853</v>
      </c>
      <c r="F189" s="239">
        <f>Solidarité!I183</f>
        <v>0</v>
      </c>
      <c r="G189" s="8">
        <f>DT!O183</f>
        <v>0</v>
      </c>
      <c r="H189" s="239">
        <f>Effort!K183+Aide!I183+Taux!J183</f>
        <v>0</v>
      </c>
      <c r="I189" s="317">
        <f t="shared" si="8"/>
        <v>-940866.19718309853</v>
      </c>
      <c r="J189" s="397">
        <f t="shared" si="9"/>
        <v>7316500.0971106552</v>
      </c>
      <c r="K189" s="532">
        <f t="shared" si="10"/>
        <v>6375633.8999275565</v>
      </c>
    </row>
    <row r="190" spans="1:11" x14ac:dyDescent="0.25">
      <c r="A190" s="38">
        <f>Données!A184</f>
        <v>5713</v>
      </c>
      <c r="B190" s="27" t="str">
        <f>Données!B184</f>
        <v>Crans-près-Céligny</v>
      </c>
      <c r="C190" s="26">
        <f>Ecrêtage!C184</f>
        <v>308655.70549910824</v>
      </c>
      <c r="D190" s="12">
        <f>Données!Z184</f>
        <v>2340</v>
      </c>
      <c r="E190" s="8">
        <f>Population!K187</f>
        <v>-589219.31589537219</v>
      </c>
      <c r="F190" s="239">
        <f>Solidarité!I184</f>
        <v>0</v>
      </c>
      <c r="G190" s="8">
        <f>DT!O184</f>
        <v>0</v>
      </c>
      <c r="H190" s="239">
        <f>Effort!K184+Aide!I184+Taux!J184</f>
        <v>0</v>
      </c>
      <c r="I190" s="317">
        <f t="shared" si="8"/>
        <v>-589219.31589537219</v>
      </c>
      <c r="J190" s="397">
        <f t="shared" si="9"/>
        <v>5912703.5142855197</v>
      </c>
      <c r="K190" s="532">
        <f t="shared" si="10"/>
        <v>5323484.1983901476</v>
      </c>
    </row>
    <row r="191" spans="1:11" x14ac:dyDescent="0.25">
      <c r="A191" s="38">
        <f>Données!A185</f>
        <v>5714</v>
      </c>
      <c r="B191" s="27" t="str">
        <f>Données!B185</f>
        <v>Crassier</v>
      </c>
      <c r="C191" s="26">
        <f>Ecrêtage!C185</f>
        <v>53565.625441176468</v>
      </c>
      <c r="D191" s="12">
        <f>Données!Z185</f>
        <v>1174</v>
      </c>
      <c r="E191" s="8">
        <f>Population!K188</f>
        <v>-184403.82293762572</v>
      </c>
      <c r="F191" s="239">
        <f>Solidarité!I185</f>
        <v>-11823.182299093631</v>
      </c>
      <c r="G191" s="8">
        <f>DT!O185</f>
        <v>0</v>
      </c>
      <c r="H191" s="239">
        <f>Effort!K185+Aide!I185+Taux!J185</f>
        <v>0</v>
      </c>
      <c r="I191" s="317">
        <f t="shared" si="8"/>
        <v>-196227.00523671936</v>
      </c>
      <c r="J191" s="397">
        <f t="shared" si="9"/>
        <v>1026119.5764348538</v>
      </c>
      <c r="K191" s="532">
        <f t="shared" si="10"/>
        <v>829892.57119813445</v>
      </c>
    </row>
    <row r="192" spans="1:11" x14ac:dyDescent="0.25">
      <c r="A192" s="38">
        <f>Données!A186</f>
        <v>5715</v>
      </c>
      <c r="B192" s="27" t="str">
        <f>Données!B186</f>
        <v>Duillier</v>
      </c>
      <c r="C192" s="26">
        <f>Ecrêtage!C186</f>
        <v>61562.138656601084</v>
      </c>
      <c r="D192" s="12">
        <f>Données!Z186</f>
        <v>1128</v>
      </c>
      <c r="E192" s="8">
        <f>Population!K189</f>
        <v>-168433.40040241447</v>
      </c>
      <c r="F192" s="239">
        <f>Solidarité!I186</f>
        <v>0</v>
      </c>
      <c r="G192" s="8">
        <f>DT!O186</f>
        <v>0</v>
      </c>
      <c r="H192" s="239">
        <f>Effort!K186+Aide!I186+Taux!J186</f>
        <v>0</v>
      </c>
      <c r="I192" s="317">
        <f t="shared" si="8"/>
        <v>-168433.40040241447</v>
      </c>
      <c r="J192" s="397">
        <f t="shared" si="9"/>
        <v>1179303.2401368304</v>
      </c>
      <c r="K192" s="532">
        <f t="shared" si="10"/>
        <v>1010869.8397344159</v>
      </c>
    </row>
    <row r="193" spans="1:11" x14ac:dyDescent="0.25">
      <c r="A193" s="38">
        <f>Données!A187</f>
        <v>5716</v>
      </c>
      <c r="B193" s="27" t="str">
        <f>Données!B187</f>
        <v>Eysins</v>
      </c>
      <c r="C193" s="26">
        <f>Ecrêtage!C187</f>
        <v>307549.31539081637</v>
      </c>
      <c r="D193" s="12">
        <f>Données!Z187</f>
        <v>1740</v>
      </c>
      <c r="E193" s="8">
        <f>Population!K190</f>
        <v>-380909.45674044261</v>
      </c>
      <c r="F193" s="239">
        <f>Solidarité!I187</f>
        <v>0</v>
      </c>
      <c r="G193" s="8">
        <f>DT!O187</f>
        <v>0</v>
      </c>
      <c r="H193" s="239">
        <f>Effort!K187+Aide!I187+Taux!J187</f>
        <v>-1581289.7242485497</v>
      </c>
      <c r="I193" s="317">
        <f t="shared" si="8"/>
        <v>-1962199.1809889923</v>
      </c>
      <c r="J193" s="397">
        <f t="shared" si="9"/>
        <v>5891509.1654854873</v>
      </c>
      <c r="K193" s="532">
        <f t="shared" si="10"/>
        <v>3929309.9844964948</v>
      </c>
    </row>
    <row r="194" spans="1:11" x14ac:dyDescent="0.25">
      <c r="A194" s="38">
        <f>Données!A188</f>
        <v>5717</v>
      </c>
      <c r="B194" s="27" t="str">
        <f>Données!B188</f>
        <v>Founex</v>
      </c>
      <c r="C194" s="26">
        <f>Ecrêtage!C188</f>
        <v>386760.37149934971</v>
      </c>
      <c r="D194" s="12">
        <f>Données!Z188</f>
        <v>3834</v>
      </c>
      <c r="E194" s="8">
        <f>Population!K191</f>
        <v>-1232004.0241448691</v>
      </c>
      <c r="F194" s="239">
        <f>Solidarité!I188</f>
        <v>0</v>
      </c>
      <c r="G194" s="8">
        <f>DT!O188</f>
        <v>0</v>
      </c>
      <c r="H194" s="239">
        <f>Effort!K188+Aide!I188+Taux!J188</f>
        <v>0</v>
      </c>
      <c r="I194" s="317">
        <f t="shared" si="8"/>
        <v>-1232004.0241448691</v>
      </c>
      <c r="J194" s="397">
        <f t="shared" si="9"/>
        <v>7408900.4901196789</v>
      </c>
      <c r="K194" s="532">
        <f t="shared" si="10"/>
        <v>6176896.4659748096</v>
      </c>
    </row>
    <row r="195" spans="1:11" x14ac:dyDescent="0.25">
      <c r="A195" s="38">
        <f>Données!A189</f>
        <v>5718</v>
      </c>
      <c r="B195" s="27" t="str">
        <f>Données!B189</f>
        <v>Genolier</v>
      </c>
      <c r="C195" s="26">
        <f>Ecrêtage!C189</f>
        <v>244955.25679243167</v>
      </c>
      <c r="D195" s="12">
        <f>Données!Z189</f>
        <v>1996</v>
      </c>
      <c r="E195" s="8">
        <f>Population!K192</f>
        <v>-469788.3299798792</v>
      </c>
      <c r="F195" s="239">
        <f>Solidarité!I189</f>
        <v>0</v>
      </c>
      <c r="G195" s="8">
        <f>DT!O189</f>
        <v>0</v>
      </c>
      <c r="H195" s="239">
        <f>Effort!K189+Aide!I189+Taux!J189</f>
        <v>0</v>
      </c>
      <c r="I195" s="317">
        <f t="shared" si="8"/>
        <v>-469788.3299798792</v>
      </c>
      <c r="J195" s="397">
        <f t="shared" si="9"/>
        <v>4692438.1499356637</v>
      </c>
      <c r="K195" s="532">
        <f t="shared" si="10"/>
        <v>4222649.8199557848</v>
      </c>
    </row>
    <row r="196" spans="1:11" x14ac:dyDescent="0.25">
      <c r="A196" s="38">
        <f>Données!A190</f>
        <v>5719</v>
      </c>
      <c r="B196" s="27" t="str">
        <f>Données!B190</f>
        <v>Gingins</v>
      </c>
      <c r="C196" s="26">
        <f>Ecrêtage!C190</f>
        <v>145581.00922504449</v>
      </c>
      <c r="D196" s="12">
        <f>Données!Z190</f>
        <v>1257</v>
      </c>
      <c r="E196" s="8">
        <f>Population!K193</f>
        <v>-213220.02012072431</v>
      </c>
      <c r="F196" s="239">
        <f>Solidarité!I190</f>
        <v>0</v>
      </c>
      <c r="G196" s="8">
        <f>DT!O190</f>
        <v>0</v>
      </c>
      <c r="H196" s="239">
        <f>Effort!K190+Aide!I190+Taux!J190</f>
        <v>0</v>
      </c>
      <c r="I196" s="317">
        <f t="shared" si="8"/>
        <v>-213220.02012072431</v>
      </c>
      <c r="J196" s="397">
        <f t="shared" si="9"/>
        <v>2788794.5355367493</v>
      </c>
      <c r="K196" s="532">
        <f t="shared" si="10"/>
        <v>2575574.5154160252</v>
      </c>
    </row>
    <row r="197" spans="1:11" x14ac:dyDescent="0.25">
      <c r="A197" s="38">
        <f>Données!A191</f>
        <v>5720</v>
      </c>
      <c r="B197" s="27" t="str">
        <f>Données!B191</f>
        <v>Givrins</v>
      </c>
      <c r="C197" s="26">
        <f>Ecrêtage!C191</f>
        <v>84157.481732617845</v>
      </c>
      <c r="D197" s="12">
        <f>Données!Z191</f>
        <v>1031</v>
      </c>
      <c r="E197" s="8">
        <f>Population!K194</f>
        <v>-134756.63983903418</v>
      </c>
      <c r="F197" s="239">
        <f>Solidarité!I191</f>
        <v>0</v>
      </c>
      <c r="G197" s="8">
        <f>DT!O191</f>
        <v>-54352.138700536612</v>
      </c>
      <c r="H197" s="239">
        <f>Effort!K191+Aide!I191+Taux!J191</f>
        <v>0</v>
      </c>
      <c r="I197" s="317">
        <f t="shared" si="8"/>
        <v>-189108.77853957081</v>
      </c>
      <c r="J197" s="397">
        <f t="shared" si="9"/>
        <v>1612146.5734425136</v>
      </c>
      <c r="K197" s="532">
        <f t="shared" si="10"/>
        <v>1423037.7949029428</v>
      </c>
    </row>
    <row r="198" spans="1:11" x14ac:dyDescent="0.25">
      <c r="A198" s="38">
        <f>Données!A192</f>
        <v>5721</v>
      </c>
      <c r="B198" s="27" t="str">
        <f>Données!B192</f>
        <v>Gland</v>
      </c>
      <c r="C198" s="26">
        <f>Ecrêtage!C192</f>
        <v>649754.37436659122</v>
      </c>
      <c r="D198" s="12">
        <f>Données!Z192</f>
        <v>13243</v>
      </c>
      <c r="E198" s="8">
        <f>Population!K195</f>
        <v>-7953468.812877262</v>
      </c>
      <c r="F198" s="239">
        <f>Solidarité!I192</f>
        <v>0</v>
      </c>
      <c r="G198" s="8">
        <f>DT!O192</f>
        <v>0</v>
      </c>
      <c r="H198" s="239">
        <f>Effort!K192+Aide!I192+Taux!J192</f>
        <v>0</v>
      </c>
      <c r="I198" s="317">
        <f t="shared" si="8"/>
        <v>-7953468.812877262</v>
      </c>
      <c r="J198" s="397">
        <f t="shared" si="9"/>
        <v>12446894.401408797</v>
      </c>
      <c r="K198" s="532">
        <f t="shared" si="10"/>
        <v>4493425.5885315351</v>
      </c>
    </row>
    <row r="199" spans="1:11" x14ac:dyDescent="0.25">
      <c r="A199" s="38">
        <f>Données!A193</f>
        <v>5722</v>
      </c>
      <c r="B199" s="27" t="str">
        <f>Données!B193</f>
        <v>Grens</v>
      </c>
      <c r="C199" s="26">
        <f>Ecrêtage!C193</f>
        <v>25522.027975307101</v>
      </c>
      <c r="D199" s="12">
        <f>Données!Z193</f>
        <v>405</v>
      </c>
      <c r="E199" s="8">
        <f>Population!K196</f>
        <v>-50217.555331991942</v>
      </c>
      <c r="F199" s="239">
        <f>Solidarité!I193</f>
        <v>0</v>
      </c>
      <c r="G199" s="8">
        <f>DT!O193</f>
        <v>0</v>
      </c>
      <c r="H199" s="239">
        <f>Effort!K193+Aide!I193+Taux!J193</f>
        <v>0</v>
      </c>
      <c r="I199" s="317">
        <f t="shared" si="8"/>
        <v>-50217.555331991942</v>
      </c>
      <c r="J199" s="397">
        <f t="shared" si="9"/>
        <v>488907.80832083995</v>
      </c>
      <c r="K199" s="532">
        <f t="shared" si="10"/>
        <v>438690.25298884802</v>
      </c>
    </row>
    <row r="200" spans="1:11" x14ac:dyDescent="0.25">
      <c r="A200" s="38">
        <f>Données!A194</f>
        <v>5723</v>
      </c>
      <c r="B200" s="27" t="str">
        <f>Données!B194</f>
        <v>Mies</v>
      </c>
      <c r="C200" s="26">
        <f>Ecrêtage!C194</f>
        <v>197671.04481157771</v>
      </c>
      <c r="D200" s="12">
        <f>Données!Z194</f>
        <v>2172</v>
      </c>
      <c r="E200" s="8">
        <f>Population!K197</f>
        <v>-530892.55533199187</v>
      </c>
      <c r="F200" s="239">
        <f>Solidarité!I194</f>
        <v>0</v>
      </c>
      <c r="G200" s="8">
        <f>DT!O194</f>
        <v>0</v>
      </c>
      <c r="H200" s="239">
        <f>Effort!K194+Aide!I194+Taux!J194</f>
        <v>0</v>
      </c>
      <c r="I200" s="317">
        <f t="shared" si="8"/>
        <v>-530892.55533199187</v>
      </c>
      <c r="J200" s="397">
        <f t="shared" si="9"/>
        <v>3786647.2594114505</v>
      </c>
      <c r="K200" s="532">
        <f t="shared" si="10"/>
        <v>3255754.7040794585</v>
      </c>
    </row>
    <row r="201" spans="1:11" x14ac:dyDescent="0.25">
      <c r="A201" s="38">
        <f>Données!A195</f>
        <v>5724</v>
      </c>
      <c r="B201" s="27" t="str">
        <f>Données!B195</f>
        <v>Nyon</v>
      </c>
      <c r="C201" s="26">
        <f>Ecrêtage!C195</f>
        <v>1412863.5932076953</v>
      </c>
      <c r="D201" s="12">
        <f>Données!Z195</f>
        <v>21743</v>
      </c>
      <c r="E201" s="8">
        <f>Population!K198</f>
        <v>-16719494.869215289</v>
      </c>
      <c r="F201" s="239">
        <f>Solidarité!I195</f>
        <v>0</v>
      </c>
      <c r="G201" s="8">
        <f>DT!O195</f>
        <v>-1156094.4407538283</v>
      </c>
      <c r="H201" s="239">
        <f>Effort!K195+Aide!I195+Taux!J195</f>
        <v>0</v>
      </c>
      <c r="I201" s="317">
        <f t="shared" si="8"/>
        <v>-17875589.309969116</v>
      </c>
      <c r="J201" s="397">
        <f t="shared" si="9"/>
        <v>27065249.026441023</v>
      </c>
      <c r="K201" s="532">
        <f t="shared" si="10"/>
        <v>9189659.7164719068</v>
      </c>
    </row>
    <row r="202" spans="1:11" x14ac:dyDescent="0.25">
      <c r="A202" s="38">
        <f>Données!A196</f>
        <v>5725</v>
      </c>
      <c r="B202" s="27" t="str">
        <f>Données!B196</f>
        <v>Prangins</v>
      </c>
      <c r="C202" s="26">
        <f>Ecrêtage!C196</f>
        <v>312426.41305318987</v>
      </c>
      <c r="D202" s="12">
        <f>Données!Z196</f>
        <v>4101</v>
      </c>
      <c r="E202" s="8">
        <f>Population!K199</f>
        <v>-1364429.5774647887</v>
      </c>
      <c r="F202" s="239">
        <f>Solidarité!I196</f>
        <v>0</v>
      </c>
      <c r="G202" s="8">
        <f>DT!O196</f>
        <v>0</v>
      </c>
      <c r="H202" s="239">
        <f>Effort!K196+Aide!I196+Taux!J196</f>
        <v>0</v>
      </c>
      <c r="I202" s="317">
        <f t="shared" si="8"/>
        <v>-1364429.5774647887</v>
      </c>
      <c r="J202" s="397">
        <f t="shared" si="9"/>
        <v>5984936.3465615641</v>
      </c>
      <c r="K202" s="532">
        <f t="shared" si="10"/>
        <v>4620506.769096775</v>
      </c>
    </row>
    <row r="203" spans="1:11" x14ac:dyDescent="0.25">
      <c r="A203" s="38">
        <f>Données!A197</f>
        <v>5726</v>
      </c>
      <c r="B203" s="27" t="str">
        <f>Données!B197</f>
        <v>La Rippe</v>
      </c>
      <c r="C203" s="26">
        <f>Ecrêtage!C197</f>
        <v>66314.954154633349</v>
      </c>
      <c r="D203" s="12">
        <f>Données!Z197</f>
        <v>1131</v>
      </c>
      <c r="E203" s="8">
        <f>Population!K200</f>
        <v>-169474.9496981891</v>
      </c>
      <c r="F203" s="239">
        <f>Solidarité!I197</f>
        <v>0</v>
      </c>
      <c r="G203" s="8">
        <f>DT!O197</f>
        <v>0</v>
      </c>
      <c r="H203" s="239">
        <f>Effort!K197+Aide!I197+Taux!J197</f>
        <v>0</v>
      </c>
      <c r="I203" s="317">
        <f t="shared" si="8"/>
        <v>-169474.9496981891</v>
      </c>
      <c r="J203" s="397">
        <f t="shared" si="9"/>
        <v>1270349.6338930193</v>
      </c>
      <c r="K203" s="532">
        <f t="shared" si="10"/>
        <v>1100874.6841948302</v>
      </c>
    </row>
    <row r="204" spans="1:11" x14ac:dyDescent="0.25">
      <c r="A204" s="38">
        <f>Données!A198</f>
        <v>5727</v>
      </c>
      <c r="B204" s="27" t="str">
        <f>Données!B198</f>
        <v>Saint-Cergue</v>
      </c>
      <c r="C204" s="26">
        <f>Ecrêtage!C198</f>
        <v>105108.96305797539</v>
      </c>
      <c r="D204" s="12">
        <f>Données!Z198</f>
        <v>2674</v>
      </c>
      <c r="E204" s="8">
        <f>Population!K201</f>
        <v>-705178.47082494968</v>
      </c>
      <c r="F204" s="239">
        <f>Solidarité!I198</f>
        <v>-319472.34975540696</v>
      </c>
      <c r="G204" s="8">
        <f>DT!O198</f>
        <v>-206085.97165214768</v>
      </c>
      <c r="H204" s="239">
        <f>Effort!K198+Aide!I198+Taux!J198</f>
        <v>0</v>
      </c>
      <c r="I204" s="317">
        <f t="shared" si="8"/>
        <v>-1230736.7922325043</v>
      </c>
      <c r="J204" s="397">
        <f t="shared" si="9"/>
        <v>2013499.5860544476</v>
      </c>
      <c r="K204" s="532">
        <f t="shared" si="10"/>
        <v>782762.79382194323</v>
      </c>
    </row>
    <row r="205" spans="1:11" x14ac:dyDescent="0.25">
      <c r="A205" s="38">
        <f>Données!A199</f>
        <v>5728</v>
      </c>
      <c r="B205" s="27" t="str">
        <f>Données!B199</f>
        <v>Signy-Avenex</v>
      </c>
      <c r="C205" s="26">
        <f>Ecrêtage!C199</f>
        <v>49029.515425987986</v>
      </c>
      <c r="D205" s="12">
        <f>Données!Z199</f>
        <v>581</v>
      </c>
      <c r="E205" s="8">
        <f>Population!K202</f>
        <v>-72040.492957746465</v>
      </c>
      <c r="F205" s="239">
        <f>Solidarité!I199</f>
        <v>0</v>
      </c>
      <c r="G205" s="8">
        <f>DT!O199</f>
        <v>0</v>
      </c>
      <c r="H205" s="239">
        <f>Effort!K199+Aide!I199+Taux!J199</f>
        <v>0</v>
      </c>
      <c r="I205" s="317">
        <f t="shared" ref="I205:I268" si="11">SUM(E205:H205)</f>
        <v>-72040.492957746465</v>
      </c>
      <c r="J205" s="397">
        <f t="shared" ref="J205:J268" si="12">C205*$J$11</f>
        <v>939224.45948044467</v>
      </c>
      <c r="K205" s="532">
        <f t="shared" ref="K205:K268" si="13">I205+J205</f>
        <v>867183.96652269817</v>
      </c>
    </row>
    <row r="206" spans="1:11" x14ac:dyDescent="0.25">
      <c r="A206" s="38">
        <f>Données!A200</f>
        <v>5729</v>
      </c>
      <c r="B206" s="27" t="str">
        <f>Données!B200</f>
        <v>Tannay</v>
      </c>
      <c r="C206" s="26">
        <f>Ecrêtage!C200</f>
        <v>130705.91189021352</v>
      </c>
      <c r="D206" s="12">
        <f>Données!Z200</f>
        <v>1636</v>
      </c>
      <c r="E206" s="8">
        <f>Population!K203</f>
        <v>-344802.41448692151</v>
      </c>
      <c r="F206" s="239">
        <f>Solidarité!I200</f>
        <v>0</v>
      </c>
      <c r="G206" s="8">
        <f>DT!O200</f>
        <v>0</v>
      </c>
      <c r="H206" s="239">
        <f>Effort!K200+Aide!I200+Taux!J200</f>
        <v>0</v>
      </c>
      <c r="I206" s="317">
        <f t="shared" si="11"/>
        <v>-344802.41448692151</v>
      </c>
      <c r="J206" s="397">
        <f t="shared" si="12"/>
        <v>2503842.6013265187</v>
      </c>
      <c r="K206" s="532">
        <f t="shared" si="13"/>
        <v>2159040.1868395973</v>
      </c>
    </row>
    <row r="207" spans="1:11" x14ac:dyDescent="0.25">
      <c r="A207" s="38">
        <f>Données!A201</f>
        <v>5730</v>
      </c>
      <c r="B207" s="27" t="str">
        <f>Données!B201</f>
        <v>Trélex</v>
      </c>
      <c r="C207" s="26">
        <f>Ecrêtage!C201</f>
        <v>111635.7900900901</v>
      </c>
      <c r="D207" s="12">
        <f>Données!Z201</f>
        <v>1445</v>
      </c>
      <c r="E207" s="8">
        <f>Population!K204</f>
        <v>-278490.44265593559</v>
      </c>
      <c r="F207" s="239">
        <f>Solidarité!I201</f>
        <v>0</v>
      </c>
      <c r="G207" s="8">
        <f>DT!O201</f>
        <v>0</v>
      </c>
      <c r="H207" s="239">
        <f>Effort!K201+Aide!I201+Taux!J201</f>
        <v>0</v>
      </c>
      <c r="I207" s="317">
        <f t="shared" si="11"/>
        <v>-278490.44265593559</v>
      </c>
      <c r="J207" s="397">
        <f t="shared" si="12"/>
        <v>2138529.4897379545</v>
      </c>
      <c r="K207" s="532">
        <f t="shared" si="13"/>
        <v>1860039.0470820188</v>
      </c>
    </row>
    <row r="208" spans="1:11" x14ac:dyDescent="0.25">
      <c r="A208" s="38">
        <f>Données!A202</f>
        <v>5731</v>
      </c>
      <c r="B208" s="27" t="str">
        <f>Données!B202</f>
        <v>Le Vaud</v>
      </c>
      <c r="C208" s="26">
        <f>Ecrêtage!C202</f>
        <v>63939.29295717035</v>
      </c>
      <c r="D208" s="12">
        <f>Données!Z202</f>
        <v>1366</v>
      </c>
      <c r="E208" s="8">
        <f>Population!K205</f>
        <v>-251062.97786720318</v>
      </c>
      <c r="F208" s="239">
        <f>Solidarité!I202</f>
        <v>0</v>
      </c>
      <c r="G208" s="8">
        <f>DT!O202</f>
        <v>-47872.772539100137</v>
      </c>
      <c r="H208" s="239">
        <f>Effort!K202+Aide!I202+Taux!J202</f>
        <v>0</v>
      </c>
      <c r="I208" s="317">
        <f t="shared" si="11"/>
        <v>-298935.75040630333</v>
      </c>
      <c r="J208" s="397">
        <f t="shared" si="12"/>
        <v>1224840.738185819</v>
      </c>
      <c r="K208" s="532">
        <f t="shared" si="13"/>
        <v>925904.98777951568</v>
      </c>
    </row>
    <row r="209" spans="1:11" x14ac:dyDescent="0.25">
      <c r="A209" s="38">
        <f>Données!A203</f>
        <v>5732</v>
      </c>
      <c r="B209" s="27" t="str">
        <f>Données!B203</f>
        <v>Vich</v>
      </c>
      <c r="C209" s="26">
        <f>Ecrêtage!C203</f>
        <v>70997.378198271268</v>
      </c>
      <c r="D209" s="12">
        <f>Données!Z203</f>
        <v>1156</v>
      </c>
      <c r="E209" s="8">
        <f>Population!K206</f>
        <v>-178154.52716297784</v>
      </c>
      <c r="F209" s="239">
        <f>Solidarité!I203</f>
        <v>0</v>
      </c>
      <c r="G209" s="8">
        <f>DT!O203</f>
        <v>0</v>
      </c>
      <c r="H209" s="239">
        <f>Effort!K203+Aide!I203+Taux!J203</f>
        <v>0</v>
      </c>
      <c r="I209" s="317">
        <f t="shared" si="11"/>
        <v>-178154.52716297784</v>
      </c>
      <c r="J209" s="397">
        <f t="shared" si="12"/>
        <v>1360047.5873244128</v>
      </c>
      <c r="K209" s="532">
        <f t="shared" si="13"/>
        <v>1181893.060161435</v>
      </c>
    </row>
    <row r="210" spans="1:11" x14ac:dyDescent="0.25">
      <c r="A210" s="38">
        <f>Données!A204</f>
        <v>5741</v>
      </c>
      <c r="B210" s="27" t="str">
        <f>Données!B204</f>
        <v>L'Abergement</v>
      </c>
      <c r="C210" s="26">
        <f>Ecrêtage!C204</f>
        <v>7367.4577774246782</v>
      </c>
      <c r="D210" s="12">
        <f>Données!Z204</f>
        <v>256</v>
      </c>
      <c r="E210" s="8">
        <f>Population!K207</f>
        <v>-31742.454728370216</v>
      </c>
      <c r="F210" s="239">
        <f>Solidarité!I204</f>
        <v>-116731.12173789338</v>
      </c>
      <c r="G210" s="8">
        <f>DT!O204</f>
        <v>-107535.66000238342</v>
      </c>
      <c r="H210" s="239">
        <f>Effort!K204+Aide!I204+Taux!J204</f>
        <v>0</v>
      </c>
      <c r="I210" s="317">
        <f t="shared" si="11"/>
        <v>-256009.23646864702</v>
      </c>
      <c r="J210" s="397">
        <f t="shared" si="12"/>
        <v>141133.2844843684</v>
      </c>
      <c r="K210" s="532">
        <f t="shared" si="13"/>
        <v>-114875.95198427862</v>
      </c>
    </row>
    <row r="211" spans="1:11" x14ac:dyDescent="0.25">
      <c r="A211" s="38">
        <f>Données!A205</f>
        <v>5742</v>
      </c>
      <c r="B211" s="27" t="str">
        <f>Données!B205</f>
        <v>Agiez</v>
      </c>
      <c r="C211" s="26">
        <f>Ecrêtage!C205</f>
        <v>8959.2362433179314</v>
      </c>
      <c r="D211" s="12">
        <f>Données!Z205</f>
        <v>377</v>
      </c>
      <c r="E211" s="8">
        <f>Population!K208</f>
        <v>-46745.724346076451</v>
      </c>
      <c r="F211" s="239">
        <f>Solidarité!I205</f>
        <v>-194970.25679903466</v>
      </c>
      <c r="G211" s="8">
        <f>DT!O205</f>
        <v>-34952.905357603959</v>
      </c>
      <c r="H211" s="239">
        <f>Effort!K205+Aide!I205+Taux!J205</f>
        <v>0</v>
      </c>
      <c r="I211" s="317">
        <f t="shared" si="11"/>
        <v>-276668.88650271506</v>
      </c>
      <c r="J211" s="397">
        <f t="shared" si="12"/>
        <v>171625.88177503552</v>
      </c>
      <c r="K211" s="532">
        <f t="shared" si="13"/>
        <v>-105043.00472767954</v>
      </c>
    </row>
    <row r="212" spans="1:11" x14ac:dyDescent="0.25">
      <c r="A212" s="38">
        <f>Données!A206</f>
        <v>5743</v>
      </c>
      <c r="B212" s="27" t="str">
        <f>Données!B206</f>
        <v>Arnex-sur-Orbe</v>
      </c>
      <c r="C212" s="26">
        <f>Ecrêtage!C206</f>
        <v>20545.993510231569</v>
      </c>
      <c r="D212" s="12">
        <f>Données!Z206</f>
        <v>637</v>
      </c>
      <c r="E212" s="8">
        <f>Population!K209</f>
        <v>-78984.154929577446</v>
      </c>
      <c r="F212" s="239">
        <f>Solidarité!I206</f>
        <v>-178577.45236965996</v>
      </c>
      <c r="G212" s="8">
        <f>DT!O206</f>
        <v>-84723.038938610582</v>
      </c>
      <c r="H212" s="239">
        <f>Effort!K206+Aide!I206+Taux!J206</f>
        <v>0</v>
      </c>
      <c r="I212" s="317">
        <f t="shared" si="11"/>
        <v>-342284.64623784798</v>
      </c>
      <c r="J212" s="397">
        <f t="shared" si="12"/>
        <v>393585.36345858884</v>
      </c>
      <c r="K212" s="532">
        <f t="shared" si="13"/>
        <v>51300.717220740858</v>
      </c>
    </row>
    <row r="213" spans="1:11" x14ac:dyDescent="0.25">
      <c r="A213" s="38">
        <f>Données!A207</f>
        <v>5744</v>
      </c>
      <c r="B213" s="27" t="str">
        <f>Données!B207</f>
        <v>Ballaigues</v>
      </c>
      <c r="C213" s="26">
        <f>Ecrêtage!C207</f>
        <v>40192.729547040028</v>
      </c>
      <c r="D213" s="12">
        <f>Données!Z207</f>
        <v>1143</v>
      </c>
      <c r="E213" s="8">
        <f>Population!K210</f>
        <v>-173641.14688128768</v>
      </c>
      <c r="F213" s="239">
        <f>Solidarité!I207</f>
        <v>-212408.59774072919</v>
      </c>
      <c r="G213" s="8">
        <f>DT!O207</f>
        <v>-375615.32555747975</v>
      </c>
      <c r="H213" s="239">
        <f>Effort!K207+Aide!I207+Taux!J207</f>
        <v>0</v>
      </c>
      <c r="I213" s="317">
        <f t="shared" si="11"/>
        <v>-761665.07017949666</v>
      </c>
      <c r="J213" s="397">
        <f t="shared" si="12"/>
        <v>769944.27450231474</v>
      </c>
      <c r="K213" s="532">
        <f t="shared" si="13"/>
        <v>8279.2043228180846</v>
      </c>
    </row>
    <row r="214" spans="1:11" x14ac:dyDescent="0.25">
      <c r="A214" s="38">
        <f>Données!A208</f>
        <v>5745</v>
      </c>
      <c r="B214" s="27" t="str">
        <f>Données!B208</f>
        <v>Baulmes</v>
      </c>
      <c r="C214" s="26">
        <f>Ecrêtage!C208</f>
        <v>26823.608187065354</v>
      </c>
      <c r="D214" s="12">
        <f>Données!Z208</f>
        <v>1074</v>
      </c>
      <c r="E214" s="8">
        <f>Population!K211</f>
        <v>-149685.5130784708</v>
      </c>
      <c r="F214" s="239">
        <f>Solidarité!I208</f>
        <v>-532353.18424501352</v>
      </c>
      <c r="G214" s="8">
        <f>DT!O208</f>
        <v>-417974.6447373089</v>
      </c>
      <c r="H214" s="239">
        <f>Effort!K208+Aide!I208+Taux!J208</f>
        <v>0</v>
      </c>
      <c r="I214" s="317">
        <f t="shared" si="11"/>
        <v>-1100013.3420607932</v>
      </c>
      <c r="J214" s="397">
        <f t="shared" si="12"/>
        <v>513841.27870572405</v>
      </c>
      <c r="K214" s="532">
        <f t="shared" si="13"/>
        <v>-586172.06335506914</v>
      </c>
    </row>
    <row r="215" spans="1:11" x14ac:dyDescent="0.25">
      <c r="A215" s="38">
        <f>Données!A209</f>
        <v>5746</v>
      </c>
      <c r="B215" s="27" t="str">
        <f>Données!B209</f>
        <v>Bavois</v>
      </c>
      <c r="C215" s="26">
        <f>Ecrêtage!C209</f>
        <v>30464.573561146077</v>
      </c>
      <c r="D215" s="12">
        <f>Données!Z209</f>
        <v>994</v>
      </c>
      <c r="E215" s="8">
        <f>Population!K212</f>
        <v>-123249.99999999999</v>
      </c>
      <c r="F215" s="239">
        <f>Solidarité!I209</f>
        <v>-328569.41402665072</v>
      </c>
      <c r="G215" s="8">
        <f>DT!O209</f>
        <v>-181823.87846226397</v>
      </c>
      <c r="H215" s="239">
        <f>Effort!K209+Aide!I209+Taux!J209</f>
        <v>0</v>
      </c>
      <c r="I215" s="317">
        <f t="shared" si="11"/>
        <v>-633643.29248891468</v>
      </c>
      <c r="J215" s="397">
        <f t="shared" si="12"/>
        <v>583588.72992457473</v>
      </c>
      <c r="K215" s="532">
        <f t="shared" si="13"/>
        <v>-50054.562564339954</v>
      </c>
    </row>
    <row r="216" spans="1:11" x14ac:dyDescent="0.25">
      <c r="A216" s="38">
        <f>Données!A210</f>
        <v>5747</v>
      </c>
      <c r="B216" s="27" t="str">
        <f>Données!B210</f>
        <v>Bofflens</v>
      </c>
      <c r="C216" s="26">
        <f>Ecrêtage!C210</f>
        <v>5602.2513601016635</v>
      </c>
      <c r="D216" s="12">
        <f>Données!Z210</f>
        <v>206</v>
      </c>
      <c r="E216" s="8">
        <f>Population!K213</f>
        <v>-25542.756539235408</v>
      </c>
      <c r="F216" s="239">
        <f>Solidarité!I210</f>
        <v>-74368.687112176558</v>
      </c>
      <c r="G216" s="8">
        <f>DT!O210</f>
        <v>-24788.991839390019</v>
      </c>
      <c r="H216" s="239">
        <f>Effort!K210+Aide!I210+Taux!J210</f>
        <v>0</v>
      </c>
      <c r="I216" s="317">
        <f t="shared" si="11"/>
        <v>-124700.43549080199</v>
      </c>
      <c r="J216" s="397">
        <f t="shared" si="12"/>
        <v>107318.44807864614</v>
      </c>
      <c r="K216" s="532">
        <f t="shared" si="13"/>
        <v>-17381.987412155853</v>
      </c>
    </row>
    <row r="217" spans="1:11" x14ac:dyDescent="0.25">
      <c r="A217" s="38">
        <f>Données!A211</f>
        <v>5748</v>
      </c>
      <c r="B217" s="27" t="str">
        <f>Données!B211</f>
        <v>Bretonnières</v>
      </c>
      <c r="C217" s="26">
        <f>Ecrêtage!C211</f>
        <v>5788.8837637987526</v>
      </c>
      <c r="D217" s="12">
        <f>Données!Z211</f>
        <v>268</v>
      </c>
      <c r="E217" s="8">
        <f>Population!K214</f>
        <v>-33230.382293762566</v>
      </c>
      <c r="F217" s="239">
        <f>Solidarité!I211</f>
        <v>-130784.43359046947</v>
      </c>
      <c r="G217" s="8">
        <f>DT!O211</f>
        <v>-50438.284594358418</v>
      </c>
      <c r="H217" s="239">
        <f>Effort!K211+Aide!I211+Taux!J211</f>
        <v>0</v>
      </c>
      <c r="I217" s="317">
        <f t="shared" si="11"/>
        <v>-214453.10047859047</v>
      </c>
      <c r="J217" s="397">
        <f t="shared" si="12"/>
        <v>110893.63573777242</v>
      </c>
      <c r="K217" s="532">
        <f t="shared" si="13"/>
        <v>-103559.46474081805</v>
      </c>
    </row>
    <row r="218" spans="1:11" x14ac:dyDescent="0.25">
      <c r="A218" s="38">
        <f>Données!A212</f>
        <v>5749</v>
      </c>
      <c r="B218" s="27" t="str">
        <f>Données!B212</f>
        <v>Chavornay</v>
      </c>
      <c r="C218" s="26">
        <f>Ecrêtage!C212</f>
        <v>140636.14212812972</v>
      </c>
      <c r="D218" s="12">
        <f>Données!Z212</f>
        <v>5227</v>
      </c>
      <c r="E218" s="8">
        <f>Population!K215</f>
        <v>-1945415.6941649897</v>
      </c>
      <c r="F218" s="239">
        <f>Solidarité!I212</f>
        <v>-2000023.7861434063</v>
      </c>
      <c r="G218" s="8">
        <f>DT!O212</f>
        <v>-622086.54063512431</v>
      </c>
      <c r="H218" s="239">
        <f>Effort!K212+Aide!I212+Taux!J212</f>
        <v>0</v>
      </c>
      <c r="I218" s="317">
        <f t="shared" si="11"/>
        <v>-4567526.0209435206</v>
      </c>
      <c r="J218" s="397">
        <f t="shared" si="12"/>
        <v>2694069.142353673</v>
      </c>
      <c r="K218" s="532">
        <f t="shared" si="13"/>
        <v>-1873456.8785898476</v>
      </c>
    </row>
    <row r="219" spans="1:11" x14ac:dyDescent="0.25">
      <c r="A219" s="38">
        <f>Données!A213</f>
        <v>5750</v>
      </c>
      <c r="B219" s="27" t="str">
        <f>Données!B213</f>
        <v>Les Clées</v>
      </c>
      <c r="C219" s="26">
        <f>Ecrêtage!C213</f>
        <v>6038.046875</v>
      </c>
      <c r="D219" s="12">
        <f>Données!Z213</f>
        <v>187</v>
      </c>
      <c r="E219" s="8">
        <f>Population!K216</f>
        <v>-23186.87122736418</v>
      </c>
      <c r="F219" s="239">
        <f>Solidarité!I213</f>
        <v>-66390.733444428799</v>
      </c>
      <c r="G219" s="8">
        <f>DT!O213</f>
        <v>-41525.68359375</v>
      </c>
      <c r="H219" s="239">
        <f>Effort!K213+Aide!I213+Taux!J213</f>
        <v>0</v>
      </c>
      <c r="I219" s="317">
        <f t="shared" si="11"/>
        <v>-131103.28826554297</v>
      </c>
      <c r="J219" s="397">
        <f t="shared" si="12"/>
        <v>115666.68083942594</v>
      </c>
      <c r="K219" s="532">
        <f t="shared" si="13"/>
        <v>-15436.607426117029</v>
      </c>
    </row>
    <row r="220" spans="1:11" x14ac:dyDescent="0.25">
      <c r="A220" s="38">
        <f>Données!A214</f>
        <v>5752</v>
      </c>
      <c r="B220" s="27" t="str">
        <f>Données!B214</f>
        <v>Croy</v>
      </c>
      <c r="C220" s="26">
        <f>Ecrêtage!C214</f>
        <v>9413.4881132598912</v>
      </c>
      <c r="D220" s="12">
        <f>Données!Z214</f>
        <v>397</v>
      </c>
      <c r="E220" s="8">
        <f>Population!K217</f>
        <v>-49225.603621730377</v>
      </c>
      <c r="F220" s="239">
        <f>Solidarité!I214</f>
        <v>-195110.08581549252</v>
      </c>
      <c r="G220" s="8">
        <f>DT!O214</f>
        <v>-1857.0713204406529</v>
      </c>
      <c r="H220" s="239">
        <f>Effort!K214+Aide!I214+Taux!J214</f>
        <v>0</v>
      </c>
      <c r="I220" s="317">
        <f t="shared" si="11"/>
        <v>-246192.76075766355</v>
      </c>
      <c r="J220" s="397">
        <f t="shared" si="12"/>
        <v>180327.6701428658</v>
      </c>
      <c r="K220" s="532">
        <f t="shared" si="13"/>
        <v>-65865.090614797751</v>
      </c>
    </row>
    <row r="221" spans="1:11" x14ac:dyDescent="0.25">
      <c r="A221" s="38">
        <f>Données!A215</f>
        <v>5754</v>
      </c>
      <c r="B221" s="27" t="str">
        <f>Données!B215</f>
        <v>Juriens</v>
      </c>
      <c r="C221" s="26">
        <f>Ecrêtage!C215</f>
        <v>8043.2571951290693</v>
      </c>
      <c r="D221" s="12">
        <f>Données!Z215</f>
        <v>336</v>
      </c>
      <c r="E221" s="8">
        <f>Population!K218</f>
        <v>-41661.971830985909</v>
      </c>
      <c r="F221" s="239">
        <f>Solidarité!I215</f>
        <v>-186300.17424050817</v>
      </c>
      <c r="G221" s="8">
        <f>DT!O215</f>
        <v>-63264.513932878785</v>
      </c>
      <c r="H221" s="239">
        <f>Effort!K215+Aide!I215+Taux!J215</f>
        <v>0</v>
      </c>
      <c r="I221" s="317">
        <f t="shared" si="11"/>
        <v>-291226.66000437288</v>
      </c>
      <c r="J221" s="397">
        <f t="shared" si="12"/>
        <v>154079.1057370535</v>
      </c>
      <c r="K221" s="532">
        <f t="shared" si="13"/>
        <v>-137147.55426731938</v>
      </c>
    </row>
    <row r="222" spans="1:11" x14ac:dyDescent="0.25">
      <c r="A222" s="38">
        <f>Données!A216</f>
        <v>5755</v>
      </c>
      <c r="B222" s="27" t="str">
        <f>Données!B216</f>
        <v>Lignerolle</v>
      </c>
      <c r="C222" s="26">
        <f>Ecrêtage!C216</f>
        <v>9053.1652859085789</v>
      </c>
      <c r="D222" s="12">
        <f>Données!Z216</f>
        <v>435</v>
      </c>
      <c r="E222" s="8">
        <f>Population!K219</f>
        <v>-53937.374245472827</v>
      </c>
      <c r="F222" s="239">
        <f>Solidarité!I216</f>
        <v>-271636.55519886006</v>
      </c>
      <c r="G222" s="8">
        <f>DT!O216</f>
        <v>-522066.38432011707</v>
      </c>
      <c r="H222" s="239">
        <f>Effort!K216+Aide!I216+Taux!J216</f>
        <v>0</v>
      </c>
      <c r="I222" s="317">
        <f t="shared" si="11"/>
        <v>-847640.31376444991</v>
      </c>
      <c r="J222" s="397">
        <f t="shared" si="12"/>
        <v>173425.21537012048</v>
      </c>
      <c r="K222" s="532">
        <f t="shared" si="13"/>
        <v>-674215.09839432943</v>
      </c>
    </row>
    <row r="223" spans="1:11" x14ac:dyDescent="0.25">
      <c r="A223" s="38">
        <f>Données!A217</f>
        <v>5756</v>
      </c>
      <c r="B223" s="27" t="str">
        <f>Données!B217</f>
        <v>Montcherand</v>
      </c>
      <c r="C223" s="26">
        <f>Ecrêtage!C217</f>
        <v>15753.043205801514</v>
      </c>
      <c r="D223" s="12">
        <f>Données!Z217</f>
        <v>506</v>
      </c>
      <c r="E223" s="8">
        <f>Population!K220</f>
        <v>-62740.945674044255</v>
      </c>
      <c r="F223" s="239">
        <f>Solidarité!I217</f>
        <v>-157635.1540022213</v>
      </c>
      <c r="G223" s="8">
        <f>DT!O217</f>
        <v>-73438.990765190916</v>
      </c>
      <c r="H223" s="239">
        <f>Effort!K217+Aide!I217+Taux!J217</f>
        <v>0</v>
      </c>
      <c r="I223" s="317">
        <f t="shared" si="11"/>
        <v>-293815.09044145647</v>
      </c>
      <c r="J223" s="397">
        <f t="shared" si="12"/>
        <v>301770.13502153888</v>
      </c>
      <c r="K223" s="532">
        <f t="shared" si="13"/>
        <v>7955.0445800824091</v>
      </c>
    </row>
    <row r="224" spans="1:11" x14ac:dyDescent="0.25">
      <c r="A224" s="38">
        <f>Données!A218</f>
        <v>5757</v>
      </c>
      <c r="B224" s="27" t="str">
        <f>Données!B218</f>
        <v>Orbe</v>
      </c>
      <c r="C224" s="26">
        <f>Ecrêtage!C218</f>
        <v>203477.21355711605</v>
      </c>
      <c r="D224" s="12">
        <f>Données!Z218</f>
        <v>7124</v>
      </c>
      <c r="E224" s="8">
        <f>Population!K221</f>
        <v>-3074455.1307847081</v>
      </c>
      <c r="F224" s="239">
        <f>Solidarité!I218</f>
        <v>-2857442.1820733305</v>
      </c>
      <c r="G224" s="8">
        <f>DT!O218</f>
        <v>-1969956.2186573036</v>
      </c>
      <c r="H224" s="239">
        <f>Effort!K218+Aide!I218+Taux!J218</f>
        <v>0</v>
      </c>
      <c r="I224" s="317">
        <f t="shared" si="11"/>
        <v>-7901853.5315153422</v>
      </c>
      <c r="J224" s="397">
        <f t="shared" si="12"/>
        <v>3897872.0115694124</v>
      </c>
      <c r="K224" s="532">
        <f t="shared" si="13"/>
        <v>-4003981.5199459298</v>
      </c>
    </row>
    <row r="225" spans="1:11" x14ac:dyDescent="0.25">
      <c r="A225" s="38">
        <f>Données!A219</f>
        <v>5758</v>
      </c>
      <c r="B225" s="27" t="str">
        <f>Données!B219</f>
        <v>La Praz</v>
      </c>
      <c r="C225" s="26">
        <f>Ecrêtage!C219</f>
        <v>4311.7430790337894</v>
      </c>
      <c r="D225" s="12">
        <f>Données!Z219</f>
        <v>175</v>
      </c>
      <c r="E225" s="8">
        <f>Population!K222</f>
        <v>-21698.943661971829</v>
      </c>
      <c r="F225" s="239">
        <f>Solidarité!I219</f>
        <v>-103732.62654196341</v>
      </c>
      <c r="G225" s="8">
        <f>DT!O219</f>
        <v>-10556.484216521922</v>
      </c>
      <c r="H225" s="239">
        <f>Effort!K219+Aide!I219+Taux!J219</f>
        <v>0</v>
      </c>
      <c r="I225" s="317">
        <f t="shared" si="11"/>
        <v>-135988.05442045716</v>
      </c>
      <c r="J225" s="397">
        <f t="shared" si="12"/>
        <v>82597.074999389602</v>
      </c>
      <c r="K225" s="532">
        <f t="shared" si="13"/>
        <v>-53390.979421067561</v>
      </c>
    </row>
    <row r="226" spans="1:11" x14ac:dyDescent="0.25">
      <c r="A226" s="38">
        <f>Données!A220</f>
        <v>5759</v>
      </c>
      <c r="B226" s="27" t="str">
        <f>Données!B220</f>
        <v>Premier</v>
      </c>
      <c r="C226" s="26">
        <f>Ecrêtage!C220</f>
        <v>5307.2435849357244</v>
      </c>
      <c r="D226" s="12">
        <f>Données!Z220</f>
        <v>218</v>
      </c>
      <c r="E226" s="8">
        <f>Population!K223</f>
        <v>-27030.684104627762</v>
      </c>
      <c r="F226" s="239">
        <f>Solidarité!I220</f>
        <v>-120168.04332531194</v>
      </c>
      <c r="G226" s="8">
        <f>DT!O220</f>
        <v>-55792.355801683858</v>
      </c>
      <c r="H226" s="239">
        <f>Effort!K220+Aide!I220+Taux!J220</f>
        <v>0</v>
      </c>
      <c r="I226" s="317">
        <f t="shared" si="11"/>
        <v>-202991.08323162355</v>
      </c>
      <c r="J226" s="397">
        <f t="shared" si="12"/>
        <v>101667.18851049847</v>
      </c>
      <c r="K226" s="532">
        <f t="shared" si="13"/>
        <v>-101323.89472112508</v>
      </c>
    </row>
    <row r="227" spans="1:11" x14ac:dyDescent="0.25">
      <c r="A227" s="38">
        <f>Données!A221</f>
        <v>5760</v>
      </c>
      <c r="B227" s="27" t="str">
        <f>Données!B221</f>
        <v>Rances</v>
      </c>
      <c r="C227" s="26">
        <f>Ecrêtage!C221</f>
        <v>12825.206275823581</v>
      </c>
      <c r="D227" s="12">
        <f>Données!Z221</f>
        <v>513</v>
      </c>
      <c r="E227" s="8">
        <f>Population!K224</f>
        <v>-63608.903420523129</v>
      </c>
      <c r="F227" s="239">
        <f>Solidarité!I221</f>
        <v>-253980.81323656027</v>
      </c>
      <c r="G227" s="8">
        <f>DT!O221</f>
        <v>-153618.85763819082</v>
      </c>
      <c r="H227" s="239">
        <f>Effort!K221+Aide!I221+Taux!J221</f>
        <v>0</v>
      </c>
      <c r="I227" s="317">
        <f t="shared" si="11"/>
        <v>-471208.57429527421</v>
      </c>
      <c r="J227" s="397">
        <f t="shared" si="12"/>
        <v>245683.59135262406</v>
      </c>
      <c r="K227" s="532">
        <f t="shared" si="13"/>
        <v>-225524.98294265015</v>
      </c>
    </row>
    <row r="228" spans="1:11" x14ac:dyDescent="0.25">
      <c r="A228" s="38">
        <f>Données!A222</f>
        <v>5761</v>
      </c>
      <c r="B228" s="27" t="str">
        <f>Données!B222</f>
        <v>Romainmôtier-Envy</v>
      </c>
      <c r="C228" s="26">
        <f>Ecrêtage!C222</f>
        <v>12133.770909516334</v>
      </c>
      <c r="D228" s="12">
        <f>Données!Z222</f>
        <v>525</v>
      </c>
      <c r="E228" s="8">
        <f>Population!K225</f>
        <v>-65096.830985915483</v>
      </c>
      <c r="F228" s="239">
        <f>Solidarité!I222</f>
        <v>-317392.98327321914</v>
      </c>
      <c r="G228" s="8">
        <f>DT!O222</f>
        <v>-199490.87454290202</v>
      </c>
      <c r="H228" s="239">
        <f>Effort!K222+Aide!I222+Taux!J222</f>
        <v>0</v>
      </c>
      <c r="I228" s="317">
        <f t="shared" si="11"/>
        <v>-581980.68880203669</v>
      </c>
      <c r="J228" s="397">
        <f t="shared" si="12"/>
        <v>232438.24306510319</v>
      </c>
      <c r="K228" s="532">
        <f t="shared" si="13"/>
        <v>-349542.4457369335</v>
      </c>
    </row>
    <row r="229" spans="1:11" x14ac:dyDescent="0.25">
      <c r="A229" s="38">
        <f>Données!A223</f>
        <v>5762</v>
      </c>
      <c r="B229" s="27" t="str">
        <f>Données!B223</f>
        <v>Sergey</v>
      </c>
      <c r="C229" s="26">
        <f>Ecrêtage!C223</f>
        <v>3771.973692411721</v>
      </c>
      <c r="D229" s="12">
        <f>Données!Z223</f>
        <v>145</v>
      </c>
      <c r="E229" s="8">
        <f>Population!K226</f>
        <v>-17979.124748490944</v>
      </c>
      <c r="F229" s="239">
        <f>Solidarité!I223</f>
        <v>-71059.097166749227</v>
      </c>
      <c r="G229" s="8">
        <f>DT!O223</f>
        <v>-26971.677576220882</v>
      </c>
      <c r="H229" s="239">
        <f>Effort!K223+Aide!I223+Taux!J223</f>
        <v>0</v>
      </c>
      <c r="I229" s="317">
        <f t="shared" si="11"/>
        <v>-116009.89949146105</v>
      </c>
      <c r="J229" s="397">
        <f t="shared" si="12"/>
        <v>72257.086810856781</v>
      </c>
      <c r="K229" s="532">
        <f t="shared" si="13"/>
        <v>-43752.812680604271</v>
      </c>
    </row>
    <row r="230" spans="1:11" x14ac:dyDescent="0.25">
      <c r="A230" s="38">
        <f>Données!A224</f>
        <v>5763</v>
      </c>
      <c r="B230" s="27" t="str">
        <f>Données!B224</f>
        <v>Valeyres-sous-Rances</v>
      </c>
      <c r="C230" s="26">
        <f>Ecrêtage!C224</f>
        <v>20450.878825889598</v>
      </c>
      <c r="D230" s="12">
        <f>Données!Z224</f>
        <v>609</v>
      </c>
      <c r="E230" s="8">
        <f>Population!K227</f>
        <v>-75512.323943661962</v>
      </c>
      <c r="F230" s="239">
        <f>Solidarité!I224</f>
        <v>-141675.44646582924</v>
      </c>
      <c r="G230" s="8">
        <f>DT!O224</f>
        <v>-115482.06792524521</v>
      </c>
      <c r="H230" s="239">
        <f>Effort!K224+Aide!I224+Taux!J224</f>
        <v>0</v>
      </c>
      <c r="I230" s="317">
        <f t="shared" si="11"/>
        <v>-332669.83833473641</v>
      </c>
      <c r="J230" s="397">
        <f t="shared" si="12"/>
        <v>391763.31734588364</v>
      </c>
      <c r="K230" s="532">
        <f t="shared" si="13"/>
        <v>59093.479011147225</v>
      </c>
    </row>
    <row r="231" spans="1:11" x14ac:dyDescent="0.25">
      <c r="A231" s="38">
        <f>Données!A225</f>
        <v>5764</v>
      </c>
      <c r="B231" s="27" t="str">
        <f>Données!B225</f>
        <v>Vallorbe</v>
      </c>
      <c r="C231" s="26">
        <f>Ecrêtage!C225</f>
        <v>84208.757632819674</v>
      </c>
      <c r="D231" s="12">
        <f>Données!Z225</f>
        <v>3874</v>
      </c>
      <c r="E231" s="8">
        <f>Population!K228</f>
        <v>-1251843.0583501004</v>
      </c>
      <c r="F231" s="239">
        <f>Solidarité!I225</f>
        <v>-1933720.9334637471</v>
      </c>
      <c r="G231" s="8">
        <f>DT!O225</f>
        <v>-2022723.1359784673</v>
      </c>
      <c r="H231" s="239">
        <f>Effort!K225+Aide!I225+Taux!J225</f>
        <v>0</v>
      </c>
      <c r="I231" s="317">
        <f t="shared" si="11"/>
        <v>-5208287.1277923156</v>
      </c>
      <c r="J231" s="397">
        <f t="shared" si="12"/>
        <v>1613128.8303388546</v>
      </c>
      <c r="K231" s="532">
        <f t="shared" si="13"/>
        <v>-3595158.2974534612</v>
      </c>
    </row>
    <row r="232" spans="1:11" x14ac:dyDescent="0.25">
      <c r="A232" s="38">
        <f>Données!A226</f>
        <v>5765</v>
      </c>
      <c r="B232" s="27" t="str">
        <f>Données!B226</f>
        <v>Vaulion</v>
      </c>
      <c r="C232" s="26">
        <f>Ecrêtage!C226</f>
        <v>11314.093434772476</v>
      </c>
      <c r="D232" s="12">
        <f>Données!Z226</f>
        <v>506</v>
      </c>
      <c r="E232" s="8">
        <f>Population!K229</f>
        <v>-62740.945674044255</v>
      </c>
      <c r="F232" s="239">
        <f>Solidarité!I226</f>
        <v>-315883.30469197722</v>
      </c>
      <c r="G232" s="8">
        <f>DT!O226</f>
        <v>-155061.86931528579</v>
      </c>
      <c r="H232" s="239">
        <f>Effort!K226+Aide!I226+Taux!J226</f>
        <v>0</v>
      </c>
      <c r="I232" s="317">
        <f t="shared" si="11"/>
        <v>-533686.11968130723</v>
      </c>
      <c r="J232" s="397">
        <f t="shared" si="12"/>
        <v>216736.24955209915</v>
      </c>
      <c r="K232" s="532">
        <f t="shared" si="13"/>
        <v>-316949.87012920808</v>
      </c>
    </row>
    <row r="233" spans="1:11" x14ac:dyDescent="0.25">
      <c r="A233" s="38">
        <f>Données!A227</f>
        <v>5766</v>
      </c>
      <c r="B233" s="27" t="str">
        <f>Données!B227</f>
        <v>Vuiteboeuf</v>
      </c>
      <c r="C233" s="26">
        <f>Ecrêtage!C227</f>
        <v>15990.410165272326</v>
      </c>
      <c r="D233" s="12">
        <f>Données!Z227</f>
        <v>584</v>
      </c>
      <c r="E233" s="8">
        <f>Population!K230</f>
        <v>-72412.474849094549</v>
      </c>
      <c r="F233" s="239">
        <f>Solidarité!I227</f>
        <v>-259988.42742443201</v>
      </c>
      <c r="G233" s="8">
        <f>DT!O227</f>
        <v>-113219.78900836605</v>
      </c>
      <c r="H233" s="239">
        <f>Effort!K227+Aide!I227+Taux!J227</f>
        <v>0</v>
      </c>
      <c r="I233" s="317">
        <f t="shared" si="11"/>
        <v>-445620.69128189259</v>
      </c>
      <c r="J233" s="397">
        <f t="shared" si="12"/>
        <v>306317.20941683918</v>
      </c>
      <c r="K233" s="532">
        <f t="shared" si="13"/>
        <v>-139303.48186505341</v>
      </c>
    </row>
    <row r="234" spans="1:11" x14ac:dyDescent="0.25">
      <c r="A234" s="38">
        <f>Données!A228</f>
        <v>5785</v>
      </c>
      <c r="B234" s="27" t="str">
        <f>Données!B228</f>
        <v>Corcelles-le-Jorat</v>
      </c>
      <c r="C234" s="26">
        <f>Ecrêtage!C228</f>
        <v>17505.983698727712</v>
      </c>
      <c r="D234" s="12">
        <f>Données!Z228</f>
        <v>451</v>
      </c>
      <c r="E234" s="8">
        <f>Population!K231</f>
        <v>-55921.277665995964</v>
      </c>
      <c r="F234" s="239">
        <f>Solidarité!I228</f>
        <v>-78595.429201237217</v>
      </c>
      <c r="G234" s="8">
        <f>DT!O228</f>
        <v>-64938.860033587946</v>
      </c>
      <c r="H234" s="239">
        <f>Effort!K228+Aide!I228+Taux!J228</f>
        <v>0</v>
      </c>
      <c r="I234" s="317">
        <f t="shared" si="11"/>
        <v>-199455.56690082111</v>
      </c>
      <c r="J234" s="397">
        <f t="shared" si="12"/>
        <v>335350.00161139551</v>
      </c>
      <c r="K234" s="532">
        <f t="shared" si="13"/>
        <v>135894.43471057439</v>
      </c>
    </row>
    <row r="235" spans="1:11" x14ac:dyDescent="0.25">
      <c r="A235" s="38">
        <f>Données!A229</f>
        <v>5790</v>
      </c>
      <c r="B235" s="27" t="str">
        <f>Données!B229</f>
        <v>Maracon</v>
      </c>
      <c r="C235" s="26">
        <f>Ecrêtage!C229</f>
        <v>13395.718975615504</v>
      </c>
      <c r="D235" s="12">
        <f>Données!Z229</f>
        <v>538</v>
      </c>
      <c r="E235" s="8">
        <f>Population!K232</f>
        <v>-66708.752515090528</v>
      </c>
      <c r="F235" s="239">
        <f>Solidarité!I229</f>
        <v>-253821.5376913643</v>
      </c>
      <c r="G235" s="8">
        <f>DT!O229</f>
        <v>-59003.43614630698</v>
      </c>
      <c r="H235" s="239">
        <f>Effort!K229+Aide!I229+Taux!J229</f>
        <v>0</v>
      </c>
      <c r="I235" s="317">
        <f t="shared" si="11"/>
        <v>-379533.72635276179</v>
      </c>
      <c r="J235" s="397">
        <f t="shared" si="12"/>
        <v>256612.50789265533</v>
      </c>
      <c r="K235" s="532">
        <f t="shared" si="13"/>
        <v>-122921.21846010647</v>
      </c>
    </row>
    <row r="236" spans="1:11" x14ac:dyDescent="0.25">
      <c r="A236" s="38">
        <f>Données!A230</f>
        <v>5792</v>
      </c>
      <c r="B236" s="27" t="str">
        <f>Données!B230</f>
        <v>Montpreveyres</v>
      </c>
      <c r="C236" s="26">
        <f>Ecrêtage!C230</f>
        <v>17608.366503920086</v>
      </c>
      <c r="D236" s="12">
        <f>Données!Z230</f>
        <v>653</v>
      </c>
      <c r="E236" s="8">
        <f>Population!K233</f>
        <v>-80968.058350100589</v>
      </c>
      <c r="F236" s="239">
        <f>Solidarité!I230</f>
        <v>-281899.21446473658</v>
      </c>
      <c r="G236" s="8">
        <f>DT!O230</f>
        <v>-176520.80097647948</v>
      </c>
      <c r="H236" s="239">
        <f>Effort!K230+Aide!I230+Taux!J230</f>
        <v>0</v>
      </c>
      <c r="I236" s="317">
        <f t="shared" si="11"/>
        <v>-539388.07379131671</v>
      </c>
      <c r="J236" s="397">
        <f t="shared" si="12"/>
        <v>337311.27807989449</v>
      </c>
      <c r="K236" s="532">
        <f t="shared" si="13"/>
        <v>-202076.79571142222</v>
      </c>
    </row>
    <row r="237" spans="1:11" x14ac:dyDescent="0.25">
      <c r="A237" s="38">
        <f>Données!A231</f>
        <v>5798</v>
      </c>
      <c r="B237" s="27" t="str">
        <f>Données!B231</f>
        <v>Ropraz</v>
      </c>
      <c r="C237" s="26">
        <f>Ecrêtage!C231</f>
        <v>15757.055763710458</v>
      </c>
      <c r="D237" s="12">
        <f>Données!Z231</f>
        <v>528</v>
      </c>
      <c r="E237" s="8">
        <f>Population!K234</f>
        <v>-65468.812877263568</v>
      </c>
      <c r="F237" s="239">
        <f>Solidarité!I231</f>
        <v>-206920.83480400557</v>
      </c>
      <c r="G237" s="8">
        <f>DT!O231</f>
        <v>-57234.415417737255</v>
      </c>
      <c r="H237" s="239">
        <f>Effort!K231+Aide!I231+Taux!J231</f>
        <v>0</v>
      </c>
      <c r="I237" s="317">
        <f t="shared" si="11"/>
        <v>-329624.06309900642</v>
      </c>
      <c r="J237" s="397">
        <f t="shared" si="12"/>
        <v>301847.00081350969</v>
      </c>
      <c r="K237" s="532">
        <f t="shared" si="13"/>
        <v>-27777.062285496737</v>
      </c>
    </row>
    <row r="238" spans="1:11" x14ac:dyDescent="0.25">
      <c r="A238" s="38">
        <f>Données!A232</f>
        <v>5799</v>
      </c>
      <c r="B238" s="27" t="str">
        <f>Données!B232</f>
        <v>Servion</v>
      </c>
      <c r="C238" s="26">
        <f>Ecrêtage!C232</f>
        <v>69379.10406939665</v>
      </c>
      <c r="D238" s="12">
        <f>Données!Z232</f>
        <v>2076</v>
      </c>
      <c r="E238" s="8">
        <f>Population!K235</f>
        <v>-497562.97786720318</v>
      </c>
      <c r="F238" s="239">
        <f>Solidarité!I232</f>
        <v>-503639.10683974478</v>
      </c>
      <c r="G238" s="8">
        <f>DT!O232</f>
        <v>-329052.1255836201</v>
      </c>
      <c r="H238" s="239">
        <f>Effort!K232+Aide!I232+Taux!J232</f>
        <v>0</v>
      </c>
      <c r="I238" s="317">
        <f t="shared" si="11"/>
        <v>-1330254.2102905679</v>
      </c>
      <c r="J238" s="397">
        <f t="shared" si="12"/>
        <v>1329047.4309741459</v>
      </c>
      <c r="K238" s="532">
        <f t="shared" si="13"/>
        <v>-1206.7793164220639</v>
      </c>
    </row>
    <row r="239" spans="1:11" x14ac:dyDescent="0.25">
      <c r="A239" s="38">
        <f>Données!A233</f>
        <v>5803</v>
      </c>
      <c r="B239" s="27" t="str">
        <f>Données!B233</f>
        <v>Vulliens</v>
      </c>
      <c r="C239" s="26">
        <f>Ecrêtage!C233</f>
        <v>18878.281315789478</v>
      </c>
      <c r="D239" s="12">
        <f>Données!Z233</f>
        <v>624</v>
      </c>
      <c r="E239" s="8">
        <f>Population!K236</f>
        <v>-77372.233400402401</v>
      </c>
      <c r="F239" s="239">
        <f>Solidarité!I233</f>
        <v>-229252.61217859967</v>
      </c>
      <c r="G239" s="8">
        <f>DT!O233</f>
        <v>-82004.601118421022</v>
      </c>
      <c r="H239" s="239">
        <f>Effort!K233+Aide!I233+Taux!J233</f>
        <v>0</v>
      </c>
      <c r="I239" s="317">
        <f t="shared" si="11"/>
        <v>-388629.44669742306</v>
      </c>
      <c r="J239" s="397">
        <f t="shared" si="12"/>
        <v>361638.15633682365</v>
      </c>
      <c r="K239" s="532">
        <f t="shared" si="13"/>
        <v>-26991.290360599407</v>
      </c>
    </row>
    <row r="240" spans="1:11" x14ac:dyDescent="0.25">
      <c r="A240" s="38">
        <f>Données!A234</f>
        <v>5804</v>
      </c>
      <c r="B240" s="27" t="str">
        <f>Données!B234</f>
        <v>Jorat-Menthue</v>
      </c>
      <c r="C240" s="26">
        <f>Ecrêtage!C234</f>
        <v>46675.442411362579</v>
      </c>
      <c r="D240" s="12">
        <f>Données!Z234</f>
        <v>1602</v>
      </c>
      <c r="E240" s="8">
        <f>Population!K237</f>
        <v>-332998.18913480878</v>
      </c>
      <c r="F240" s="239">
        <f>Solidarité!I234</f>
        <v>-542026.45126802824</v>
      </c>
      <c r="G240" s="8">
        <f>DT!O234</f>
        <v>-494292.76372330263</v>
      </c>
      <c r="H240" s="239">
        <f>Effort!K234+Aide!I234+Taux!J234</f>
        <v>0</v>
      </c>
      <c r="I240" s="317">
        <f t="shared" si="11"/>
        <v>-1369317.4041261396</v>
      </c>
      <c r="J240" s="397">
        <f t="shared" si="12"/>
        <v>894129.11363562092</v>
      </c>
      <c r="K240" s="532">
        <f t="shared" si="13"/>
        <v>-475188.29049051867</v>
      </c>
    </row>
    <row r="241" spans="1:11" x14ac:dyDescent="0.25">
      <c r="A241" s="38">
        <f>Données!A235</f>
        <v>5805</v>
      </c>
      <c r="B241" s="27" t="str">
        <f>Données!B235</f>
        <v>Oron</v>
      </c>
      <c r="C241" s="26">
        <f>Ecrêtage!C235</f>
        <v>172360.6832516081</v>
      </c>
      <c r="D241" s="12">
        <f>Données!Z235</f>
        <v>6052</v>
      </c>
      <c r="E241" s="8">
        <f>Population!K238</f>
        <v>-2436431.7907444667</v>
      </c>
      <c r="F241" s="239">
        <f>Solidarité!I235</f>
        <v>-2051146.5669270346</v>
      </c>
      <c r="G241" s="8">
        <f>DT!O235</f>
        <v>-897790.15049035137</v>
      </c>
      <c r="H241" s="239">
        <f>Effort!K235+Aide!I235+Taux!J235</f>
        <v>0</v>
      </c>
      <c r="I241" s="317">
        <f t="shared" si="11"/>
        <v>-5385368.5081618521</v>
      </c>
      <c r="J241" s="397">
        <f t="shared" si="12"/>
        <v>3301794.1979672266</v>
      </c>
      <c r="K241" s="532">
        <f t="shared" si="13"/>
        <v>-2083574.3101946255</v>
      </c>
    </row>
    <row r="242" spans="1:11" x14ac:dyDescent="0.25">
      <c r="A242" s="38">
        <f>Données!A236</f>
        <v>5806</v>
      </c>
      <c r="B242" s="27" t="str">
        <f>Données!B236</f>
        <v>Jorat-Mézières</v>
      </c>
      <c r="C242" s="26">
        <f>Ecrêtage!C236</f>
        <v>91040.343063115521</v>
      </c>
      <c r="D242" s="12">
        <f>Données!Z236</f>
        <v>2966</v>
      </c>
      <c r="E242" s="8">
        <f>Population!K239</f>
        <v>-806555.93561368203</v>
      </c>
      <c r="F242" s="239">
        <f>Solidarité!I236</f>
        <v>-977502.14826565445</v>
      </c>
      <c r="G242" s="8">
        <f>DT!O236</f>
        <v>-413561.44162130688</v>
      </c>
      <c r="H242" s="239">
        <f>Effort!K236+Aide!I236+Taux!J236</f>
        <v>0</v>
      </c>
      <c r="I242" s="317">
        <f t="shared" si="11"/>
        <v>-2197619.5255006435</v>
      </c>
      <c r="J242" s="397">
        <f t="shared" si="12"/>
        <v>1743996.7795204022</v>
      </c>
      <c r="K242" s="532">
        <f t="shared" si="13"/>
        <v>-453622.74598024134</v>
      </c>
    </row>
    <row r="243" spans="1:11" x14ac:dyDescent="0.25">
      <c r="A243" s="38">
        <f>Données!A237</f>
        <v>5812</v>
      </c>
      <c r="B243" s="27" t="str">
        <f>Données!B237</f>
        <v>Champtauroz</v>
      </c>
      <c r="C243" s="26">
        <f>Ecrêtage!C237</f>
        <v>2509.107922077922</v>
      </c>
      <c r="D243" s="12">
        <f>Données!Z237</f>
        <v>144</v>
      </c>
      <c r="E243" s="8">
        <f>Population!K240</f>
        <v>-17855.130784708246</v>
      </c>
      <c r="F243" s="239">
        <f>Solidarité!I237</f>
        <v>-98074.271093618037</v>
      </c>
      <c r="G243" s="8">
        <f>DT!O237</f>
        <v>-29570.352467532466</v>
      </c>
      <c r="H243" s="239">
        <f>Effort!K237+Aide!I237+Taux!J237</f>
        <v>0</v>
      </c>
      <c r="I243" s="317">
        <f t="shared" si="11"/>
        <v>-145499.75434585876</v>
      </c>
      <c r="J243" s="397">
        <f t="shared" si="12"/>
        <v>48065.242159065259</v>
      </c>
      <c r="K243" s="532">
        <f t="shared" si="13"/>
        <v>-97434.512186793494</v>
      </c>
    </row>
    <row r="244" spans="1:11" x14ac:dyDescent="0.25">
      <c r="A244" s="38">
        <f>Données!A238</f>
        <v>5813</v>
      </c>
      <c r="B244" s="27" t="str">
        <f>Données!B238</f>
        <v>Chevroux</v>
      </c>
      <c r="C244" s="26">
        <f>Ecrêtage!C238</f>
        <v>15173.187804567502</v>
      </c>
      <c r="D244" s="12">
        <f>Données!Z238</f>
        <v>495</v>
      </c>
      <c r="E244" s="8">
        <f>Population!K241</f>
        <v>-61377.012072434598</v>
      </c>
      <c r="F244" s="239">
        <f>Solidarité!I238</f>
        <v>-144031.38124123486</v>
      </c>
      <c r="G244" s="8">
        <f>DT!O238</f>
        <v>-327209.62317259499</v>
      </c>
      <c r="H244" s="239">
        <f>Effort!K238+Aide!I238+Taux!J238</f>
        <v>0</v>
      </c>
      <c r="I244" s="317">
        <f t="shared" si="11"/>
        <v>-532618.01648626442</v>
      </c>
      <c r="J244" s="397">
        <f t="shared" si="12"/>
        <v>290662.24682258355</v>
      </c>
      <c r="K244" s="532">
        <f t="shared" si="13"/>
        <v>-241955.76966368087</v>
      </c>
    </row>
    <row r="245" spans="1:11" x14ac:dyDescent="0.25">
      <c r="A245" s="38">
        <f>Données!A239</f>
        <v>5816</v>
      </c>
      <c r="B245" s="27" t="str">
        <f>Données!B239</f>
        <v>Corcelles-près-Payerne</v>
      </c>
      <c r="C245" s="26">
        <f>Ecrêtage!C239</f>
        <v>60494.301475743108</v>
      </c>
      <c r="D245" s="12">
        <f>Données!Z239</f>
        <v>2681</v>
      </c>
      <c r="E245" s="8">
        <f>Population!K242</f>
        <v>-707608.75251509051</v>
      </c>
      <c r="F245" s="239">
        <f>Solidarité!I239</f>
        <v>-1186706.8527128187</v>
      </c>
      <c r="G245" s="8">
        <f>DT!O239</f>
        <v>-337717.94114554138</v>
      </c>
      <c r="H245" s="239">
        <f>Effort!K239+Aide!I239+Taux!J239</f>
        <v>0</v>
      </c>
      <c r="I245" s="317">
        <f t="shared" si="11"/>
        <v>-2232033.5463734502</v>
      </c>
      <c r="J245" s="397">
        <f t="shared" si="12"/>
        <v>1158847.4230582702</v>
      </c>
      <c r="K245" s="532">
        <f t="shared" si="13"/>
        <v>-1073186.12331518</v>
      </c>
    </row>
    <row r="246" spans="1:11" x14ac:dyDescent="0.25">
      <c r="A246" s="38">
        <f>Données!A240</f>
        <v>5817</v>
      </c>
      <c r="B246" s="27" t="str">
        <f>Données!B240</f>
        <v>Grandcour</v>
      </c>
      <c r="C246" s="26">
        <f>Ecrêtage!C240</f>
        <v>21852.23221700843</v>
      </c>
      <c r="D246" s="12">
        <f>Données!Z240</f>
        <v>967</v>
      </c>
      <c r="E246" s="8">
        <f>Population!K243</f>
        <v>-119902.16297786718</v>
      </c>
      <c r="F246" s="239">
        <f>Solidarité!I240</f>
        <v>-492088.09083851706</v>
      </c>
      <c r="G246" s="8">
        <f>DT!O240</f>
        <v>-147713.1825351931</v>
      </c>
      <c r="H246" s="239">
        <f>Effort!K240+Aide!I240+Taux!J240</f>
        <v>0</v>
      </c>
      <c r="I246" s="317">
        <f t="shared" si="11"/>
        <v>-759703.43635157729</v>
      </c>
      <c r="J246" s="397">
        <f t="shared" si="12"/>
        <v>418608.0734051498</v>
      </c>
      <c r="K246" s="532">
        <f t="shared" si="13"/>
        <v>-341095.36294642749</v>
      </c>
    </row>
    <row r="247" spans="1:11" x14ac:dyDescent="0.25">
      <c r="A247" s="38">
        <f>Données!A241</f>
        <v>5819</v>
      </c>
      <c r="B247" s="27" t="str">
        <f>Données!B241</f>
        <v>Henniez</v>
      </c>
      <c r="C247" s="26">
        <f>Ecrêtage!C241</f>
        <v>11442.507547725303</v>
      </c>
      <c r="D247" s="12">
        <f>Données!Z241</f>
        <v>396</v>
      </c>
      <c r="E247" s="8">
        <f>Population!K244</f>
        <v>-49101.60965794768</v>
      </c>
      <c r="F247" s="239">
        <f>Solidarité!I241</f>
        <v>-130155.203984077</v>
      </c>
      <c r="G247" s="8">
        <f>DT!O241</f>
        <v>-101415.70471364817</v>
      </c>
      <c r="H247" s="239">
        <f>Effort!K241+Aide!I241+Taux!J241</f>
        <v>0</v>
      </c>
      <c r="I247" s="317">
        <f t="shared" si="11"/>
        <v>-280672.51835567283</v>
      </c>
      <c r="J247" s="397">
        <f t="shared" si="12"/>
        <v>219196.18974893517</v>
      </c>
      <c r="K247" s="532">
        <f t="shared" si="13"/>
        <v>-61476.328606737661</v>
      </c>
    </row>
    <row r="248" spans="1:11" x14ac:dyDescent="0.25">
      <c r="A248" s="38">
        <f>Données!A242</f>
        <v>5821</v>
      </c>
      <c r="B248" s="27" t="str">
        <f>Données!B242</f>
        <v>Missy</v>
      </c>
      <c r="C248" s="26">
        <f>Ecrêtage!C242</f>
        <v>7871.5501639965696</v>
      </c>
      <c r="D248" s="12">
        <f>Données!Z242</f>
        <v>368</v>
      </c>
      <c r="E248" s="8">
        <f>Population!K245</f>
        <v>-45629.778672032182</v>
      </c>
      <c r="F248" s="239">
        <f>Solidarité!I242</f>
        <v>-188910.38207000567</v>
      </c>
      <c r="G248" s="8">
        <f>DT!O242</f>
        <v>-19361.699016020582</v>
      </c>
      <c r="H248" s="239">
        <f>Effort!K242+Aide!I242+Taux!J242</f>
        <v>0</v>
      </c>
      <c r="I248" s="317">
        <f t="shared" si="11"/>
        <v>-253901.85975805842</v>
      </c>
      <c r="J248" s="397">
        <f t="shared" si="12"/>
        <v>150789.83309988334</v>
      </c>
      <c r="K248" s="532">
        <f t="shared" si="13"/>
        <v>-103112.02665817508</v>
      </c>
    </row>
    <row r="249" spans="1:11" x14ac:dyDescent="0.25">
      <c r="A249" s="38">
        <f>Données!A243</f>
        <v>5822</v>
      </c>
      <c r="B249" s="27" t="str">
        <f>Données!B243</f>
        <v>Payerne</v>
      </c>
      <c r="C249" s="26">
        <f>Ecrêtage!C243</f>
        <v>237529.8930471511</v>
      </c>
      <c r="D249" s="12">
        <f>Données!Z243</f>
        <v>10108</v>
      </c>
      <c r="E249" s="8">
        <f>Population!K246</f>
        <v>-5125216.0965794763</v>
      </c>
      <c r="F249" s="239">
        <f>Solidarité!I243</f>
        <v>-4880043.2268599793</v>
      </c>
      <c r="G249" s="8">
        <f>DT!O243</f>
        <v>-1705384.3917170935</v>
      </c>
      <c r="H249" s="239">
        <f>Effort!K243+Aide!I243+Taux!J243</f>
        <v>0</v>
      </c>
      <c r="I249" s="317">
        <f t="shared" si="11"/>
        <v>-11710643.71515655</v>
      </c>
      <c r="J249" s="397">
        <f t="shared" si="12"/>
        <v>4550195.600942201</v>
      </c>
      <c r="K249" s="532">
        <f t="shared" si="13"/>
        <v>-7160448.1142143486</v>
      </c>
    </row>
    <row r="250" spans="1:11" x14ac:dyDescent="0.25">
      <c r="A250" s="38">
        <f>Données!A244</f>
        <v>5827</v>
      </c>
      <c r="B250" s="27" t="str">
        <f>Données!B244</f>
        <v>Trey</v>
      </c>
      <c r="C250" s="26">
        <f>Ecrêtage!C244</f>
        <v>6158.3041346806722</v>
      </c>
      <c r="D250" s="12">
        <f>Données!Z244</f>
        <v>302</v>
      </c>
      <c r="E250" s="8">
        <f>Population!K247</f>
        <v>-37446.177062374241</v>
      </c>
      <c r="F250" s="239">
        <f>Solidarité!I244</f>
        <v>-189274.39041508269</v>
      </c>
      <c r="G250" s="8">
        <f>DT!O244</f>
        <v>-54619.175191915972</v>
      </c>
      <c r="H250" s="239">
        <f>Effort!K244+Aide!I244+Taux!J244</f>
        <v>0</v>
      </c>
      <c r="I250" s="317">
        <f t="shared" si="11"/>
        <v>-281339.74266937294</v>
      </c>
      <c r="J250" s="397">
        <f t="shared" si="12"/>
        <v>117970.36584917644</v>
      </c>
      <c r="K250" s="532">
        <f t="shared" si="13"/>
        <v>-163369.37682019651</v>
      </c>
    </row>
    <row r="251" spans="1:11" x14ac:dyDescent="0.25">
      <c r="A251" s="38">
        <f>Données!A245</f>
        <v>5828</v>
      </c>
      <c r="B251" s="27" t="str">
        <f>Données!B245</f>
        <v>Treytorrens (Payerne)</v>
      </c>
      <c r="C251" s="26">
        <f>Ecrêtage!C245</f>
        <v>2288.504365079365</v>
      </c>
      <c r="D251" s="12">
        <f>Données!Z245</f>
        <v>114</v>
      </c>
      <c r="E251" s="8">
        <f>Population!K248</f>
        <v>-14135.311871227363</v>
      </c>
      <c r="F251" s="239">
        <f>Solidarité!I245</f>
        <v>-83882.059176429102</v>
      </c>
      <c r="G251" s="8">
        <f>DT!O245</f>
        <v>-25932.345535714285</v>
      </c>
      <c r="H251" s="239">
        <f>Effort!K245+Aide!I245+Taux!J245</f>
        <v>0</v>
      </c>
      <c r="I251" s="317">
        <f t="shared" si="11"/>
        <v>-123949.71658337074</v>
      </c>
      <c r="J251" s="397">
        <f t="shared" si="12"/>
        <v>43839.292651279393</v>
      </c>
      <c r="K251" s="532">
        <f t="shared" si="13"/>
        <v>-80110.423932091348</v>
      </c>
    </row>
    <row r="252" spans="1:11" x14ac:dyDescent="0.25">
      <c r="A252" s="38">
        <f>Données!A246</f>
        <v>5830</v>
      </c>
      <c r="B252" s="27" t="str">
        <f>Données!B246</f>
        <v>Villarzel</v>
      </c>
      <c r="C252" s="26">
        <f>Ecrêtage!C246</f>
        <v>12469.37329599799</v>
      </c>
      <c r="D252" s="12">
        <f>Données!Z246</f>
        <v>477</v>
      </c>
      <c r="E252" s="8">
        <f>Population!K249</f>
        <v>-59145.120724346067</v>
      </c>
      <c r="F252" s="239">
        <f>Solidarité!I246</f>
        <v>-226362.14262416182</v>
      </c>
      <c r="G252" s="8">
        <f>DT!O246</f>
        <v>-92825.260224012061</v>
      </c>
      <c r="H252" s="239">
        <f>Effort!K246+Aide!I246+Taux!J246</f>
        <v>0</v>
      </c>
      <c r="I252" s="317">
        <f t="shared" si="11"/>
        <v>-378332.52357251995</v>
      </c>
      <c r="J252" s="397">
        <f t="shared" si="12"/>
        <v>238867.14547837296</v>
      </c>
      <c r="K252" s="532">
        <f t="shared" si="13"/>
        <v>-139465.37809414699</v>
      </c>
    </row>
    <row r="253" spans="1:11" x14ac:dyDescent="0.25">
      <c r="A253" s="38">
        <f>Données!A247</f>
        <v>5831</v>
      </c>
      <c r="B253" s="27" t="str">
        <f>Données!B247</f>
        <v>Valbroye</v>
      </c>
      <c r="C253" s="26">
        <f>Ecrêtage!C247</f>
        <v>83737.262655956278</v>
      </c>
      <c r="D253" s="12">
        <f>Données!Z247</f>
        <v>3373</v>
      </c>
      <c r="E253" s="8">
        <f>Population!K250</f>
        <v>-1003359.1549295774</v>
      </c>
      <c r="F253" s="239">
        <f>Solidarité!I247</f>
        <v>-1429957.7815429305</v>
      </c>
      <c r="G253" s="8">
        <f>DT!O247</f>
        <v>-787622.17406426242</v>
      </c>
      <c r="H253" s="239">
        <f>Effort!K247+Aide!I247+Taux!J247</f>
        <v>0</v>
      </c>
      <c r="I253" s="317">
        <f t="shared" si="11"/>
        <v>-3220939.1105367704</v>
      </c>
      <c r="J253" s="397">
        <f t="shared" si="12"/>
        <v>1604096.7277177151</v>
      </c>
      <c r="K253" s="532">
        <f t="shared" si="13"/>
        <v>-1616842.3828190553</v>
      </c>
    </row>
    <row r="254" spans="1:11" x14ac:dyDescent="0.25">
      <c r="A254" s="38">
        <f>Données!A248</f>
        <v>5841</v>
      </c>
      <c r="B254" s="27" t="str">
        <f>Données!B248</f>
        <v>Château-d'Oex</v>
      </c>
      <c r="C254" s="26">
        <f>Ecrêtage!C248</f>
        <v>108627.58984858803</v>
      </c>
      <c r="D254" s="12">
        <f>Données!Z248</f>
        <v>3494</v>
      </c>
      <c r="E254" s="8">
        <f>Population!K251</f>
        <v>-1063372.2334004024</v>
      </c>
      <c r="F254" s="239">
        <f>Solidarité!I248</f>
        <v>-1398647.6505345558</v>
      </c>
      <c r="G254" s="8">
        <f>DT!O248</f>
        <v>-2067573.2109084716</v>
      </c>
      <c r="H254" s="239">
        <f>Effort!K248+Aide!I248+Taux!J248</f>
        <v>0</v>
      </c>
      <c r="I254" s="317">
        <f t="shared" si="11"/>
        <v>-4529593.0948434295</v>
      </c>
      <c r="J254" s="397">
        <f t="shared" si="12"/>
        <v>2080903.4817856888</v>
      </c>
      <c r="K254" s="532">
        <f t="shared" si="13"/>
        <v>-2448689.613057741</v>
      </c>
    </row>
    <row r="255" spans="1:11" x14ac:dyDescent="0.25">
      <c r="A255" s="38">
        <f>Données!A249</f>
        <v>5842</v>
      </c>
      <c r="B255" s="27" t="str">
        <f>Données!B249</f>
        <v>Rossinière</v>
      </c>
      <c r="C255" s="26">
        <f>Ecrêtage!C249</f>
        <v>14504.788146274859</v>
      </c>
      <c r="D255" s="12">
        <f>Données!Z249</f>
        <v>537</v>
      </c>
      <c r="E255" s="8">
        <f>Population!K252</f>
        <v>-66584.758551307837</v>
      </c>
      <c r="F255" s="239">
        <f>Solidarité!I249</f>
        <v>-269757.6583669773</v>
      </c>
      <c r="G255" s="8">
        <f>DT!O249</f>
        <v>-380846.77112235082</v>
      </c>
      <c r="H255" s="239">
        <f>Effort!K249+Aide!I249+Taux!J249</f>
        <v>0</v>
      </c>
      <c r="I255" s="317">
        <f t="shared" si="11"/>
        <v>-717189.18804063601</v>
      </c>
      <c r="J255" s="397">
        <f t="shared" si="12"/>
        <v>277858.17763441306</v>
      </c>
      <c r="K255" s="532">
        <f t="shared" si="13"/>
        <v>-439331.01040622295</v>
      </c>
    </row>
    <row r="256" spans="1:11" x14ac:dyDescent="0.25">
      <c r="A256" s="38">
        <f>Données!A250</f>
        <v>5843</v>
      </c>
      <c r="B256" s="27" t="str">
        <f>Données!B250</f>
        <v>Rougemont</v>
      </c>
      <c r="C256" s="26">
        <f>Ecrêtage!C250</f>
        <v>100453.05146272083</v>
      </c>
      <c r="D256" s="12">
        <f>Données!Z250</f>
        <v>863</v>
      </c>
      <c r="E256" s="8">
        <f>Population!K253</f>
        <v>-107006.79074446678</v>
      </c>
      <c r="F256" s="239">
        <f>Solidarité!I250</f>
        <v>0</v>
      </c>
      <c r="G256" s="8">
        <f>DT!O250</f>
        <v>-70868.691223675007</v>
      </c>
      <c r="H256" s="239">
        <f>Effort!K250+Aide!I250+Taux!J250</f>
        <v>-132517.58737397185</v>
      </c>
      <c r="I256" s="317">
        <f t="shared" si="11"/>
        <v>-310393.06934211368</v>
      </c>
      <c r="J256" s="397">
        <f t="shared" si="12"/>
        <v>1924309.513228971</v>
      </c>
      <c r="K256" s="532">
        <f t="shared" si="13"/>
        <v>1613916.4438868575</v>
      </c>
    </row>
    <row r="257" spans="1:11" x14ac:dyDescent="0.25">
      <c r="A257" s="38">
        <f>Données!A251</f>
        <v>5851</v>
      </c>
      <c r="B257" s="27" t="str">
        <f>Données!B251</f>
        <v>Allaman</v>
      </c>
      <c r="C257" s="26">
        <f>Ecrêtage!C251</f>
        <v>24279.81507965273</v>
      </c>
      <c r="D257" s="12">
        <f>Données!Z251</f>
        <v>443</v>
      </c>
      <c r="E257" s="8">
        <f>Population!K254</f>
        <v>-54929.325955734399</v>
      </c>
      <c r="F257" s="239">
        <f>Solidarité!I251</f>
        <v>0</v>
      </c>
      <c r="G257" s="8">
        <f>DT!O251</f>
        <v>0</v>
      </c>
      <c r="H257" s="239">
        <f>Effort!K251+Aide!I251+Taux!J251</f>
        <v>0</v>
      </c>
      <c r="I257" s="317">
        <f t="shared" si="11"/>
        <v>-54929.325955734399</v>
      </c>
      <c r="J257" s="397">
        <f t="shared" si="12"/>
        <v>465111.59648101829</v>
      </c>
      <c r="K257" s="532">
        <f t="shared" si="13"/>
        <v>410182.27052528388</v>
      </c>
    </row>
    <row r="258" spans="1:11" x14ac:dyDescent="0.25">
      <c r="A258" s="38">
        <f>Données!A252</f>
        <v>5852</v>
      </c>
      <c r="B258" s="27" t="str">
        <f>Données!B252</f>
        <v>Bursinel</v>
      </c>
      <c r="C258" s="26">
        <f>Ecrêtage!C252</f>
        <v>40701.690718752099</v>
      </c>
      <c r="D258" s="12">
        <f>Données!Z252</f>
        <v>491</v>
      </c>
      <c r="E258" s="8">
        <f>Population!K255</f>
        <v>-60881.036217303816</v>
      </c>
      <c r="F258" s="239">
        <f>Solidarité!I252</f>
        <v>0</v>
      </c>
      <c r="G258" s="8">
        <f>DT!O252</f>
        <v>0</v>
      </c>
      <c r="H258" s="239">
        <f>Effort!K252+Aide!I252+Taux!J252</f>
        <v>0</v>
      </c>
      <c r="I258" s="317">
        <f t="shared" si="11"/>
        <v>-60881.036217303816</v>
      </c>
      <c r="J258" s="397">
        <f t="shared" si="12"/>
        <v>779694.09106167697</v>
      </c>
      <c r="K258" s="532">
        <f t="shared" si="13"/>
        <v>718813.05484437314</v>
      </c>
    </row>
    <row r="259" spans="1:11" x14ac:dyDescent="0.25">
      <c r="A259" s="38">
        <f>Données!A253</f>
        <v>5853</v>
      </c>
      <c r="B259" s="27" t="str">
        <f>Données!B253</f>
        <v>Bursins</v>
      </c>
      <c r="C259" s="26">
        <f>Ecrêtage!C253</f>
        <v>41997.209489150475</v>
      </c>
      <c r="D259" s="12">
        <f>Données!Z253</f>
        <v>773</v>
      </c>
      <c r="E259" s="8">
        <f>Population!K256</f>
        <v>-95847.334004024131</v>
      </c>
      <c r="F259" s="239">
        <f>Solidarité!I253</f>
        <v>0</v>
      </c>
      <c r="G259" s="8">
        <f>DT!O253</f>
        <v>-4417.3428831371439</v>
      </c>
      <c r="H259" s="239">
        <f>Effort!K253+Aide!I253+Taux!J253</f>
        <v>0</v>
      </c>
      <c r="I259" s="317">
        <f t="shared" si="11"/>
        <v>-100264.67688716127</v>
      </c>
      <c r="J259" s="397">
        <f t="shared" si="12"/>
        <v>804511.44661378243</v>
      </c>
      <c r="K259" s="532">
        <f t="shared" si="13"/>
        <v>704246.76972662122</v>
      </c>
    </row>
    <row r="260" spans="1:11" x14ac:dyDescent="0.25">
      <c r="A260" s="38">
        <f>Données!A254</f>
        <v>5854</v>
      </c>
      <c r="B260" s="27" t="str">
        <f>Données!B254</f>
        <v>Burtigny</v>
      </c>
      <c r="C260" s="26">
        <f>Ecrêtage!C254</f>
        <v>10782.892174980714</v>
      </c>
      <c r="D260" s="12">
        <f>Données!Z254</f>
        <v>404</v>
      </c>
      <c r="E260" s="8">
        <f>Population!K257</f>
        <v>-50093.561368209244</v>
      </c>
      <c r="F260" s="239">
        <f>Solidarité!I254</f>
        <v>-201276.92528258983</v>
      </c>
      <c r="G260" s="8">
        <f>DT!O254</f>
        <v>-36724.477818880179</v>
      </c>
      <c r="H260" s="239">
        <f>Effort!K254+Aide!I254+Taux!J254</f>
        <v>0</v>
      </c>
      <c r="I260" s="317">
        <f t="shared" si="11"/>
        <v>-288094.96446967928</v>
      </c>
      <c r="J260" s="397">
        <f t="shared" si="12"/>
        <v>206560.395033276</v>
      </c>
      <c r="K260" s="532">
        <f t="shared" si="13"/>
        <v>-81534.569436403282</v>
      </c>
    </row>
    <row r="261" spans="1:11" x14ac:dyDescent="0.25">
      <c r="A261" s="38">
        <f>Données!A255</f>
        <v>5855</v>
      </c>
      <c r="B261" s="27" t="str">
        <f>Données!B255</f>
        <v>Dully</v>
      </c>
      <c r="C261" s="26">
        <f>Ecrêtage!C255</f>
        <v>98130.783845823462</v>
      </c>
      <c r="D261" s="12">
        <f>Données!Z255</f>
        <v>628</v>
      </c>
      <c r="E261" s="8">
        <f>Population!K258</f>
        <v>-77868.209255533191</v>
      </c>
      <c r="F261" s="239">
        <f>Solidarité!I255</f>
        <v>0</v>
      </c>
      <c r="G261" s="8">
        <f>DT!O255</f>
        <v>0</v>
      </c>
      <c r="H261" s="239">
        <f>Effort!K255+Aide!I255+Taux!J255</f>
        <v>-31285.179891301559</v>
      </c>
      <c r="I261" s="317">
        <f t="shared" si="11"/>
        <v>-109153.38914683476</v>
      </c>
      <c r="J261" s="397">
        <f t="shared" si="12"/>
        <v>1879823.4413537171</v>
      </c>
      <c r="K261" s="532">
        <f t="shared" si="13"/>
        <v>1770670.0522068823</v>
      </c>
    </row>
    <row r="262" spans="1:11" x14ac:dyDescent="0.25">
      <c r="A262" s="38">
        <f>Données!A256</f>
        <v>5856</v>
      </c>
      <c r="B262" s="27" t="str">
        <f>Données!B256</f>
        <v>Essertines-sur-Rolle</v>
      </c>
      <c r="C262" s="26">
        <f>Ecrêtage!C256</f>
        <v>35711.178597082457</v>
      </c>
      <c r="D262" s="12">
        <f>Données!Z256</f>
        <v>740</v>
      </c>
      <c r="E262" s="8">
        <f>Population!K259</f>
        <v>-91755.533199195153</v>
      </c>
      <c r="F262" s="239">
        <f>Solidarité!I256</f>
        <v>0</v>
      </c>
      <c r="G262" s="8">
        <f>DT!O256</f>
        <v>0</v>
      </c>
      <c r="H262" s="239">
        <f>Effort!K256+Aide!I256+Taux!J256</f>
        <v>0</v>
      </c>
      <c r="I262" s="317">
        <f t="shared" si="11"/>
        <v>-91755.533199195153</v>
      </c>
      <c r="J262" s="397">
        <f t="shared" si="12"/>
        <v>684094.30776213959</v>
      </c>
      <c r="K262" s="532">
        <f t="shared" si="13"/>
        <v>592338.77456294443</v>
      </c>
    </row>
    <row r="263" spans="1:11" x14ac:dyDescent="0.25">
      <c r="A263" s="38">
        <f>Données!A257</f>
        <v>5857</v>
      </c>
      <c r="B263" s="27" t="str">
        <f>Données!B257</f>
        <v>Gilly</v>
      </c>
      <c r="C263" s="26">
        <f>Ecrêtage!C257</f>
        <v>82138.568992248052</v>
      </c>
      <c r="D263" s="12">
        <f>Données!Z257</f>
        <v>1428</v>
      </c>
      <c r="E263" s="8">
        <f>Population!K260</f>
        <v>-272588.32997987926</v>
      </c>
      <c r="F263" s="239">
        <f>Solidarité!I257</f>
        <v>0</v>
      </c>
      <c r="G263" s="8">
        <f>DT!O257</f>
        <v>0</v>
      </c>
      <c r="H263" s="239">
        <f>Effort!K257+Aide!I257+Taux!J257</f>
        <v>0</v>
      </c>
      <c r="I263" s="317">
        <f t="shared" si="11"/>
        <v>-272588.32997987926</v>
      </c>
      <c r="J263" s="397">
        <f t="shared" si="12"/>
        <v>1573471.6607733397</v>
      </c>
      <c r="K263" s="532">
        <f t="shared" si="13"/>
        <v>1300883.3307934604</v>
      </c>
    </row>
    <row r="264" spans="1:11" x14ac:dyDescent="0.25">
      <c r="A264" s="38">
        <f>Données!A258</f>
        <v>5858</v>
      </c>
      <c r="B264" s="27" t="str">
        <f>Données!B258</f>
        <v>Luins</v>
      </c>
      <c r="C264" s="26">
        <f>Ecrêtage!C258</f>
        <v>40277.440146315326</v>
      </c>
      <c r="D264" s="12">
        <f>Données!Z258</f>
        <v>619</v>
      </c>
      <c r="E264" s="8">
        <f>Population!K261</f>
        <v>-76752.263581488922</v>
      </c>
      <c r="F264" s="239">
        <f>Solidarité!I258</f>
        <v>0</v>
      </c>
      <c r="G264" s="8">
        <f>DT!O258</f>
        <v>0</v>
      </c>
      <c r="H264" s="239">
        <f>Effort!K258+Aide!I258+Taux!J258</f>
        <v>0</v>
      </c>
      <c r="I264" s="317">
        <f t="shared" si="11"/>
        <v>-76752.263581488922</v>
      </c>
      <c r="J264" s="397">
        <f t="shared" si="12"/>
        <v>771567.01676532382</v>
      </c>
      <c r="K264" s="532">
        <f t="shared" si="13"/>
        <v>694814.75318383495</v>
      </c>
    </row>
    <row r="265" spans="1:11" x14ac:dyDescent="0.25">
      <c r="A265" s="38">
        <f>Données!A259</f>
        <v>5859</v>
      </c>
      <c r="B265" s="27" t="str">
        <f>Données!B259</f>
        <v>Mont-sur-Rolle</v>
      </c>
      <c r="C265" s="26">
        <f>Ecrêtage!C259</f>
        <v>146440.66164065379</v>
      </c>
      <c r="D265" s="12">
        <f>Données!Z259</f>
        <v>2646</v>
      </c>
      <c r="E265" s="8">
        <f>Population!K262</f>
        <v>-695457.34406438621</v>
      </c>
      <c r="F265" s="239">
        <f>Solidarité!I259</f>
        <v>0</v>
      </c>
      <c r="G265" s="8">
        <f>DT!O259</f>
        <v>0</v>
      </c>
      <c r="H265" s="239">
        <f>Effort!K259+Aide!I259+Taux!J259</f>
        <v>0</v>
      </c>
      <c r="I265" s="317">
        <f t="shared" si="11"/>
        <v>-695457.34406438621</v>
      </c>
      <c r="J265" s="397">
        <f t="shared" si="12"/>
        <v>2805262.3012973657</v>
      </c>
      <c r="K265" s="532">
        <f t="shared" si="13"/>
        <v>2109804.9572329796</v>
      </c>
    </row>
    <row r="266" spans="1:11" x14ac:dyDescent="0.25">
      <c r="A266" s="38">
        <f>Données!A260</f>
        <v>5860</v>
      </c>
      <c r="B266" s="27" t="str">
        <f>Données!B260</f>
        <v>Perroy</v>
      </c>
      <c r="C266" s="26">
        <f>Ecrêtage!C260</f>
        <v>110194.28576674461</v>
      </c>
      <c r="D266" s="12">
        <f>Données!Z260</f>
        <v>1518</v>
      </c>
      <c r="E266" s="8">
        <f>Population!K263</f>
        <v>-303834.80885311868</v>
      </c>
      <c r="F266" s="239">
        <f>Solidarité!I260</f>
        <v>0</v>
      </c>
      <c r="G266" s="8">
        <f>DT!O260</f>
        <v>0</v>
      </c>
      <c r="H266" s="239">
        <f>Effort!K260+Aide!I260+Taux!J260</f>
        <v>0</v>
      </c>
      <c r="I266" s="317">
        <f t="shared" si="11"/>
        <v>-303834.80885311868</v>
      </c>
      <c r="J266" s="397">
        <f t="shared" si="12"/>
        <v>2110915.5900864955</v>
      </c>
      <c r="K266" s="532">
        <f t="shared" si="13"/>
        <v>1807080.7812333768</v>
      </c>
    </row>
    <row r="267" spans="1:11" x14ac:dyDescent="0.25">
      <c r="A267" s="38">
        <f>Données!A261</f>
        <v>5861</v>
      </c>
      <c r="B267" s="27" t="str">
        <f>Données!B261</f>
        <v>Rolle</v>
      </c>
      <c r="C267" s="26">
        <f>Ecrêtage!C261</f>
        <v>663825.23287759279</v>
      </c>
      <c r="D267" s="12">
        <f>Données!Z261</f>
        <v>6259</v>
      </c>
      <c r="E267" s="8">
        <f>Population!K264</f>
        <v>-2559632.1931589535</v>
      </c>
      <c r="F267" s="239">
        <f>Solidarité!I261</f>
        <v>0</v>
      </c>
      <c r="G267" s="8">
        <f>DT!O261</f>
        <v>0</v>
      </c>
      <c r="H267" s="239">
        <f>Effort!K261+Aide!I261+Taux!J261</f>
        <v>0</v>
      </c>
      <c r="I267" s="317">
        <f t="shared" si="11"/>
        <v>-2559632.1931589535</v>
      </c>
      <c r="J267" s="397">
        <f t="shared" si="12"/>
        <v>12716440.08964573</v>
      </c>
      <c r="K267" s="532">
        <f t="shared" si="13"/>
        <v>10156807.896486778</v>
      </c>
    </row>
    <row r="268" spans="1:11" x14ac:dyDescent="0.25">
      <c r="A268" s="38">
        <f>Données!A262</f>
        <v>5862</v>
      </c>
      <c r="B268" s="27" t="str">
        <f>Données!B262</f>
        <v>Tartegnin</v>
      </c>
      <c r="C268" s="26">
        <f>Ecrêtage!C262</f>
        <v>8093.970937390457</v>
      </c>
      <c r="D268" s="12">
        <f>Données!Z262</f>
        <v>236</v>
      </c>
      <c r="E268" s="8">
        <f>Population!K265</f>
        <v>-29262.575452716294</v>
      </c>
      <c r="F268" s="239">
        <f>Solidarité!I262</f>
        <v>-69890.781366394163</v>
      </c>
      <c r="G268" s="8">
        <f>DT!O262</f>
        <v>0</v>
      </c>
      <c r="H268" s="239">
        <f>Effort!K262+Aide!I262+Taux!J262</f>
        <v>0</v>
      </c>
      <c r="I268" s="317">
        <f t="shared" si="11"/>
        <v>-99153.356819110457</v>
      </c>
      <c r="J268" s="397">
        <f t="shared" si="12"/>
        <v>155050.59376319122</v>
      </c>
      <c r="K268" s="532">
        <f t="shared" si="13"/>
        <v>55897.236944080767</v>
      </c>
    </row>
    <row r="269" spans="1:11" x14ac:dyDescent="0.25">
      <c r="A269" s="38">
        <f>Données!A263</f>
        <v>5863</v>
      </c>
      <c r="B269" s="27" t="str">
        <f>Données!B263</f>
        <v>Vinzel</v>
      </c>
      <c r="C269" s="26">
        <f>Ecrêtage!C263</f>
        <v>21922.221840386148</v>
      </c>
      <c r="D269" s="12">
        <f>Données!Z263</f>
        <v>385</v>
      </c>
      <c r="E269" s="8">
        <f>Population!K266</f>
        <v>-47737.676056338023</v>
      </c>
      <c r="F269" s="239">
        <f>Solidarité!I263</f>
        <v>0</v>
      </c>
      <c r="G269" s="8">
        <f>DT!O263</f>
        <v>0</v>
      </c>
      <c r="H269" s="239">
        <f>Effort!K263+Aide!I263+Taux!J263</f>
        <v>0</v>
      </c>
      <c r="I269" s="317">
        <f t="shared" ref="I269:I312" si="14">SUM(E269:H269)</f>
        <v>-47737.676056338023</v>
      </c>
      <c r="J269" s="397">
        <f t="shared" ref="J269:J312" si="15">C269*$J$11</f>
        <v>419948.81613154709</v>
      </c>
      <c r="K269" s="532">
        <f t="shared" ref="K269:K312" si="16">I269+J269</f>
        <v>372211.14007520908</v>
      </c>
    </row>
    <row r="270" spans="1:11" x14ac:dyDescent="0.25">
      <c r="A270" s="38">
        <f>Données!A264</f>
        <v>5871</v>
      </c>
      <c r="B270" s="27" t="str">
        <f>Données!B264</f>
        <v>L'Abbaye</v>
      </c>
      <c r="C270" s="26">
        <f>Ecrêtage!C264</f>
        <v>49484.284679945325</v>
      </c>
      <c r="D270" s="12">
        <f>Données!Z264</f>
        <v>1473</v>
      </c>
      <c r="E270" s="8">
        <f>Population!K267</f>
        <v>-288211.56941649894</v>
      </c>
      <c r="F270" s="239">
        <f>Solidarité!I264</f>
        <v>-445332.54162268562</v>
      </c>
      <c r="G270" s="8">
        <f>DT!O264</f>
        <v>-349766.04192032805</v>
      </c>
      <c r="H270" s="239">
        <f>Effort!K264+Aide!I264+Taux!J264</f>
        <v>0</v>
      </c>
      <c r="I270" s="317">
        <f t="shared" si="14"/>
        <v>-1083310.1529595125</v>
      </c>
      <c r="J270" s="397">
        <f t="shared" si="15"/>
        <v>947936.15901541512</v>
      </c>
      <c r="K270" s="532">
        <f t="shared" si="16"/>
        <v>-135373.99394409743</v>
      </c>
    </row>
    <row r="271" spans="1:11" x14ac:dyDescent="0.25">
      <c r="A271" s="38">
        <f>Données!A265</f>
        <v>5872</v>
      </c>
      <c r="B271" s="27" t="str">
        <f>Données!B265</f>
        <v>Le Chenit</v>
      </c>
      <c r="C271" s="26">
        <f>Ecrêtage!C265</f>
        <v>234098.82523259622</v>
      </c>
      <c r="D271" s="12">
        <f>Données!Z265</f>
        <v>4600</v>
      </c>
      <c r="E271" s="8">
        <f>Population!K268</f>
        <v>-1611921.5291750501</v>
      </c>
      <c r="F271" s="239">
        <f>Solidarité!I265</f>
        <v>0</v>
      </c>
      <c r="G271" s="8">
        <f>DT!O265</f>
        <v>-1538249.6796799756</v>
      </c>
      <c r="H271" s="239">
        <f>Effort!K265+Aide!I265+Taux!J265</f>
        <v>0</v>
      </c>
      <c r="I271" s="317">
        <f t="shared" si="14"/>
        <v>-3150171.2088550255</v>
      </c>
      <c r="J271" s="397">
        <f t="shared" si="15"/>
        <v>4484469.0118546421</v>
      </c>
      <c r="K271" s="532">
        <f t="shared" si="16"/>
        <v>1334297.8029996166</v>
      </c>
    </row>
    <row r="272" spans="1:11" x14ac:dyDescent="0.25">
      <c r="A272" s="38">
        <f>Données!A266</f>
        <v>5873</v>
      </c>
      <c r="B272" s="27" t="str">
        <f>Données!B266</f>
        <v>Le Lieu</v>
      </c>
      <c r="C272" s="26">
        <f>Ecrêtage!C266</f>
        <v>30412.639654224466</v>
      </c>
      <c r="D272" s="12">
        <f>Données!Z266</f>
        <v>888</v>
      </c>
      <c r="E272" s="8">
        <f>Population!K269</f>
        <v>-110106.63983903419</v>
      </c>
      <c r="F272" s="239">
        <f>Solidarité!I266</f>
        <v>-207307.65952940681</v>
      </c>
      <c r="G272" s="8">
        <f>DT!O266</f>
        <v>-693320.43233398488</v>
      </c>
      <c r="H272" s="239">
        <f>Effort!K266+Aide!I266+Taux!J266</f>
        <v>0</v>
      </c>
      <c r="I272" s="317">
        <f t="shared" si="14"/>
        <v>-1010734.7317024259</v>
      </c>
      <c r="J272" s="397">
        <f t="shared" si="15"/>
        <v>582593.86804936826</v>
      </c>
      <c r="K272" s="532">
        <f t="shared" si="16"/>
        <v>-428140.8636530576</v>
      </c>
    </row>
    <row r="273" spans="1:11" x14ac:dyDescent="0.25">
      <c r="A273" s="38">
        <f>Données!A267</f>
        <v>5882</v>
      </c>
      <c r="B273" s="27" t="str">
        <f>Données!B267</f>
        <v>Chardonne</v>
      </c>
      <c r="C273" s="26">
        <f>Ecrêtage!C267</f>
        <v>178990.25503852809</v>
      </c>
      <c r="D273" s="12">
        <f>Données!Z267</f>
        <v>3093</v>
      </c>
      <c r="E273" s="8">
        <f>Population!K270</f>
        <v>-864485.91549295769</v>
      </c>
      <c r="F273" s="239">
        <f>Solidarité!I267</f>
        <v>0</v>
      </c>
      <c r="G273" s="8">
        <f>DT!O267</f>
        <v>-384631.46976883145</v>
      </c>
      <c r="H273" s="239">
        <f>Effort!K267+Aide!I267+Taux!J267</f>
        <v>0</v>
      </c>
      <c r="I273" s="317">
        <f t="shared" si="14"/>
        <v>-1249117.3852617892</v>
      </c>
      <c r="J273" s="397">
        <f t="shared" si="15"/>
        <v>3428792.3117372091</v>
      </c>
      <c r="K273" s="532">
        <f t="shared" si="16"/>
        <v>2179674.9264754197</v>
      </c>
    </row>
    <row r="274" spans="1:11" x14ac:dyDescent="0.25">
      <c r="A274" s="38">
        <f>Données!A268</f>
        <v>5883</v>
      </c>
      <c r="B274" s="27" t="str">
        <f>Données!B268</f>
        <v>Corseaux</v>
      </c>
      <c r="C274" s="26">
        <f>Ecrêtage!C268</f>
        <v>167834.94979180559</v>
      </c>
      <c r="D274" s="12">
        <f>Données!Z268</f>
        <v>2311</v>
      </c>
      <c r="E274" s="8">
        <f>Population!K271</f>
        <v>-579151.00603621721</v>
      </c>
      <c r="F274" s="239">
        <f>Solidarité!I268</f>
        <v>0</v>
      </c>
      <c r="G274" s="8">
        <f>DT!O268</f>
        <v>0</v>
      </c>
      <c r="H274" s="239">
        <f>Effort!K268+Aide!I268+Taux!J268</f>
        <v>0</v>
      </c>
      <c r="I274" s="317">
        <f t="shared" si="14"/>
        <v>-579151.00603621721</v>
      </c>
      <c r="J274" s="397">
        <f t="shared" si="15"/>
        <v>3215097.8574954928</v>
      </c>
      <c r="K274" s="532">
        <f t="shared" si="16"/>
        <v>2635946.8514592755</v>
      </c>
    </row>
    <row r="275" spans="1:11" x14ac:dyDescent="0.25">
      <c r="A275" s="38">
        <f>Données!A269</f>
        <v>5884</v>
      </c>
      <c r="B275" s="27" t="str">
        <f>Données!B269</f>
        <v>Corsier-sur-Vevey</v>
      </c>
      <c r="C275" s="26">
        <f>Ecrêtage!C269</f>
        <v>122060.78000997694</v>
      </c>
      <c r="D275" s="12">
        <f>Données!Z269</f>
        <v>3420</v>
      </c>
      <c r="E275" s="8">
        <f>Population!K272</f>
        <v>-1026670.0201207242</v>
      </c>
      <c r="F275" s="239">
        <f>Solidarité!I269</f>
        <v>-623944.36045589298</v>
      </c>
      <c r="G275" s="8">
        <f>DT!O269</f>
        <v>-1319177.8199401384</v>
      </c>
      <c r="H275" s="239">
        <f>Effort!K269+Aide!I269+Taux!J269</f>
        <v>0</v>
      </c>
      <c r="I275" s="317">
        <f t="shared" si="14"/>
        <v>-2969792.2005167557</v>
      </c>
      <c r="J275" s="397">
        <f t="shared" si="15"/>
        <v>2338233.7992242542</v>
      </c>
      <c r="K275" s="532">
        <f t="shared" si="16"/>
        <v>-631558.40129250148</v>
      </c>
    </row>
    <row r="276" spans="1:11" x14ac:dyDescent="0.25">
      <c r="A276" s="38">
        <f>Données!A270</f>
        <v>5885</v>
      </c>
      <c r="B276" s="27" t="str">
        <f>Données!B270</f>
        <v>Jongny</v>
      </c>
      <c r="C276" s="26">
        <f>Ecrêtage!C270</f>
        <v>85101.147065913159</v>
      </c>
      <c r="D276" s="12">
        <f>Données!Z270</f>
        <v>1670</v>
      </c>
      <c r="E276" s="8">
        <f>Population!K273</f>
        <v>-356606.63983903418</v>
      </c>
      <c r="F276" s="239">
        <f>Solidarité!I270</f>
        <v>0</v>
      </c>
      <c r="G276" s="8">
        <f>DT!O270</f>
        <v>-73656.617604521045</v>
      </c>
      <c r="H276" s="239">
        <f>Effort!K270+Aide!I270+Taux!J270</f>
        <v>0</v>
      </c>
      <c r="I276" s="317">
        <f t="shared" si="14"/>
        <v>-430263.25744355522</v>
      </c>
      <c r="J276" s="397">
        <f t="shared" si="15"/>
        <v>1630223.7164632855</v>
      </c>
      <c r="K276" s="532">
        <f t="shared" si="16"/>
        <v>1199960.4590197303</v>
      </c>
    </row>
    <row r="277" spans="1:11" x14ac:dyDescent="0.25">
      <c r="A277" s="38">
        <f>Données!A271</f>
        <v>5886</v>
      </c>
      <c r="B277" s="27" t="str">
        <f>Données!B271</f>
        <v>Montreux</v>
      </c>
      <c r="C277" s="26">
        <f>Ecrêtage!C271</f>
        <v>1096049.6436560636</v>
      </c>
      <c r="D277" s="12">
        <f>Données!Z271</f>
        <v>26180</v>
      </c>
      <c r="E277" s="8">
        <f>Population!K274</f>
        <v>-21340849.094567403</v>
      </c>
      <c r="F277" s="239">
        <f>Solidarité!I271</f>
        <v>-1903081.9359953643</v>
      </c>
      <c r="G277" s="8">
        <f>DT!O271</f>
        <v>-6330744.155321571</v>
      </c>
      <c r="H277" s="239">
        <f>Effort!K271+Aide!I271+Taux!J271</f>
        <v>0</v>
      </c>
      <c r="I277" s="317">
        <f t="shared" si="14"/>
        <v>-29574675.185884338</v>
      </c>
      <c r="J277" s="397">
        <f t="shared" si="15"/>
        <v>20996263.682853978</v>
      </c>
      <c r="K277" s="532">
        <f t="shared" si="16"/>
        <v>-8578411.5030303597</v>
      </c>
    </row>
    <row r="278" spans="1:11" x14ac:dyDescent="0.25">
      <c r="A278" s="38">
        <f>Données!A272</f>
        <v>5889</v>
      </c>
      <c r="B278" s="27" t="str">
        <f>Données!B272</f>
        <v>La Tour-de-Peilz</v>
      </c>
      <c r="C278" s="26">
        <f>Ecrêtage!C272</f>
        <v>674464.00637600874</v>
      </c>
      <c r="D278" s="12">
        <f>Données!Z272</f>
        <v>12088</v>
      </c>
      <c r="E278" s="8">
        <f>Population!K275</f>
        <v>-6807764.5875251498</v>
      </c>
      <c r="F278" s="239">
        <f>Solidarité!I272</f>
        <v>0</v>
      </c>
      <c r="G278" s="8">
        <f>DT!O272</f>
        <v>-146804.96174394758</v>
      </c>
      <c r="H278" s="239">
        <f>Effort!K272+Aide!I272+Taux!J272</f>
        <v>0</v>
      </c>
      <c r="I278" s="317">
        <f t="shared" si="14"/>
        <v>-6954569.5492690969</v>
      </c>
      <c r="J278" s="397">
        <f t="shared" si="15"/>
        <v>12920239.703037143</v>
      </c>
      <c r="K278" s="532">
        <f t="shared" si="16"/>
        <v>5965670.1537680458</v>
      </c>
    </row>
    <row r="279" spans="1:11" x14ac:dyDescent="0.25">
      <c r="A279" s="38">
        <f>Données!A273</f>
        <v>5890</v>
      </c>
      <c r="B279" s="27" t="str">
        <f>Données!B273</f>
        <v>Vevey</v>
      </c>
      <c r="C279" s="26">
        <f>Ecrêtage!C273</f>
        <v>858874.45047675935</v>
      </c>
      <c r="D279" s="12">
        <f>Données!Z273</f>
        <v>19780</v>
      </c>
      <c r="E279" s="8">
        <f>Population!K276</f>
        <v>-14674933.601609655</v>
      </c>
      <c r="F279" s="239">
        <f>Solidarité!I273</f>
        <v>-1206510.8010689532</v>
      </c>
      <c r="G279" s="8">
        <f>DT!O273</f>
        <v>-3739286.5471394439</v>
      </c>
      <c r="H279" s="239">
        <f>Effort!K273+Aide!I273+Taux!J273</f>
        <v>0</v>
      </c>
      <c r="I279" s="317">
        <f t="shared" si="14"/>
        <v>-19620730.949818052</v>
      </c>
      <c r="J279" s="397">
        <f t="shared" si="15"/>
        <v>16452862.821544867</v>
      </c>
      <c r="K279" s="532">
        <f t="shared" si="16"/>
        <v>-3167868.1282731853</v>
      </c>
    </row>
    <row r="280" spans="1:11" x14ac:dyDescent="0.25">
      <c r="A280" s="38">
        <f>Données!A274</f>
        <v>5891</v>
      </c>
      <c r="B280" s="27" t="str">
        <f>Données!B274</f>
        <v>Veytaux</v>
      </c>
      <c r="C280" s="26">
        <f>Ecrêtage!C274</f>
        <v>43940.417859726374</v>
      </c>
      <c r="D280" s="12">
        <f>Données!Z274</f>
        <v>956</v>
      </c>
      <c r="E280" s="8">
        <f>Population!K277</f>
        <v>-118538.22937625753</v>
      </c>
      <c r="F280" s="239">
        <f>Solidarité!I274</f>
        <v>-3853.9538240508764</v>
      </c>
      <c r="G280" s="8">
        <f>DT!O274</f>
        <v>-457237.679446847</v>
      </c>
      <c r="H280" s="239">
        <f>Effort!K274+Aide!I274+Taux!J274</f>
        <v>0</v>
      </c>
      <c r="I280" s="317">
        <f t="shared" si="14"/>
        <v>-579629.86264715542</v>
      </c>
      <c r="J280" s="397">
        <f t="shared" si="15"/>
        <v>841736.1431186276</v>
      </c>
      <c r="K280" s="532">
        <f t="shared" si="16"/>
        <v>262106.28047147219</v>
      </c>
    </row>
    <row r="281" spans="1:11" x14ac:dyDescent="0.25">
      <c r="A281" s="38">
        <f>Données!A275</f>
        <v>5892</v>
      </c>
      <c r="B281" s="27" t="str">
        <f>Données!B275</f>
        <v>Blonay-Saint-Légier</v>
      </c>
      <c r="C281" s="26">
        <f>Ecrêtage!C275</f>
        <v>693176.17061999615</v>
      </c>
      <c r="D281" s="12">
        <f>Données!Z275</f>
        <v>11737</v>
      </c>
      <c r="E281" s="8">
        <f>Population!K278</f>
        <v>-6498722.0321931578</v>
      </c>
      <c r="F281" s="239">
        <f>Solidarité!I275</f>
        <v>0</v>
      </c>
      <c r="G281" s="8">
        <f>DT!O275</f>
        <v>-1876062.3483150261</v>
      </c>
      <c r="H281" s="239">
        <f>Effort!K275+Aide!I275+Taux!J275</f>
        <v>0</v>
      </c>
      <c r="I281" s="317">
        <f t="shared" si="14"/>
        <v>-8374784.3805081844</v>
      </c>
      <c r="J281" s="397">
        <f t="shared" si="15"/>
        <v>13278695.669714978</v>
      </c>
      <c r="K281" s="532">
        <f t="shared" si="16"/>
        <v>4903911.2892067935</v>
      </c>
    </row>
    <row r="282" spans="1:11" x14ac:dyDescent="0.25">
      <c r="A282" s="38">
        <f>Données!A276</f>
        <v>5902</v>
      </c>
      <c r="B282" s="27" t="str">
        <f>Données!B276</f>
        <v>Belmont-sur-Yverdon</v>
      </c>
      <c r="C282" s="26">
        <f>Ecrêtage!C276</f>
        <v>11718.07192496429</v>
      </c>
      <c r="D282" s="12">
        <f>Données!Z276</f>
        <v>396</v>
      </c>
      <c r="E282" s="8">
        <f>Population!K279</f>
        <v>-49101.60965794768</v>
      </c>
      <c r="F282" s="239">
        <f>Solidarité!I276</f>
        <v>-128559.63422934961</v>
      </c>
      <c r="G282" s="8">
        <f>DT!O276</f>
        <v>-4393.4460562767827</v>
      </c>
      <c r="H282" s="239">
        <f>Effort!K276+Aide!I276+Taux!J276</f>
        <v>0</v>
      </c>
      <c r="I282" s="317">
        <f t="shared" si="14"/>
        <v>-182054.68994357408</v>
      </c>
      <c r="J282" s="397">
        <f t="shared" si="15"/>
        <v>224474.98561333743</v>
      </c>
      <c r="K282" s="532">
        <f t="shared" si="16"/>
        <v>42420.295669763349</v>
      </c>
    </row>
    <row r="283" spans="1:11" x14ac:dyDescent="0.25">
      <c r="A283" s="38">
        <f>Données!A277</f>
        <v>5903</v>
      </c>
      <c r="B283" s="27" t="str">
        <f>Données!B277</f>
        <v>Bioley-Magnoux</v>
      </c>
      <c r="C283" s="26">
        <f>Ecrêtage!C277</f>
        <v>5023.7843849206347</v>
      </c>
      <c r="D283" s="12">
        <f>Données!Z277</f>
        <v>230</v>
      </c>
      <c r="E283" s="8">
        <f>Population!K280</f>
        <v>-28518.611670020116</v>
      </c>
      <c r="F283" s="239">
        <f>Solidarité!I277</f>
        <v>-115913.29918445405</v>
      </c>
      <c r="G283" s="8">
        <f>DT!O277</f>
        <v>-138987.70540178573</v>
      </c>
      <c r="H283" s="239">
        <f>Effort!K277+Aide!I277+Taux!J277</f>
        <v>0</v>
      </c>
      <c r="I283" s="317">
        <f t="shared" si="14"/>
        <v>-283419.61625625991</v>
      </c>
      <c r="J283" s="397">
        <f t="shared" si="15"/>
        <v>96237.156995689409</v>
      </c>
      <c r="K283" s="532">
        <f t="shared" si="16"/>
        <v>-187182.4592605705</v>
      </c>
    </row>
    <row r="284" spans="1:11" x14ac:dyDescent="0.25">
      <c r="A284" s="38">
        <f>Données!A278</f>
        <v>5904</v>
      </c>
      <c r="B284" s="27" t="str">
        <f>Données!B278</f>
        <v>Chamblon</v>
      </c>
      <c r="C284" s="26">
        <f>Ecrêtage!C278</f>
        <v>21692.89514545034</v>
      </c>
      <c r="D284" s="12">
        <f>Données!Z278</f>
        <v>559</v>
      </c>
      <c r="E284" s="8">
        <f>Population!K281</f>
        <v>-69312.625754527151</v>
      </c>
      <c r="F284" s="239">
        <f>Solidarité!I278</f>
        <v>-71661.977059914061</v>
      </c>
      <c r="G284" s="8">
        <f>DT!O278</f>
        <v>0</v>
      </c>
      <c r="H284" s="239">
        <f>Effort!K278+Aide!I278+Taux!J278</f>
        <v>0</v>
      </c>
      <c r="I284" s="317">
        <f t="shared" si="14"/>
        <v>-140974.6028144412</v>
      </c>
      <c r="J284" s="397">
        <f t="shared" si="15"/>
        <v>415555.76351366716</v>
      </c>
      <c r="K284" s="532">
        <f t="shared" si="16"/>
        <v>274581.16069922596</v>
      </c>
    </row>
    <row r="285" spans="1:11" x14ac:dyDescent="0.25">
      <c r="A285" s="38">
        <f>Données!A279</f>
        <v>5905</v>
      </c>
      <c r="B285" s="27" t="str">
        <f>Données!B279</f>
        <v>Champvent</v>
      </c>
      <c r="C285" s="26">
        <f>Ecrêtage!C279</f>
        <v>21633.757449586756</v>
      </c>
      <c r="D285" s="12">
        <f>Données!Z279</f>
        <v>696</v>
      </c>
      <c r="E285" s="8">
        <f>Population!K282</f>
        <v>-86299.798792756526</v>
      </c>
      <c r="F285" s="239">
        <f>Solidarité!I279</f>
        <v>-211539.23565332827</v>
      </c>
      <c r="G285" s="8">
        <f>DT!O279</f>
        <v>-89019.705302479473</v>
      </c>
      <c r="H285" s="239">
        <f>Effort!K279+Aide!I279+Taux!J279</f>
        <v>0</v>
      </c>
      <c r="I285" s="317">
        <f t="shared" si="14"/>
        <v>-386858.73974856432</v>
      </c>
      <c r="J285" s="397">
        <f t="shared" si="15"/>
        <v>414422.90364446776</v>
      </c>
      <c r="K285" s="532">
        <f t="shared" si="16"/>
        <v>27564.163895903446</v>
      </c>
    </row>
    <row r="286" spans="1:11" x14ac:dyDescent="0.25">
      <c r="A286" s="38">
        <f>Données!A280</f>
        <v>5907</v>
      </c>
      <c r="B286" s="27" t="str">
        <f>Données!B280</f>
        <v>Chavannes-le-Chêne</v>
      </c>
      <c r="C286" s="26">
        <f>Ecrêtage!C280</f>
        <v>9890.8899187559018</v>
      </c>
      <c r="D286" s="12">
        <f>Données!Z280</f>
        <v>324</v>
      </c>
      <c r="E286" s="8">
        <f>Population!K283</f>
        <v>-40174.044265593555</v>
      </c>
      <c r="F286" s="239">
        <f>Solidarité!I280</f>
        <v>-113929.29427678774</v>
      </c>
      <c r="G286" s="8">
        <f>DT!O280</f>
        <v>-48473.910487464585</v>
      </c>
      <c r="H286" s="239">
        <f>Effort!K280+Aide!I280+Taux!J280</f>
        <v>0</v>
      </c>
      <c r="I286" s="317">
        <f t="shared" si="14"/>
        <v>-202577.24902984587</v>
      </c>
      <c r="J286" s="397">
        <f t="shared" si="15"/>
        <v>189472.92578788311</v>
      </c>
      <c r="K286" s="532">
        <f t="shared" si="16"/>
        <v>-13104.32324196276</v>
      </c>
    </row>
    <row r="287" spans="1:11" x14ac:dyDescent="0.25">
      <c r="A287" s="38">
        <f>Données!A281</f>
        <v>5908</v>
      </c>
      <c r="B287" s="27" t="str">
        <f>Données!B281</f>
        <v>Chêne-Pâquier</v>
      </c>
      <c r="C287" s="26">
        <f>Ecrêtage!C281</f>
        <v>6502.346088577403</v>
      </c>
      <c r="D287" s="12">
        <f>Données!Z281</f>
        <v>144</v>
      </c>
      <c r="E287" s="8">
        <f>Population!K284</f>
        <v>-17855.130784708246</v>
      </c>
      <c r="F287" s="239">
        <f>Solidarité!I281</f>
        <v>-3650.25164664775</v>
      </c>
      <c r="G287" s="8">
        <f>DT!O281</f>
        <v>-6727.2404335669471</v>
      </c>
      <c r="H287" s="239">
        <f>Effort!K281+Aide!I281+Taux!J281</f>
        <v>-88927.413426896397</v>
      </c>
      <c r="I287" s="317">
        <f t="shared" si="14"/>
        <v>-117160.03629181934</v>
      </c>
      <c r="J287" s="397">
        <f t="shared" si="15"/>
        <v>124560.93920850393</v>
      </c>
      <c r="K287" s="532">
        <f t="shared" si="16"/>
        <v>7400.9029166845867</v>
      </c>
    </row>
    <row r="288" spans="1:11" x14ac:dyDescent="0.25">
      <c r="A288" s="38">
        <f>Données!A282</f>
        <v>5909</v>
      </c>
      <c r="B288" s="27" t="str">
        <f>Données!B282</f>
        <v>Cheseaux-Noréaz</v>
      </c>
      <c r="C288" s="26">
        <f>Ecrêtage!C282</f>
        <v>39252.843107523055</v>
      </c>
      <c r="D288" s="12">
        <f>Données!Z282</f>
        <v>741</v>
      </c>
      <c r="E288" s="8">
        <f>Population!K285</f>
        <v>-91879.527162977858</v>
      </c>
      <c r="F288" s="239">
        <f>Solidarité!I282</f>
        <v>0</v>
      </c>
      <c r="G288" s="8">
        <f>DT!O282</f>
        <v>-28384.691354861672</v>
      </c>
      <c r="H288" s="239">
        <f>Effort!K282+Aide!I282+Taux!J282</f>
        <v>0</v>
      </c>
      <c r="I288" s="317">
        <f t="shared" si="14"/>
        <v>-120264.21851783953</v>
      </c>
      <c r="J288" s="397">
        <f t="shared" si="15"/>
        <v>751939.52113164566</v>
      </c>
      <c r="K288" s="532">
        <f t="shared" si="16"/>
        <v>631675.3026138061</v>
      </c>
    </row>
    <row r="289" spans="1:11" x14ac:dyDescent="0.25">
      <c r="A289" s="38">
        <f>Données!A283</f>
        <v>5910</v>
      </c>
      <c r="B289" s="27" t="str">
        <f>Données!B283</f>
        <v>Cronay</v>
      </c>
      <c r="C289" s="26">
        <f>Ecrêtage!C283</f>
        <v>9974.6879714090483</v>
      </c>
      <c r="D289" s="12">
        <f>Données!Z283</f>
        <v>393</v>
      </c>
      <c r="E289" s="8">
        <f>Population!K286</f>
        <v>-48729.627766599588</v>
      </c>
      <c r="F289" s="239">
        <f>Solidarité!I283</f>
        <v>-193579.19342561084</v>
      </c>
      <c r="G289" s="8">
        <f>DT!O283</f>
        <v>-100337.85619298893</v>
      </c>
      <c r="H289" s="239">
        <f>Effort!K283+Aide!I283+Taux!J283</f>
        <v>0</v>
      </c>
      <c r="I289" s="317">
        <f t="shared" si="14"/>
        <v>-342646.67738519935</v>
      </c>
      <c r="J289" s="397">
        <f t="shared" si="15"/>
        <v>191078.18702746183</v>
      </c>
      <c r="K289" s="532">
        <f t="shared" si="16"/>
        <v>-151568.49035773752</v>
      </c>
    </row>
    <row r="290" spans="1:11" x14ac:dyDescent="0.25">
      <c r="A290" s="38">
        <f>Données!A284</f>
        <v>5911</v>
      </c>
      <c r="B290" s="27" t="str">
        <f>Données!B284</f>
        <v>Cuarny</v>
      </c>
      <c r="C290" s="26">
        <f>Ecrêtage!C284</f>
        <v>6938.982891321557</v>
      </c>
      <c r="D290" s="12">
        <f>Données!Z284</f>
        <v>234</v>
      </c>
      <c r="E290" s="8">
        <f>Population!K287</f>
        <v>-29014.587525150899</v>
      </c>
      <c r="F290" s="239">
        <f>Solidarité!I284</f>
        <v>-91572.636963602228</v>
      </c>
      <c r="G290" s="8">
        <f>DT!O284</f>
        <v>-8523.1154835794914</v>
      </c>
      <c r="H290" s="239">
        <f>Effort!K284+Aide!I284+Taux!J284</f>
        <v>0</v>
      </c>
      <c r="I290" s="317">
        <f t="shared" si="14"/>
        <v>-129110.33997233261</v>
      </c>
      <c r="J290" s="397">
        <f t="shared" si="15"/>
        <v>132925.28793770378</v>
      </c>
      <c r="K290" s="532">
        <f t="shared" si="16"/>
        <v>3814.9479653711605</v>
      </c>
    </row>
    <row r="291" spans="1:11" x14ac:dyDescent="0.25">
      <c r="A291" s="38">
        <f>Données!A285</f>
        <v>5912</v>
      </c>
      <c r="B291" s="27" t="str">
        <f>Données!B285</f>
        <v>Démoret</v>
      </c>
      <c r="C291" s="26">
        <f>Ecrêtage!C285</f>
        <v>4068.1026902439612</v>
      </c>
      <c r="D291" s="12">
        <f>Données!Z285</f>
        <v>158</v>
      </c>
      <c r="E291" s="8">
        <f>Population!K288</f>
        <v>-19591.046277665992</v>
      </c>
      <c r="F291" s="239">
        <f>Solidarité!I285</f>
        <v>-84602.975883983585</v>
      </c>
      <c r="G291" s="8">
        <f>DT!O285</f>
        <v>-10912.42298231703</v>
      </c>
      <c r="H291" s="239">
        <f>Effort!K285+Aide!I285+Taux!J285</f>
        <v>0</v>
      </c>
      <c r="I291" s="317">
        <f t="shared" si="14"/>
        <v>-115106.4451439666</v>
      </c>
      <c r="J291" s="397">
        <f t="shared" si="15"/>
        <v>77929.824864842289</v>
      </c>
      <c r="K291" s="532">
        <f t="shared" si="16"/>
        <v>-37176.620279124312</v>
      </c>
    </row>
    <row r="292" spans="1:11" x14ac:dyDescent="0.25">
      <c r="A292" s="38">
        <f>Données!A286</f>
        <v>5913</v>
      </c>
      <c r="B292" s="27" t="str">
        <f>Données!B286</f>
        <v>Donneloye</v>
      </c>
      <c r="C292" s="26">
        <f>Ecrêtage!C286</f>
        <v>19877.397448309883</v>
      </c>
      <c r="D292" s="12">
        <f>Données!Z286</f>
        <v>829</v>
      </c>
      <c r="E292" s="8">
        <f>Population!K289</f>
        <v>-102790.99597585511</v>
      </c>
      <c r="F292" s="239">
        <f>Solidarité!I286</f>
        <v>-391788.61369504262</v>
      </c>
      <c r="G292" s="8">
        <f>DT!O286</f>
        <v>-42957.317223908285</v>
      </c>
      <c r="H292" s="239">
        <f>Effort!K286+Aide!I286+Taux!J286</f>
        <v>0</v>
      </c>
      <c r="I292" s="317">
        <f t="shared" si="14"/>
        <v>-537536.92689480598</v>
      </c>
      <c r="J292" s="397">
        <f t="shared" si="15"/>
        <v>380777.5319021648</v>
      </c>
      <c r="K292" s="532">
        <f t="shared" si="16"/>
        <v>-156759.39499264117</v>
      </c>
    </row>
    <row r="293" spans="1:11" x14ac:dyDescent="0.25">
      <c r="A293" s="38">
        <f>Données!A287</f>
        <v>5914</v>
      </c>
      <c r="B293" s="27" t="str">
        <f>Données!B287</f>
        <v>Ependes</v>
      </c>
      <c r="C293" s="26">
        <f>Ecrêtage!C287</f>
        <v>10654.485759200121</v>
      </c>
      <c r="D293" s="12">
        <f>Données!Z287</f>
        <v>388</v>
      </c>
      <c r="E293" s="8">
        <f>Population!K290</f>
        <v>-48109.657947686108</v>
      </c>
      <c r="F293" s="239">
        <f>Solidarité!I287</f>
        <v>-156722.85947364496</v>
      </c>
      <c r="G293" s="8">
        <f>DT!O287</f>
        <v>-64654.971125399185</v>
      </c>
      <c r="H293" s="239">
        <f>Effort!K287+Aide!I287+Taux!J287</f>
        <v>0</v>
      </c>
      <c r="I293" s="317">
        <f t="shared" si="14"/>
        <v>-269487.48854673025</v>
      </c>
      <c r="J293" s="397">
        <f t="shared" si="15"/>
        <v>204100.60228583589</v>
      </c>
      <c r="K293" s="532">
        <f t="shared" si="16"/>
        <v>-65386.88626089436</v>
      </c>
    </row>
    <row r="294" spans="1:11" x14ac:dyDescent="0.25">
      <c r="A294" s="38">
        <f>Données!A288</f>
        <v>5919</v>
      </c>
      <c r="B294" s="27" t="str">
        <f>Données!B288</f>
        <v>Mathod</v>
      </c>
      <c r="C294" s="26">
        <f>Ecrêtage!C288</f>
        <v>21548.298328397002</v>
      </c>
      <c r="D294" s="12">
        <f>Données!Z288</f>
        <v>651</v>
      </c>
      <c r="E294" s="8">
        <f>Population!K291</f>
        <v>-80720.070422535195</v>
      </c>
      <c r="F294" s="239">
        <f>Solidarité!I288</f>
        <v>-176270.81792039712</v>
      </c>
      <c r="G294" s="8">
        <f>DT!O288</f>
        <v>-208746.460029618</v>
      </c>
      <c r="H294" s="239">
        <f>Effort!K288+Aide!I288+Taux!J288</f>
        <v>0</v>
      </c>
      <c r="I294" s="317">
        <f t="shared" si="14"/>
        <v>-465737.34837255033</v>
      </c>
      <c r="J294" s="397">
        <f t="shared" si="15"/>
        <v>412785.82246571773</v>
      </c>
      <c r="K294" s="532">
        <f t="shared" si="16"/>
        <v>-52951.525906832598</v>
      </c>
    </row>
    <row r="295" spans="1:11" x14ac:dyDescent="0.25">
      <c r="A295" s="38">
        <f>Données!A289</f>
        <v>5921</v>
      </c>
      <c r="B295" s="27" t="str">
        <f>Données!B289</f>
        <v>Molondin</v>
      </c>
      <c r="C295" s="26">
        <f>Ecrêtage!C289</f>
        <v>5680.8817283950611</v>
      </c>
      <c r="D295" s="12">
        <f>Données!Z289</f>
        <v>252</v>
      </c>
      <c r="E295" s="8">
        <f>Population!K292</f>
        <v>-31246.47887323943</v>
      </c>
      <c r="F295" s="239">
        <f>Solidarité!I289</f>
        <v>-156106.28206877419</v>
      </c>
      <c r="G295" s="8">
        <f>DT!O289</f>
        <v>-64312.588703703703</v>
      </c>
      <c r="H295" s="239">
        <f>Effort!K289+Aide!I289+Taux!J289</f>
        <v>0</v>
      </c>
      <c r="I295" s="317">
        <f t="shared" si="14"/>
        <v>-251665.3496457173</v>
      </c>
      <c r="J295" s="397">
        <f t="shared" si="15"/>
        <v>108824.71556910494</v>
      </c>
      <c r="K295" s="532">
        <f t="shared" si="16"/>
        <v>-142840.63407661236</v>
      </c>
    </row>
    <row r="296" spans="1:11" x14ac:dyDescent="0.25">
      <c r="A296" s="38">
        <f>Données!A290</f>
        <v>5922</v>
      </c>
      <c r="B296" s="27" t="str">
        <f>Données!B290</f>
        <v>Montagny-près-Yverdon</v>
      </c>
      <c r="C296" s="26">
        <f>Ecrêtage!C290</f>
        <v>33186.709071572135</v>
      </c>
      <c r="D296" s="12">
        <f>Données!Z290</f>
        <v>737</v>
      </c>
      <c r="E296" s="8">
        <f>Population!K293</f>
        <v>-91383.551307847069</v>
      </c>
      <c r="F296" s="239">
        <f>Solidarité!I290</f>
        <v>-13563.354954655979</v>
      </c>
      <c r="G296" s="8">
        <f>DT!O290</f>
        <v>-159271.7455705672</v>
      </c>
      <c r="H296" s="239">
        <f>Effort!K290+Aide!I290+Taux!J290</f>
        <v>0</v>
      </c>
      <c r="I296" s="317">
        <f t="shared" si="14"/>
        <v>-264218.65183307027</v>
      </c>
      <c r="J296" s="397">
        <f t="shared" si="15"/>
        <v>635734.79400860332</v>
      </c>
      <c r="K296" s="532">
        <f t="shared" si="16"/>
        <v>371516.14217553305</v>
      </c>
    </row>
    <row r="297" spans="1:11" x14ac:dyDescent="0.25">
      <c r="A297" s="38">
        <f>Données!A291</f>
        <v>5923</v>
      </c>
      <c r="B297" s="27" t="str">
        <f>Données!B291</f>
        <v>Oppens</v>
      </c>
      <c r="C297" s="26">
        <f>Ecrêtage!C291</f>
        <v>4798.3716723042917</v>
      </c>
      <c r="D297" s="12">
        <f>Données!Z291</f>
        <v>201</v>
      </c>
      <c r="E297" s="8">
        <f>Population!K294</f>
        <v>-24922.786720321928</v>
      </c>
      <c r="F297" s="239">
        <f>Solidarité!I291</f>
        <v>-117508.34408756801</v>
      </c>
      <c r="G297" s="8">
        <f>DT!O291</f>
        <v>-59074.991211946035</v>
      </c>
      <c r="H297" s="239">
        <f>Effort!K291+Aide!I291+Taux!J291</f>
        <v>0</v>
      </c>
      <c r="I297" s="317">
        <f t="shared" si="14"/>
        <v>-201506.12201983598</v>
      </c>
      <c r="J297" s="397">
        <f t="shared" si="15"/>
        <v>91919.081825505535</v>
      </c>
      <c r="K297" s="532">
        <f t="shared" si="16"/>
        <v>-109587.04019433045</v>
      </c>
    </row>
    <row r="298" spans="1:11" x14ac:dyDescent="0.25">
      <c r="A298" s="38">
        <f>Données!A292</f>
        <v>5924</v>
      </c>
      <c r="B298" s="27" t="str">
        <f>Données!B292</f>
        <v>Orges</v>
      </c>
      <c r="C298" s="26">
        <f>Ecrêtage!C292</f>
        <v>12515.741993747673</v>
      </c>
      <c r="D298" s="12">
        <f>Données!Z292</f>
        <v>343</v>
      </c>
      <c r="E298" s="8">
        <f>Population!K295</f>
        <v>-42529.929577464784</v>
      </c>
      <c r="F298" s="239">
        <f>Solidarité!I292</f>
        <v>-72671.465828249537</v>
      </c>
      <c r="G298" s="8">
        <f>DT!O292</f>
        <v>0</v>
      </c>
      <c r="H298" s="239">
        <f>Effort!K292+Aide!I292+Taux!J292</f>
        <v>0</v>
      </c>
      <c r="I298" s="317">
        <f t="shared" si="14"/>
        <v>-115201.39540571431</v>
      </c>
      <c r="J298" s="397">
        <f t="shared" si="15"/>
        <v>239755.39849703677</v>
      </c>
      <c r="K298" s="532">
        <f t="shared" si="16"/>
        <v>124554.00309132246</v>
      </c>
    </row>
    <row r="299" spans="1:11" x14ac:dyDescent="0.25">
      <c r="A299" s="38">
        <f>Données!A293</f>
        <v>5925</v>
      </c>
      <c r="B299" s="27" t="str">
        <f>Données!B293</f>
        <v>Orzens</v>
      </c>
      <c r="C299" s="26">
        <f>Ecrêtage!C293</f>
        <v>5885.1778481012652</v>
      </c>
      <c r="D299" s="12">
        <f>Données!Z293</f>
        <v>201</v>
      </c>
      <c r="E299" s="8">
        <f>Population!K296</f>
        <v>-24922.786720321928</v>
      </c>
      <c r="F299" s="239">
        <f>Solidarité!I293</f>
        <v>-84673.901199683576</v>
      </c>
      <c r="G299" s="8">
        <f>DT!O293</f>
        <v>-11464.049525316459</v>
      </c>
      <c r="H299" s="239">
        <f>Effort!K293+Aide!I293+Taux!J293</f>
        <v>0</v>
      </c>
      <c r="I299" s="317">
        <f t="shared" si="14"/>
        <v>-121060.73744532195</v>
      </c>
      <c r="J299" s="397">
        <f t="shared" si="15"/>
        <v>112738.27479843615</v>
      </c>
      <c r="K299" s="532">
        <f t="shared" si="16"/>
        <v>-8322.4626468858041</v>
      </c>
    </row>
    <row r="300" spans="1:11" x14ac:dyDescent="0.25">
      <c r="A300" s="38">
        <f>Données!A294</f>
        <v>5926</v>
      </c>
      <c r="B300" s="27" t="str">
        <f>Données!B294</f>
        <v>Pomy</v>
      </c>
      <c r="C300" s="26">
        <f>Ecrêtage!C294</f>
        <v>27361.56181889947</v>
      </c>
      <c r="D300" s="12">
        <f>Données!Z294</f>
        <v>803</v>
      </c>
      <c r="E300" s="8">
        <f>Population!K297</f>
        <v>-99567.152917505009</v>
      </c>
      <c r="F300" s="239">
        <f>Solidarité!I294</f>
        <v>-195677.61336328747</v>
      </c>
      <c r="G300" s="8">
        <f>DT!O294</f>
        <v>-14948.957722428575</v>
      </c>
      <c r="H300" s="239">
        <f>Effort!K294+Aide!I294+Taux!J294</f>
        <v>0</v>
      </c>
      <c r="I300" s="317">
        <f t="shared" si="14"/>
        <v>-310193.72400322102</v>
      </c>
      <c r="J300" s="397">
        <f t="shared" si="15"/>
        <v>524146.48373773479</v>
      </c>
      <c r="K300" s="532">
        <f t="shared" si="16"/>
        <v>213952.75973451376</v>
      </c>
    </row>
    <row r="301" spans="1:11" x14ac:dyDescent="0.25">
      <c r="A301" s="38">
        <f>Données!A295</f>
        <v>5928</v>
      </c>
      <c r="B301" s="27" t="str">
        <f>Données!B295</f>
        <v>Rovray</v>
      </c>
      <c r="C301" s="26">
        <f>Ecrêtage!C295</f>
        <v>5562.4200865991261</v>
      </c>
      <c r="D301" s="12">
        <f>Données!Z295</f>
        <v>204</v>
      </c>
      <c r="E301" s="8">
        <f>Population!K298</f>
        <v>-25294.768611670017</v>
      </c>
      <c r="F301" s="239">
        <f>Solidarité!I295</f>
        <v>-78782.633018209031</v>
      </c>
      <c r="G301" s="8">
        <f>DT!O295</f>
        <v>0</v>
      </c>
      <c r="H301" s="239">
        <f>Effort!K295+Aide!I295+Taux!J295</f>
        <v>0</v>
      </c>
      <c r="I301" s="317">
        <f t="shared" si="14"/>
        <v>-104077.40162987905</v>
      </c>
      <c r="J301" s="397">
        <f t="shared" si="15"/>
        <v>106555.42796717244</v>
      </c>
      <c r="K301" s="532">
        <f t="shared" si="16"/>
        <v>2478.0263372933841</v>
      </c>
    </row>
    <row r="302" spans="1:11" x14ac:dyDescent="0.25">
      <c r="A302" s="38">
        <f>Données!A296</f>
        <v>5929</v>
      </c>
      <c r="B302" s="27" t="str">
        <f>Données!B296</f>
        <v>Suchy</v>
      </c>
      <c r="C302" s="26">
        <f>Ecrêtage!C296</f>
        <v>19817.928233868191</v>
      </c>
      <c r="D302" s="12">
        <f>Données!Z296</f>
        <v>656</v>
      </c>
      <c r="E302" s="8">
        <f>Population!K299</f>
        <v>-81340.040241448674</v>
      </c>
      <c r="F302" s="239">
        <f>Solidarité!I296</f>
        <v>-205014.65478835243</v>
      </c>
      <c r="G302" s="8">
        <f>DT!O296</f>
        <v>-13857.803824598857</v>
      </c>
      <c r="H302" s="239">
        <f>Effort!K296+Aide!I296+Taux!J296</f>
        <v>0</v>
      </c>
      <c r="I302" s="317">
        <f t="shared" si="14"/>
        <v>-300212.49885439995</v>
      </c>
      <c r="J302" s="397">
        <f t="shared" si="15"/>
        <v>379638.32136123988</v>
      </c>
      <c r="K302" s="532">
        <f t="shared" si="16"/>
        <v>79425.822506839933</v>
      </c>
    </row>
    <row r="303" spans="1:11" x14ac:dyDescent="0.25">
      <c r="A303" s="38">
        <f>Données!A297</f>
        <v>5930</v>
      </c>
      <c r="B303" s="27" t="str">
        <f>Données!B297</f>
        <v>Suscévaz</v>
      </c>
      <c r="C303" s="26">
        <f>Ecrêtage!C297</f>
        <v>5767.7688822867358</v>
      </c>
      <c r="D303" s="12">
        <f>Données!Z297</f>
        <v>204</v>
      </c>
      <c r="E303" s="8">
        <f>Population!K300</f>
        <v>-25294.768611670017</v>
      </c>
      <c r="F303" s="239">
        <f>Solidarité!I297</f>
        <v>-75634.59540656094</v>
      </c>
      <c r="G303" s="8">
        <f>DT!O297</f>
        <v>-34506.810044564532</v>
      </c>
      <c r="H303" s="239">
        <f>Effort!K297+Aide!I297+Taux!J297</f>
        <v>0</v>
      </c>
      <c r="I303" s="317">
        <f t="shared" si="14"/>
        <v>-135436.1740627955</v>
      </c>
      <c r="J303" s="397">
        <f t="shared" si="15"/>
        <v>110489.15258098794</v>
      </c>
      <c r="K303" s="532">
        <f t="shared" si="16"/>
        <v>-24947.021481807562</v>
      </c>
    </row>
    <row r="304" spans="1:11" x14ac:dyDescent="0.25">
      <c r="A304" s="38">
        <f>Données!A298</f>
        <v>5931</v>
      </c>
      <c r="B304" s="27" t="str">
        <f>Données!B298</f>
        <v>Treycovagnes</v>
      </c>
      <c r="C304" s="26">
        <f>Ecrêtage!C298</f>
        <v>15378.452365711239</v>
      </c>
      <c r="D304" s="12">
        <f>Données!Z298</f>
        <v>485</v>
      </c>
      <c r="E304" s="8">
        <f>Population!K301</f>
        <v>-60137.072434607639</v>
      </c>
      <c r="F304" s="239">
        <f>Solidarité!I298</f>
        <v>-157671.01207049648</v>
      </c>
      <c r="G304" s="8">
        <f>DT!O298</f>
        <v>-31968.285805732568</v>
      </c>
      <c r="H304" s="239">
        <f>Effort!K298+Aide!I298+Taux!J298</f>
        <v>0</v>
      </c>
      <c r="I304" s="317">
        <f t="shared" si="14"/>
        <v>-249776.37031083668</v>
      </c>
      <c r="J304" s="397">
        <f t="shared" si="15"/>
        <v>294594.35781359958</v>
      </c>
      <c r="K304" s="532">
        <f t="shared" si="16"/>
        <v>44817.987502762902</v>
      </c>
    </row>
    <row r="305" spans="1:11" x14ac:dyDescent="0.25">
      <c r="A305" s="38">
        <f>Données!A299</f>
        <v>5932</v>
      </c>
      <c r="B305" s="27" t="str">
        <f>Données!B299</f>
        <v>Ursins</v>
      </c>
      <c r="C305" s="26">
        <f>Ecrêtage!C299</f>
        <v>6819.2739438524613</v>
      </c>
      <c r="D305" s="12">
        <f>Données!Z299</f>
        <v>238</v>
      </c>
      <c r="E305" s="8">
        <f>Population!K302</f>
        <v>-29510.563380281685</v>
      </c>
      <c r="F305" s="239">
        <f>Solidarité!I299</f>
        <v>-93719.271055051111</v>
      </c>
      <c r="G305" s="8">
        <f>DT!O299</f>
        <v>-21596.044542110652</v>
      </c>
      <c r="H305" s="239">
        <f>Effort!K299+Aide!I299+Taux!J299</f>
        <v>0</v>
      </c>
      <c r="I305" s="317">
        <f t="shared" si="14"/>
        <v>-144825.87897744344</v>
      </c>
      <c r="J305" s="397">
        <f t="shared" si="15"/>
        <v>130632.10656512104</v>
      </c>
      <c r="K305" s="532">
        <f t="shared" si="16"/>
        <v>-14193.772412322403</v>
      </c>
    </row>
    <row r="306" spans="1:11" x14ac:dyDescent="0.25">
      <c r="A306" s="38">
        <f>Données!A300</f>
        <v>5933</v>
      </c>
      <c r="B306" s="27" t="str">
        <f>Données!B300</f>
        <v>Valeyres-sous-Montagny</v>
      </c>
      <c r="C306" s="26">
        <f>Ecrêtage!C300</f>
        <v>22563.405559232429</v>
      </c>
      <c r="D306" s="12">
        <f>Données!Z300</f>
        <v>714</v>
      </c>
      <c r="E306" s="8">
        <f>Population!K303</f>
        <v>-88531.69014084505</v>
      </c>
      <c r="F306" s="239">
        <f>Solidarité!I300</f>
        <v>-206612.86881821041</v>
      </c>
      <c r="G306" s="8">
        <f>DT!O300</f>
        <v>-186679.31664460542</v>
      </c>
      <c r="H306" s="239">
        <f>Effort!K300+Aide!I300+Taux!J300</f>
        <v>0</v>
      </c>
      <c r="I306" s="317">
        <f t="shared" si="14"/>
        <v>-481823.87560366088</v>
      </c>
      <c r="J306" s="397">
        <f t="shared" si="15"/>
        <v>432231.52842288365</v>
      </c>
      <c r="K306" s="532">
        <f t="shared" si="16"/>
        <v>-49592.347180777229</v>
      </c>
    </row>
    <row r="307" spans="1:11" x14ac:dyDescent="0.25">
      <c r="A307" s="38">
        <f>Données!A301</f>
        <v>5934</v>
      </c>
      <c r="B307" s="27" t="str">
        <f>Données!B301</f>
        <v>Valeyres-sous-Ursins</v>
      </c>
      <c r="C307" s="26">
        <f>Ecrêtage!C301</f>
        <v>7577.6382278481005</v>
      </c>
      <c r="D307" s="12">
        <f>Données!Z301</f>
        <v>241</v>
      </c>
      <c r="E307" s="8">
        <f>Population!K304</f>
        <v>-29882.545271629773</v>
      </c>
      <c r="F307" s="239">
        <f>Solidarité!I301</f>
        <v>-88524.524344681151</v>
      </c>
      <c r="G307" s="8">
        <f>DT!O301</f>
        <v>-5600.5213291139244</v>
      </c>
      <c r="H307" s="239">
        <f>Effort!K301+Aide!I301+Taux!J301</f>
        <v>0</v>
      </c>
      <c r="I307" s="317">
        <f t="shared" si="14"/>
        <v>-124007.59094542485</v>
      </c>
      <c r="J307" s="397">
        <f t="shared" si="15"/>
        <v>145159.56576059861</v>
      </c>
      <c r="K307" s="532">
        <f t="shared" si="16"/>
        <v>21151.974815173759</v>
      </c>
    </row>
    <row r="308" spans="1:11" x14ac:dyDescent="0.25">
      <c r="A308" s="38">
        <f>Données!A302</f>
        <v>5935</v>
      </c>
      <c r="B308" s="27" t="str">
        <f>Données!B302</f>
        <v>Villars-Epeney</v>
      </c>
      <c r="C308" s="26">
        <f>Ecrêtage!C302</f>
        <v>3928.0620213791694</v>
      </c>
      <c r="D308" s="12">
        <f>Données!Z302</f>
        <v>101</v>
      </c>
      <c r="E308" s="8">
        <f>Population!K305</f>
        <v>-12523.390342052311</v>
      </c>
      <c r="F308" s="239">
        <f>Solidarité!I302</f>
        <v>-10577.087345386659</v>
      </c>
      <c r="G308" s="8">
        <f>DT!O302</f>
        <v>-5133.7034839656226</v>
      </c>
      <c r="H308" s="239">
        <f>Effort!K302+Aide!I302+Taux!J302</f>
        <v>0</v>
      </c>
      <c r="I308" s="317">
        <f t="shared" si="14"/>
        <v>-28234.181171404594</v>
      </c>
      <c r="J308" s="397">
        <f t="shared" si="15"/>
        <v>75247.162791251889</v>
      </c>
      <c r="K308" s="532">
        <f t="shared" si="16"/>
        <v>47012.981619847298</v>
      </c>
    </row>
    <row r="309" spans="1:11" x14ac:dyDescent="0.25">
      <c r="A309" s="38">
        <f>Données!A303</f>
        <v>5937</v>
      </c>
      <c r="B309" s="27" t="str">
        <f>Données!B303</f>
        <v>Vugelles-La Mothe</v>
      </c>
      <c r="C309" s="26">
        <f>Ecrêtage!C303</f>
        <v>3185.9394172567995</v>
      </c>
      <c r="D309" s="12">
        <f>Données!Z303</f>
        <v>138</v>
      </c>
      <c r="E309" s="8">
        <f>Population!K306</f>
        <v>-17111.167002012069</v>
      </c>
      <c r="F309" s="239">
        <f>Solidarité!I303</f>
        <v>-62376.609264995874</v>
      </c>
      <c r="G309" s="8">
        <f>DT!O303</f>
        <v>-23480.658933516603</v>
      </c>
      <c r="H309" s="239">
        <f>Effort!K303+Aide!I303+Taux!J303</f>
        <v>0</v>
      </c>
      <c r="I309" s="317">
        <f t="shared" si="14"/>
        <v>-102968.43520052455</v>
      </c>
      <c r="J309" s="397">
        <f t="shared" si="15"/>
        <v>61030.834204908177</v>
      </c>
      <c r="K309" s="532">
        <f t="shared" si="16"/>
        <v>-41937.600995616369</v>
      </c>
    </row>
    <row r="310" spans="1:11" x14ac:dyDescent="0.25">
      <c r="A310" s="38">
        <f>Données!A304</f>
        <v>5938</v>
      </c>
      <c r="B310" s="27" t="str">
        <f>Données!B304</f>
        <v>Yverdon-les-Bains</v>
      </c>
      <c r="C310" s="26">
        <f>Ecrêtage!C304</f>
        <v>794891.37980729085</v>
      </c>
      <c r="D310" s="12">
        <f>Données!Z304</f>
        <v>29981</v>
      </c>
      <c r="E310" s="8">
        <f>Population!K307</f>
        <v>-25299777.967806838</v>
      </c>
      <c r="F310" s="239">
        <f>Solidarité!I304</f>
        <v>-13247464.434490696</v>
      </c>
      <c r="G310" s="8">
        <f>DT!O304</f>
        <v>-10990422.721156254</v>
      </c>
      <c r="H310" s="239">
        <f>Effort!K304+Aide!I304+Taux!J304</f>
        <v>1962462.2754251135</v>
      </c>
      <c r="I310" s="317">
        <f t="shared" si="14"/>
        <v>-47575202.848028675</v>
      </c>
      <c r="J310" s="397">
        <f t="shared" si="15"/>
        <v>15227183.464053649</v>
      </c>
      <c r="K310" s="532">
        <f t="shared" si="16"/>
        <v>-32348019.383975025</v>
      </c>
    </row>
    <row r="311" spans="1:11" x14ac:dyDescent="0.25">
      <c r="A311" s="38">
        <f>Données!A305</f>
        <v>5939</v>
      </c>
      <c r="B311" s="27" t="str">
        <f>Données!B305</f>
        <v>Yvonand</v>
      </c>
      <c r="C311" s="26">
        <f>Ecrêtage!C305</f>
        <v>92828.645169819079</v>
      </c>
      <c r="D311" s="12">
        <f>Données!Z305</f>
        <v>3467</v>
      </c>
      <c r="E311" s="228">
        <f>Population!K308</f>
        <v>-1049980.8853118711</v>
      </c>
      <c r="F311" s="239">
        <f>Solidarité!I305</f>
        <v>-1373753.0457887761</v>
      </c>
      <c r="G311" s="228">
        <f>DT!O305</f>
        <v>-590707.64510372118</v>
      </c>
      <c r="H311" s="239">
        <f>Effort!K305+Aide!I305+Taux!J305</f>
        <v>0</v>
      </c>
      <c r="I311" s="337">
        <f t="shared" si="14"/>
        <v>-3014441.5762043679</v>
      </c>
      <c r="J311" s="397">
        <f t="shared" si="15"/>
        <v>1778254.0440469473</v>
      </c>
      <c r="K311" s="533">
        <f t="shared" si="16"/>
        <v>-1236187.5321574206</v>
      </c>
    </row>
    <row r="312" spans="1:11" x14ac:dyDescent="0.25">
      <c r="A312" s="25"/>
      <c r="B312" s="74">
        <f>COUNTA(B12:B311)</f>
        <v>300</v>
      </c>
      <c r="C312" s="75">
        <f t="shared" ref="C312:H312" si="17">SUM(C12:C311)</f>
        <v>37643741.933631986</v>
      </c>
      <c r="D312" s="9">
        <f t="shared" si="17"/>
        <v>815300</v>
      </c>
      <c r="E312" s="228">
        <f t="shared" si="17"/>
        <v>-432257167.45472836</v>
      </c>
      <c r="F312" s="9">
        <f t="shared" si="17"/>
        <v>-129294427.8205622</v>
      </c>
      <c r="G312" s="228">
        <f t="shared" si="17"/>
        <v>-159540061.66420105</v>
      </c>
      <c r="H312" s="9">
        <f t="shared" si="17"/>
        <v>426572.21449513035</v>
      </c>
      <c r="I312" s="318">
        <f t="shared" si="14"/>
        <v>-720665084.72499645</v>
      </c>
      <c r="J312" s="318">
        <f t="shared" si="15"/>
        <v>721115084.72499657</v>
      </c>
      <c r="K312" s="534">
        <f t="shared" si="16"/>
        <v>450000.00000011921</v>
      </c>
    </row>
    <row r="313" spans="1:11" x14ac:dyDescent="0.25">
      <c r="C313" s="52"/>
      <c r="D313" s="52"/>
      <c r="E313" s="29"/>
      <c r="I313" s="29"/>
      <c r="J313" s="229"/>
    </row>
    <row r="314" spans="1:11" x14ac:dyDescent="0.25">
      <c r="C314" s="4"/>
      <c r="D314" s="4"/>
      <c r="E314" s="5"/>
      <c r="F314" s="5"/>
      <c r="G314" s="5"/>
      <c r="H314" s="5"/>
      <c r="I314" s="5"/>
      <c r="J314" s="5"/>
    </row>
    <row r="315" spans="1:11" x14ac:dyDescent="0.25">
      <c r="G315" s="10"/>
      <c r="H315" s="10"/>
    </row>
    <row r="317" spans="1:11" x14ac:dyDescent="0.25">
      <c r="F317" s="10"/>
    </row>
    <row r="318" spans="1:11" x14ac:dyDescent="0.25">
      <c r="F318" s="10"/>
    </row>
    <row r="320" spans="1:11" x14ac:dyDescent="0.25">
      <c r="F320" s="71"/>
      <c r="G320" s="71"/>
      <c r="H320" s="71"/>
      <c r="I320" s="71"/>
      <c r="J320" s="71"/>
    </row>
    <row r="321" spans="3:10" x14ac:dyDescent="0.25">
      <c r="E321" s="71"/>
      <c r="F321" s="71"/>
      <c r="G321" s="71"/>
      <c r="H321" s="71"/>
      <c r="I321" s="71"/>
      <c r="J321" s="71"/>
    </row>
    <row r="322" spans="3:10" x14ac:dyDescent="0.25">
      <c r="E322" s="73"/>
      <c r="F322" s="73"/>
      <c r="G322" s="73"/>
      <c r="H322" s="73"/>
      <c r="I322" s="73"/>
      <c r="J322" s="73"/>
    </row>
    <row r="329" spans="3:10" x14ac:dyDescent="0.25">
      <c r="C329" s="37"/>
    </row>
    <row r="330" spans="3:10" x14ac:dyDescent="0.25">
      <c r="C330" s="37"/>
    </row>
    <row r="331" spans="3:10" x14ac:dyDescent="0.25">
      <c r="C331" s="37"/>
    </row>
  </sheetData>
  <sheetProtection sheet="1" objects="1" scenarios="1"/>
  <mergeCells count="8">
    <mergeCell ref="K10:K11"/>
    <mergeCell ref="A5:B5"/>
    <mergeCell ref="A6:B6"/>
    <mergeCell ref="A7:B7"/>
    <mergeCell ref="D10:D11"/>
    <mergeCell ref="C10:C11"/>
    <mergeCell ref="B10:B11"/>
    <mergeCell ref="A10:A11"/>
  </mergeCells>
  <phoneticPr fontId="21" type="noConversion"/>
  <hyperlinks>
    <hyperlink ref="C1" location="Ecrêtage!A1" display="← Précédent" xr:uid="{617DF37A-F812-48AD-A070-5ECCEB5FCAF3}"/>
    <hyperlink ref="E1" location="Population!A1" display="Suivant →" xr:uid="{88AC5A9E-3CD9-4E67-A12C-D58A70624CB5}"/>
    <hyperlink ref="D1" location="'Table des matières'!A1" display="Table des             matières" xr:uid="{0CC4E5F6-F04B-4697-A166-7DC7DA60803C}"/>
  </hyperlinks>
  <pageMargins left="0.25" right="0.25" top="0.75" bottom="0.75" header="0.3" footer="0.3"/>
  <pageSetup paperSize="9" orientation="landscape" horizontalDpi="4294967292" vertic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6" tint="0.39997558519241921"/>
  </sheetPr>
  <dimension ref="A1:L320"/>
  <sheetViews>
    <sheetView workbookViewId="0">
      <pane ySplit="8" topLeftCell="A9" activePane="bottomLeft" state="frozen"/>
      <selection pane="bottomLeft"/>
    </sheetView>
  </sheetViews>
  <sheetFormatPr baseColWidth="10" defaultColWidth="11" defaultRowHeight="15" x14ac:dyDescent="0.25"/>
  <cols>
    <col min="1" max="1" width="7.25" style="11" customWidth="1"/>
    <col min="2" max="2" width="20.25" style="11" bestFit="1" customWidth="1"/>
    <col min="3" max="3" width="10.375" style="11" customWidth="1"/>
    <col min="4" max="10" width="10" style="11" customWidth="1"/>
    <col min="11" max="11" width="13" style="11" customWidth="1"/>
    <col min="12" max="12" width="3.625" style="11" customWidth="1"/>
    <col min="13" max="16384" width="11" style="11"/>
  </cols>
  <sheetData>
    <row r="1" spans="1:12" s="284" customFormat="1" ht="26.25" x14ac:dyDescent="0.4">
      <c r="A1" s="282" t="s">
        <v>358</v>
      </c>
      <c r="B1" s="283"/>
      <c r="C1" s="286"/>
      <c r="G1" s="415" t="s">
        <v>409</v>
      </c>
      <c r="H1" s="306" t="s">
        <v>401</v>
      </c>
      <c r="I1" s="511" t="s">
        <v>410</v>
      </c>
    </row>
    <row r="2" spans="1:12" s="220" customFormat="1" ht="15.75" customHeight="1" x14ac:dyDescent="0.25">
      <c r="A2" s="360" t="str">
        <f>Paramètres!B4</f>
        <v>Acomptes 2022</v>
      </c>
      <c r="B2" s="32"/>
      <c r="C2" s="222"/>
      <c r="L2" s="394"/>
    </row>
    <row r="3" spans="1:12" x14ac:dyDescent="0.25">
      <c r="A3" s="22"/>
      <c r="B3" s="40"/>
      <c r="L3" s="394"/>
    </row>
    <row r="4" spans="1:12" ht="18.75" customHeight="1" x14ac:dyDescent="0.25">
      <c r="A4" s="22"/>
      <c r="B4" s="40"/>
      <c r="C4" s="641" t="s">
        <v>260</v>
      </c>
      <c r="D4" s="642"/>
      <c r="E4" s="642"/>
      <c r="F4" s="642"/>
      <c r="G4" s="642"/>
      <c r="H4" s="642"/>
      <c r="I4" s="642"/>
      <c r="J4" s="643"/>
      <c r="L4" s="394"/>
    </row>
    <row r="5" spans="1:12" x14ac:dyDescent="0.25">
      <c r="C5" s="78" t="s">
        <v>259</v>
      </c>
      <c r="D5" s="66">
        <f>Paramètres!B27</f>
        <v>0</v>
      </c>
      <c r="E5" s="66">
        <f>Paramètres!C27</f>
        <v>1000</v>
      </c>
      <c r="F5" s="66">
        <f>Paramètres!D27</f>
        <v>3000</v>
      </c>
      <c r="G5" s="66">
        <f>Paramètres!E27</f>
        <v>5000</v>
      </c>
      <c r="H5" s="66">
        <f>Paramètres!F27</f>
        <v>9000</v>
      </c>
      <c r="I5" s="66">
        <f>Paramètres!G27</f>
        <v>12000</v>
      </c>
      <c r="J5" s="66">
        <f>Paramètres!H27</f>
        <v>15000</v>
      </c>
      <c r="L5" s="394"/>
    </row>
    <row r="6" spans="1:12" x14ac:dyDescent="0.25">
      <c r="C6" s="69" t="s">
        <v>261</v>
      </c>
      <c r="D6" s="66">
        <f>Paramètres!B28</f>
        <v>1000</v>
      </c>
      <c r="E6" s="66">
        <f>Paramètres!C28</f>
        <v>3000</v>
      </c>
      <c r="F6" s="66">
        <f>Paramètres!D28</f>
        <v>5000</v>
      </c>
      <c r="G6" s="66">
        <f>Paramètres!E28</f>
        <v>9000</v>
      </c>
      <c r="H6" s="66">
        <f>Paramètres!F28</f>
        <v>12000</v>
      </c>
      <c r="I6" s="66">
        <f>Paramètres!G28</f>
        <v>15000</v>
      </c>
      <c r="J6" s="66"/>
    </row>
    <row r="7" spans="1:12" ht="30" customHeight="1" x14ac:dyDescent="0.25">
      <c r="A7" s="638" t="s">
        <v>44</v>
      </c>
      <c r="B7" s="638" t="s">
        <v>84</v>
      </c>
      <c r="C7" s="638" t="s">
        <v>258</v>
      </c>
      <c r="D7" s="641" t="s">
        <v>262</v>
      </c>
      <c r="E7" s="642"/>
      <c r="F7" s="642"/>
      <c r="G7" s="642"/>
      <c r="H7" s="642"/>
      <c r="I7" s="642"/>
      <c r="J7" s="643"/>
      <c r="K7" s="638" t="s">
        <v>511</v>
      </c>
    </row>
    <row r="8" spans="1:12" x14ac:dyDescent="0.25">
      <c r="A8" s="639"/>
      <c r="B8" s="640"/>
      <c r="C8" s="640"/>
      <c r="D8" s="163">
        <f>Paramètres!B32</f>
        <v>123.99396378269616</v>
      </c>
      <c r="E8" s="163">
        <f>Paramètres!C32</f>
        <v>347.18309859154925</v>
      </c>
      <c r="F8" s="163">
        <f>Paramètres!D32</f>
        <v>495.97585513078462</v>
      </c>
      <c r="G8" s="163">
        <f>Paramètres!E32</f>
        <v>595.17102615694159</v>
      </c>
      <c r="H8" s="163">
        <f>Paramètres!F32</f>
        <v>843.15895372233388</v>
      </c>
      <c r="I8" s="163">
        <f>Paramètres!G32</f>
        <v>991.95171026156925</v>
      </c>
      <c r="J8" s="163">
        <f>Paramètres!H32</f>
        <v>1041.5492957746478</v>
      </c>
      <c r="K8" s="640"/>
    </row>
    <row r="9" spans="1:12" x14ac:dyDescent="0.25">
      <c r="A9" s="36">
        <f>Données!A6</f>
        <v>5401</v>
      </c>
      <c r="B9" s="172" t="str">
        <f>Données!B6</f>
        <v>Aigle</v>
      </c>
      <c r="C9" s="41">
        <f>Données!Z6</f>
        <v>10518</v>
      </c>
      <c r="D9" s="8">
        <f>IF($C9&gt;D$5,IF($C9&lt;D$6,$C9-D$5,D$6-D$5),0)</f>
        <v>1000</v>
      </c>
      <c r="E9" s="12">
        <f t="shared" ref="E9:I24" si="0">IF($C9&gt;E$5,IF($C9&lt;E$6,$C9-E$5,E$6-E$5),0)</f>
        <v>2000</v>
      </c>
      <c r="F9" s="8">
        <f t="shared" si="0"/>
        <v>2000</v>
      </c>
      <c r="G9" s="12">
        <f t="shared" si="0"/>
        <v>4000</v>
      </c>
      <c r="H9" s="31">
        <f t="shared" si="0"/>
        <v>1518</v>
      </c>
      <c r="I9" s="8">
        <f t="shared" si="0"/>
        <v>0</v>
      </c>
      <c r="J9" s="8">
        <f>IF(C9&gt;$J$5,C9-$J$5,0)</f>
        <v>0</v>
      </c>
      <c r="K9" s="72">
        <f>-((D9*D$8)+(E9*E$8)+(F9*F$8)+(G9*G$8)+(H9*H$8)+(I9*I$8)+(J9*J$8))</f>
        <v>-5470911.2676056325</v>
      </c>
    </row>
    <row r="10" spans="1:12" x14ac:dyDescent="0.25">
      <c r="A10" s="38">
        <f>Données!A7</f>
        <v>5402</v>
      </c>
      <c r="B10" s="172" t="str">
        <f>Données!B7</f>
        <v>Bex</v>
      </c>
      <c r="C10" s="8">
        <f>Données!Z7</f>
        <v>7828</v>
      </c>
      <c r="D10" s="8">
        <f t="shared" ref="D10:I64" si="1">IF($C10&gt;D$5,IF($C10&lt;D$6,$C10-D$5,D$6-D$5),0)</f>
        <v>1000</v>
      </c>
      <c r="E10" s="227">
        <f t="shared" si="0"/>
        <v>2000</v>
      </c>
      <c r="F10" s="8">
        <f t="shared" si="0"/>
        <v>2000</v>
      </c>
      <c r="G10" s="227">
        <f t="shared" si="0"/>
        <v>2828</v>
      </c>
      <c r="H10" s="31">
        <f t="shared" si="0"/>
        <v>0</v>
      </c>
      <c r="I10" s="8">
        <f t="shared" si="0"/>
        <v>0</v>
      </c>
      <c r="J10" s="8">
        <f t="shared" ref="J10:J73" si="2">IF(C10&gt;$J$5,C10-$J$5,0)</f>
        <v>0</v>
      </c>
      <c r="K10" s="72">
        <f t="shared" ref="K10:K73" si="3">-((D10*D$8)+(E10*E$8)+(F10*F$8)+(G10*G$8)+(H10*H$8)+(I10*I$8)+(J10*J$8))</f>
        <v>-3493455.5331991948</v>
      </c>
    </row>
    <row r="11" spans="1:12" x14ac:dyDescent="0.25">
      <c r="A11" s="38">
        <f>Données!A8</f>
        <v>5403</v>
      </c>
      <c r="B11" s="172" t="str">
        <f>Données!B8</f>
        <v>Chessel</v>
      </c>
      <c r="C11" s="8">
        <f>Données!Z8</f>
        <v>444</v>
      </c>
      <c r="D11" s="8">
        <f t="shared" si="1"/>
        <v>444</v>
      </c>
      <c r="E11" s="227">
        <f t="shared" si="0"/>
        <v>0</v>
      </c>
      <c r="F11" s="8">
        <f t="shared" si="0"/>
        <v>0</v>
      </c>
      <c r="G11" s="227">
        <f t="shared" si="0"/>
        <v>0</v>
      </c>
      <c r="H11" s="31">
        <f t="shared" si="0"/>
        <v>0</v>
      </c>
      <c r="I11" s="8">
        <f t="shared" si="0"/>
        <v>0</v>
      </c>
      <c r="J11" s="8">
        <f t="shared" si="2"/>
        <v>0</v>
      </c>
      <c r="K11" s="72">
        <f t="shared" si="3"/>
        <v>-55053.319919517096</v>
      </c>
    </row>
    <row r="12" spans="1:12" x14ac:dyDescent="0.25">
      <c r="A12" s="38">
        <f>Données!A9</f>
        <v>5404</v>
      </c>
      <c r="B12" s="172" t="str">
        <f>Données!B9</f>
        <v>Corbeyrier</v>
      </c>
      <c r="C12" s="8">
        <f>Données!Z9</f>
        <v>445</v>
      </c>
      <c r="D12" s="8">
        <f t="shared" si="1"/>
        <v>445</v>
      </c>
      <c r="E12" s="227">
        <f t="shared" si="0"/>
        <v>0</v>
      </c>
      <c r="F12" s="8">
        <f t="shared" si="0"/>
        <v>0</v>
      </c>
      <c r="G12" s="227">
        <f t="shared" si="0"/>
        <v>0</v>
      </c>
      <c r="H12" s="31">
        <f t="shared" si="0"/>
        <v>0</v>
      </c>
      <c r="I12" s="8">
        <f t="shared" si="0"/>
        <v>0</v>
      </c>
      <c r="J12" s="8">
        <f t="shared" si="2"/>
        <v>0</v>
      </c>
      <c r="K12" s="72">
        <f t="shared" si="3"/>
        <v>-55177.313883299787</v>
      </c>
    </row>
    <row r="13" spans="1:12" x14ac:dyDescent="0.25">
      <c r="A13" s="38">
        <f>Données!A10</f>
        <v>5405</v>
      </c>
      <c r="B13" s="172" t="str">
        <f>Données!B10</f>
        <v>Gryon</v>
      </c>
      <c r="C13" s="8">
        <f>Données!Z10</f>
        <v>1378</v>
      </c>
      <c r="D13" s="8">
        <f t="shared" si="1"/>
        <v>1000</v>
      </c>
      <c r="E13" s="227">
        <f t="shared" si="0"/>
        <v>378</v>
      </c>
      <c r="F13" s="8">
        <f t="shared" si="0"/>
        <v>0</v>
      </c>
      <c r="G13" s="227">
        <f t="shared" si="0"/>
        <v>0</v>
      </c>
      <c r="H13" s="31">
        <f t="shared" si="0"/>
        <v>0</v>
      </c>
      <c r="I13" s="8">
        <f t="shared" si="0"/>
        <v>0</v>
      </c>
      <c r="J13" s="8">
        <f t="shared" si="2"/>
        <v>0</v>
      </c>
      <c r="K13" s="72">
        <f t="shared" si="3"/>
        <v>-255229.17505030177</v>
      </c>
    </row>
    <row r="14" spans="1:12" x14ac:dyDescent="0.25">
      <c r="A14" s="38">
        <f>Données!A11</f>
        <v>5406</v>
      </c>
      <c r="B14" s="172" t="str">
        <f>Données!B11</f>
        <v>Lavey-Morcles</v>
      </c>
      <c r="C14" s="8">
        <f>Données!Z11</f>
        <v>944</v>
      </c>
      <c r="D14" s="8">
        <f t="shared" si="1"/>
        <v>944</v>
      </c>
      <c r="E14" s="227">
        <f t="shared" si="0"/>
        <v>0</v>
      </c>
      <c r="F14" s="8">
        <f t="shared" si="0"/>
        <v>0</v>
      </c>
      <c r="G14" s="227">
        <f t="shared" si="0"/>
        <v>0</v>
      </c>
      <c r="H14" s="31">
        <f t="shared" si="0"/>
        <v>0</v>
      </c>
      <c r="I14" s="8">
        <f t="shared" si="0"/>
        <v>0</v>
      </c>
      <c r="J14" s="8">
        <f t="shared" si="2"/>
        <v>0</v>
      </c>
      <c r="K14" s="72">
        <f t="shared" si="3"/>
        <v>-117050.30181086517</v>
      </c>
    </row>
    <row r="15" spans="1:12" x14ac:dyDescent="0.25">
      <c r="A15" s="38">
        <f>Données!A12</f>
        <v>5407</v>
      </c>
      <c r="B15" s="172" t="str">
        <f>Données!B12</f>
        <v>Leysin</v>
      </c>
      <c r="C15" s="8">
        <f>Données!Z12</f>
        <v>3645</v>
      </c>
      <c r="D15" s="8">
        <f t="shared" si="1"/>
        <v>1000</v>
      </c>
      <c r="E15" s="227">
        <f t="shared" si="0"/>
        <v>2000</v>
      </c>
      <c r="F15" s="8">
        <f t="shared" si="0"/>
        <v>645</v>
      </c>
      <c r="G15" s="227">
        <f t="shared" si="0"/>
        <v>0</v>
      </c>
      <c r="H15" s="31">
        <f t="shared" si="0"/>
        <v>0</v>
      </c>
      <c r="I15" s="8">
        <f t="shared" si="0"/>
        <v>0</v>
      </c>
      <c r="J15" s="8">
        <f t="shared" si="2"/>
        <v>0</v>
      </c>
      <c r="K15" s="72">
        <f t="shared" si="3"/>
        <v>-1138264.5875251507</v>
      </c>
    </row>
    <row r="16" spans="1:12" x14ac:dyDescent="0.25">
      <c r="A16" s="38">
        <f>Données!A13</f>
        <v>5408</v>
      </c>
      <c r="B16" s="172" t="str">
        <f>Données!B13</f>
        <v>Noville</v>
      </c>
      <c r="C16" s="8">
        <f>Données!Z13</f>
        <v>1170</v>
      </c>
      <c r="D16" s="8">
        <f t="shared" si="1"/>
        <v>1000</v>
      </c>
      <c r="E16" s="227">
        <f t="shared" si="0"/>
        <v>170</v>
      </c>
      <c r="F16" s="8">
        <f t="shared" si="0"/>
        <v>0</v>
      </c>
      <c r="G16" s="227">
        <f t="shared" si="0"/>
        <v>0</v>
      </c>
      <c r="H16" s="31">
        <f t="shared" si="0"/>
        <v>0</v>
      </c>
      <c r="I16" s="8">
        <f t="shared" si="0"/>
        <v>0</v>
      </c>
      <c r="J16" s="8">
        <f t="shared" si="2"/>
        <v>0</v>
      </c>
      <c r="K16" s="72">
        <f t="shared" si="3"/>
        <v>-183015.09054325952</v>
      </c>
    </row>
    <row r="17" spans="1:11" x14ac:dyDescent="0.25">
      <c r="A17" s="38">
        <f>Données!A14</f>
        <v>5409</v>
      </c>
      <c r="B17" s="172" t="str">
        <f>Données!B14</f>
        <v>Ollon</v>
      </c>
      <c r="C17" s="8">
        <f>Données!Z14</f>
        <v>7634</v>
      </c>
      <c r="D17" s="8">
        <f t="shared" si="1"/>
        <v>1000</v>
      </c>
      <c r="E17" s="227">
        <f t="shared" si="0"/>
        <v>2000</v>
      </c>
      <c r="F17" s="8">
        <f t="shared" si="0"/>
        <v>2000</v>
      </c>
      <c r="G17" s="227">
        <f t="shared" si="0"/>
        <v>2634</v>
      </c>
      <c r="H17" s="31">
        <f t="shared" si="0"/>
        <v>0</v>
      </c>
      <c r="I17" s="8">
        <f t="shared" si="0"/>
        <v>0</v>
      </c>
      <c r="J17" s="8">
        <f t="shared" si="2"/>
        <v>0</v>
      </c>
      <c r="K17" s="72">
        <f t="shared" si="3"/>
        <v>-3377992.3541247481</v>
      </c>
    </row>
    <row r="18" spans="1:11" x14ac:dyDescent="0.25">
      <c r="A18" s="38">
        <f>Données!A15</f>
        <v>5410</v>
      </c>
      <c r="B18" s="172" t="str">
        <f>Données!B15</f>
        <v>Ormont-Dessous</v>
      </c>
      <c r="C18" s="8">
        <f>Données!Z15</f>
        <v>1180</v>
      </c>
      <c r="D18" s="8">
        <f t="shared" si="1"/>
        <v>1000</v>
      </c>
      <c r="E18" s="227">
        <f t="shared" si="0"/>
        <v>180</v>
      </c>
      <c r="F18" s="8">
        <f t="shared" si="0"/>
        <v>0</v>
      </c>
      <c r="G18" s="227">
        <f t="shared" si="0"/>
        <v>0</v>
      </c>
      <c r="H18" s="31">
        <f t="shared" si="0"/>
        <v>0</v>
      </c>
      <c r="I18" s="8">
        <f t="shared" si="0"/>
        <v>0</v>
      </c>
      <c r="J18" s="8">
        <f t="shared" si="2"/>
        <v>0</v>
      </c>
      <c r="K18" s="72">
        <f t="shared" si="3"/>
        <v>-186486.92152917502</v>
      </c>
    </row>
    <row r="19" spans="1:11" x14ac:dyDescent="0.25">
      <c r="A19" s="38">
        <f>Données!A16</f>
        <v>5411</v>
      </c>
      <c r="B19" s="172" t="str">
        <f>Données!B16</f>
        <v>Ormont-Dessus</v>
      </c>
      <c r="C19" s="8">
        <f>Données!Z16</f>
        <v>1466</v>
      </c>
      <c r="D19" s="8">
        <f t="shared" si="1"/>
        <v>1000</v>
      </c>
      <c r="E19" s="227">
        <f t="shared" si="0"/>
        <v>466</v>
      </c>
      <c r="F19" s="8">
        <f t="shared" si="0"/>
        <v>0</v>
      </c>
      <c r="G19" s="227">
        <f t="shared" si="0"/>
        <v>0</v>
      </c>
      <c r="H19" s="31">
        <f t="shared" si="0"/>
        <v>0</v>
      </c>
      <c r="I19" s="8">
        <f t="shared" si="0"/>
        <v>0</v>
      </c>
      <c r="J19" s="8">
        <f t="shared" si="2"/>
        <v>0</v>
      </c>
      <c r="K19" s="72">
        <f t="shared" si="3"/>
        <v>-285781.2877263581</v>
      </c>
    </row>
    <row r="20" spans="1:11" x14ac:dyDescent="0.25">
      <c r="A20" s="38">
        <f>Données!A17</f>
        <v>5412</v>
      </c>
      <c r="B20" s="172" t="str">
        <f>Données!B17</f>
        <v>Rennaz</v>
      </c>
      <c r="C20" s="8">
        <f>Données!Z17</f>
        <v>889</v>
      </c>
      <c r="D20" s="8">
        <f t="shared" si="1"/>
        <v>889</v>
      </c>
      <c r="E20" s="227">
        <f t="shared" si="0"/>
        <v>0</v>
      </c>
      <c r="F20" s="8">
        <f t="shared" si="0"/>
        <v>0</v>
      </c>
      <c r="G20" s="227">
        <f t="shared" si="0"/>
        <v>0</v>
      </c>
      <c r="H20" s="31">
        <f t="shared" si="0"/>
        <v>0</v>
      </c>
      <c r="I20" s="8">
        <f t="shared" si="0"/>
        <v>0</v>
      </c>
      <c r="J20" s="8">
        <f t="shared" si="2"/>
        <v>0</v>
      </c>
      <c r="K20" s="72">
        <f t="shared" si="3"/>
        <v>-110230.63380281688</v>
      </c>
    </row>
    <row r="21" spans="1:11" x14ac:dyDescent="0.25">
      <c r="A21" s="38">
        <f>Données!A18</f>
        <v>5413</v>
      </c>
      <c r="B21" s="172" t="str">
        <f>Données!B18</f>
        <v>Roche</v>
      </c>
      <c r="C21" s="8">
        <f>Données!Z18</f>
        <v>1868</v>
      </c>
      <c r="D21" s="8">
        <f t="shared" si="1"/>
        <v>1000</v>
      </c>
      <c r="E21" s="227">
        <f t="shared" si="0"/>
        <v>868</v>
      </c>
      <c r="F21" s="8">
        <f t="shared" si="0"/>
        <v>0</v>
      </c>
      <c r="G21" s="227">
        <f t="shared" si="0"/>
        <v>0</v>
      </c>
      <c r="H21" s="31">
        <f t="shared" si="0"/>
        <v>0</v>
      </c>
      <c r="I21" s="8">
        <f t="shared" si="0"/>
        <v>0</v>
      </c>
      <c r="J21" s="8">
        <f t="shared" si="2"/>
        <v>0</v>
      </c>
      <c r="K21" s="72">
        <f t="shared" si="3"/>
        <v>-425348.89336016093</v>
      </c>
    </row>
    <row r="22" spans="1:11" x14ac:dyDescent="0.25">
      <c r="A22" s="38">
        <f>Données!A19</f>
        <v>5414</v>
      </c>
      <c r="B22" s="172" t="str">
        <f>Données!B19</f>
        <v>Villeneuve</v>
      </c>
      <c r="C22" s="8">
        <f>Données!Z19</f>
        <v>5837</v>
      </c>
      <c r="D22" s="8">
        <f t="shared" si="1"/>
        <v>1000</v>
      </c>
      <c r="E22" s="227">
        <f t="shared" si="0"/>
        <v>2000</v>
      </c>
      <c r="F22" s="8">
        <f t="shared" si="0"/>
        <v>2000</v>
      </c>
      <c r="G22" s="227">
        <f t="shared" si="0"/>
        <v>837</v>
      </c>
      <c r="H22" s="31">
        <f t="shared" si="0"/>
        <v>0</v>
      </c>
      <c r="I22" s="8">
        <f t="shared" si="0"/>
        <v>0</v>
      </c>
      <c r="J22" s="8">
        <f t="shared" si="2"/>
        <v>0</v>
      </c>
      <c r="K22" s="72">
        <f t="shared" si="3"/>
        <v>-2308470.0201207241</v>
      </c>
    </row>
    <row r="23" spans="1:11" x14ac:dyDescent="0.25">
      <c r="A23" s="38">
        <f>Données!A20</f>
        <v>5415</v>
      </c>
      <c r="B23" s="172" t="str">
        <f>Données!B20</f>
        <v>Yvorne</v>
      </c>
      <c r="C23" s="8">
        <f>Données!Z20</f>
        <v>1070</v>
      </c>
      <c r="D23" s="8">
        <f t="shared" si="1"/>
        <v>1000</v>
      </c>
      <c r="E23" s="227">
        <f t="shared" si="0"/>
        <v>70</v>
      </c>
      <c r="F23" s="8">
        <f t="shared" si="0"/>
        <v>0</v>
      </c>
      <c r="G23" s="227">
        <f t="shared" si="0"/>
        <v>0</v>
      </c>
      <c r="H23" s="31">
        <f t="shared" si="0"/>
        <v>0</v>
      </c>
      <c r="I23" s="8">
        <f t="shared" si="0"/>
        <v>0</v>
      </c>
      <c r="J23" s="8">
        <f t="shared" si="2"/>
        <v>0</v>
      </c>
      <c r="K23" s="72">
        <f t="shared" si="3"/>
        <v>-148296.7806841046</v>
      </c>
    </row>
    <row r="24" spans="1:11" x14ac:dyDescent="0.25">
      <c r="A24" s="38">
        <f>Données!A21</f>
        <v>5422</v>
      </c>
      <c r="B24" s="172" t="str">
        <f>Données!B21</f>
        <v>Aubonne</v>
      </c>
      <c r="C24" s="8">
        <f>Données!Z21</f>
        <v>3764</v>
      </c>
      <c r="D24" s="8">
        <f t="shared" si="1"/>
        <v>1000</v>
      </c>
      <c r="E24" s="227">
        <f t="shared" si="0"/>
        <v>2000</v>
      </c>
      <c r="F24" s="8">
        <f t="shared" si="0"/>
        <v>764</v>
      </c>
      <c r="G24" s="227">
        <f t="shared" si="0"/>
        <v>0</v>
      </c>
      <c r="H24" s="31">
        <f t="shared" si="0"/>
        <v>0</v>
      </c>
      <c r="I24" s="8">
        <f t="shared" si="0"/>
        <v>0</v>
      </c>
      <c r="J24" s="8">
        <f t="shared" si="2"/>
        <v>0</v>
      </c>
      <c r="K24" s="72">
        <f t="shared" si="3"/>
        <v>-1197285.7142857141</v>
      </c>
    </row>
    <row r="25" spans="1:11" x14ac:dyDescent="0.25">
      <c r="A25" s="38">
        <f>Données!A22</f>
        <v>5423</v>
      </c>
      <c r="B25" s="172" t="str">
        <f>Données!B22</f>
        <v>Ballens</v>
      </c>
      <c r="C25" s="8">
        <f>Données!Z22</f>
        <v>562</v>
      </c>
      <c r="D25" s="8">
        <f t="shared" si="1"/>
        <v>562</v>
      </c>
      <c r="E25" s="227">
        <f t="shared" si="1"/>
        <v>0</v>
      </c>
      <c r="F25" s="8">
        <f t="shared" si="1"/>
        <v>0</v>
      </c>
      <c r="G25" s="227">
        <f t="shared" si="1"/>
        <v>0</v>
      </c>
      <c r="H25" s="31">
        <f t="shared" si="1"/>
        <v>0</v>
      </c>
      <c r="I25" s="8">
        <f t="shared" si="1"/>
        <v>0</v>
      </c>
      <c r="J25" s="8">
        <f t="shared" si="2"/>
        <v>0</v>
      </c>
      <c r="K25" s="72">
        <f t="shared" si="3"/>
        <v>-69684.607645875236</v>
      </c>
    </row>
    <row r="26" spans="1:11" x14ac:dyDescent="0.25">
      <c r="A26" s="38">
        <f>Données!A23</f>
        <v>5424</v>
      </c>
      <c r="B26" s="172" t="str">
        <f>Données!B23</f>
        <v>Berolle</v>
      </c>
      <c r="C26" s="8">
        <f>Données!Z23</f>
        <v>313</v>
      </c>
      <c r="D26" s="8">
        <f t="shared" si="1"/>
        <v>313</v>
      </c>
      <c r="E26" s="227">
        <f t="shared" si="1"/>
        <v>0</v>
      </c>
      <c r="F26" s="8">
        <f t="shared" si="1"/>
        <v>0</v>
      </c>
      <c r="G26" s="227">
        <f t="shared" si="1"/>
        <v>0</v>
      </c>
      <c r="H26" s="31">
        <f t="shared" si="1"/>
        <v>0</v>
      </c>
      <c r="I26" s="8">
        <f t="shared" si="1"/>
        <v>0</v>
      </c>
      <c r="J26" s="8">
        <f t="shared" si="2"/>
        <v>0</v>
      </c>
      <c r="K26" s="72">
        <f t="shared" si="3"/>
        <v>-38810.110663983898</v>
      </c>
    </row>
    <row r="27" spans="1:11" x14ac:dyDescent="0.25">
      <c r="A27" s="38">
        <f>Données!A24</f>
        <v>5425</v>
      </c>
      <c r="B27" s="172" t="str">
        <f>Données!B24</f>
        <v>Bière</v>
      </c>
      <c r="C27" s="8">
        <f>Données!Z24</f>
        <v>1627</v>
      </c>
      <c r="D27" s="8">
        <f t="shared" si="1"/>
        <v>1000</v>
      </c>
      <c r="E27" s="227">
        <f t="shared" si="1"/>
        <v>627</v>
      </c>
      <c r="F27" s="8">
        <f t="shared" si="1"/>
        <v>0</v>
      </c>
      <c r="G27" s="227">
        <f t="shared" si="1"/>
        <v>0</v>
      </c>
      <c r="H27" s="31">
        <f t="shared" si="1"/>
        <v>0</v>
      </c>
      <c r="I27" s="8">
        <f t="shared" si="1"/>
        <v>0</v>
      </c>
      <c r="J27" s="8">
        <f t="shared" si="2"/>
        <v>0</v>
      </c>
      <c r="K27" s="72">
        <f t="shared" si="3"/>
        <v>-341677.76659959753</v>
      </c>
    </row>
    <row r="28" spans="1:11" x14ac:dyDescent="0.25">
      <c r="A28" s="38">
        <f>Données!A25</f>
        <v>5426</v>
      </c>
      <c r="B28" s="172" t="str">
        <f>Données!B25</f>
        <v>Bougy-Villars</v>
      </c>
      <c r="C28" s="8">
        <f>Données!Z25</f>
        <v>477</v>
      </c>
      <c r="D28" s="8">
        <f t="shared" si="1"/>
        <v>477</v>
      </c>
      <c r="E28" s="227">
        <f t="shared" si="1"/>
        <v>0</v>
      </c>
      <c r="F28" s="8">
        <f t="shared" si="1"/>
        <v>0</v>
      </c>
      <c r="G28" s="227">
        <f t="shared" si="1"/>
        <v>0</v>
      </c>
      <c r="H28" s="31">
        <f t="shared" si="1"/>
        <v>0</v>
      </c>
      <c r="I28" s="8">
        <f t="shared" si="1"/>
        <v>0</v>
      </c>
      <c r="J28" s="8">
        <f t="shared" si="2"/>
        <v>0</v>
      </c>
      <c r="K28" s="72">
        <f t="shared" si="3"/>
        <v>-59145.120724346067</v>
      </c>
    </row>
    <row r="29" spans="1:11" x14ac:dyDescent="0.25">
      <c r="A29" s="38">
        <f>Données!A26</f>
        <v>5427</v>
      </c>
      <c r="B29" s="172" t="str">
        <f>Données!B26</f>
        <v>Féchy</v>
      </c>
      <c r="C29" s="8">
        <f>Données!Z26</f>
        <v>869</v>
      </c>
      <c r="D29" s="8">
        <f t="shared" si="1"/>
        <v>869</v>
      </c>
      <c r="E29" s="227">
        <f t="shared" si="1"/>
        <v>0</v>
      </c>
      <c r="F29" s="8">
        <f t="shared" si="1"/>
        <v>0</v>
      </c>
      <c r="G29" s="227">
        <f t="shared" si="1"/>
        <v>0</v>
      </c>
      <c r="H29" s="31">
        <f t="shared" si="1"/>
        <v>0</v>
      </c>
      <c r="I29" s="8">
        <f t="shared" si="1"/>
        <v>0</v>
      </c>
      <c r="J29" s="8">
        <f t="shared" si="2"/>
        <v>0</v>
      </c>
      <c r="K29" s="72">
        <f t="shared" si="3"/>
        <v>-107750.75452716296</v>
      </c>
    </row>
    <row r="30" spans="1:11" x14ac:dyDescent="0.25">
      <c r="A30" s="38">
        <f>Données!A27</f>
        <v>5428</v>
      </c>
      <c r="B30" s="172" t="str">
        <f>Données!B27</f>
        <v>Gimel</v>
      </c>
      <c r="C30" s="8">
        <f>Données!Z27</f>
        <v>2307</v>
      </c>
      <c r="D30" s="8">
        <f t="shared" si="1"/>
        <v>1000</v>
      </c>
      <c r="E30" s="227">
        <f t="shared" si="1"/>
        <v>1307</v>
      </c>
      <c r="F30" s="8">
        <f t="shared" si="1"/>
        <v>0</v>
      </c>
      <c r="G30" s="227">
        <f t="shared" si="1"/>
        <v>0</v>
      </c>
      <c r="H30" s="31">
        <f t="shared" si="1"/>
        <v>0</v>
      </c>
      <c r="I30" s="8">
        <f t="shared" si="1"/>
        <v>0</v>
      </c>
      <c r="J30" s="8">
        <f t="shared" si="2"/>
        <v>0</v>
      </c>
      <c r="K30" s="72">
        <f t="shared" si="3"/>
        <v>-577762.27364185103</v>
      </c>
    </row>
    <row r="31" spans="1:11" x14ac:dyDescent="0.25">
      <c r="A31" s="38">
        <f>Données!A28</f>
        <v>5429</v>
      </c>
      <c r="B31" s="172" t="str">
        <f>Données!B28</f>
        <v>Longirod</v>
      </c>
      <c r="C31" s="8">
        <f>Données!Z28</f>
        <v>494</v>
      </c>
      <c r="D31" s="8">
        <f t="shared" si="1"/>
        <v>494</v>
      </c>
      <c r="E31" s="227">
        <f t="shared" si="1"/>
        <v>0</v>
      </c>
      <c r="F31" s="8">
        <f t="shared" si="1"/>
        <v>0</v>
      </c>
      <c r="G31" s="227">
        <f t="shared" si="1"/>
        <v>0</v>
      </c>
      <c r="H31" s="31">
        <f t="shared" si="1"/>
        <v>0</v>
      </c>
      <c r="I31" s="8">
        <f t="shared" si="1"/>
        <v>0</v>
      </c>
      <c r="J31" s="8">
        <f t="shared" si="2"/>
        <v>0</v>
      </c>
      <c r="K31" s="72">
        <f t="shared" si="3"/>
        <v>-61253.018108651901</v>
      </c>
    </row>
    <row r="32" spans="1:11" x14ac:dyDescent="0.25">
      <c r="A32" s="38">
        <f>Données!A29</f>
        <v>5430</v>
      </c>
      <c r="B32" s="172" t="str">
        <f>Données!B29</f>
        <v>Marchissy</v>
      </c>
      <c r="C32" s="8">
        <f>Données!Z29</f>
        <v>481</v>
      </c>
      <c r="D32" s="8">
        <f t="shared" si="1"/>
        <v>481</v>
      </c>
      <c r="E32" s="227">
        <f t="shared" si="1"/>
        <v>0</v>
      </c>
      <c r="F32" s="8">
        <f t="shared" si="1"/>
        <v>0</v>
      </c>
      <c r="G32" s="227">
        <f t="shared" si="1"/>
        <v>0</v>
      </c>
      <c r="H32" s="31">
        <f t="shared" si="1"/>
        <v>0</v>
      </c>
      <c r="I32" s="8">
        <f t="shared" si="1"/>
        <v>0</v>
      </c>
      <c r="J32" s="8">
        <f t="shared" si="2"/>
        <v>0</v>
      </c>
      <c r="K32" s="72">
        <f t="shared" si="3"/>
        <v>-59641.096579476849</v>
      </c>
    </row>
    <row r="33" spans="1:11" x14ac:dyDescent="0.25">
      <c r="A33" s="38">
        <f>Données!A30</f>
        <v>5431</v>
      </c>
      <c r="B33" s="172" t="str">
        <f>Données!B30</f>
        <v>Mollens</v>
      </c>
      <c r="C33" s="8">
        <f>Données!Z30</f>
        <v>330</v>
      </c>
      <c r="D33" s="8">
        <f t="shared" si="1"/>
        <v>330</v>
      </c>
      <c r="E33" s="227">
        <f t="shared" si="1"/>
        <v>0</v>
      </c>
      <c r="F33" s="8">
        <f t="shared" si="1"/>
        <v>0</v>
      </c>
      <c r="G33" s="227">
        <f t="shared" si="1"/>
        <v>0</v>
      </c>
      <c r="H33" s="31">
        <f t="shared" si="1"/>
        <v>0</v>
      </c>
      <c r="I33" s="8">
        <f t="shared" si="1"/>
        <v>0</v>
      </c>
      <c r="J33" s="8">
        <f t="shared" si="2"/>
        <v>0</v>
      </c>
      <c r="K33" s="72">
        <f t="shared" si="3"/>
        <v>-40918.008048289732</v>
      </c>
    </row>
    <row r="34" spans="1:11" x14ac:dyDescent="0.25">
      <c r="A34" s="38">
        <f>Données!A31</f>
        <v>5434</v>
      </c>
      <c r="B34" s="172" t="str">
        <f>Données!B31</f>
        <v>Saint-George</v>
      </c>
      <c r="C34" s="8">
        <f>Données!Z31</f>
        <v>1074</v>
      </c>
      <c r="D34" s="8">
        <f t="shared" si="1"/>
        <v>1000</v>
      </c>
      <c r="E34" s="227">
        <f t="shared" si="1"/>
        <v>74</v>
      </c>
      <c r="F34" s="8">
        <f t="shared" si="1"/>
        <v>0</v>
      </c>
      <c r="G34" s="227">
        <f t="shared" si="1"/>
        <v>0</v>
      </c>
      <c r="H34" s="31">
        <f t="shared" si="1"/>
        <v>0</v>
      </c>
      <c r="I34" s="8">
        <f t="shared" si="1"/>
        <v>0</v>
      </c>
      <c r="J34" s="8">
        <f t="shared" si="2"/>
        <v>0</v>
      </c>
      <c r="K34" s="72">
        <f t="shared" si="3"/>
        <v>-149685.5130784708</v>
      </c>
    </row>
    <row r="35" spans="1:11" x14ac:dyDescent="0.25">
      <c r="A35" s="38">
        <f>Données!A32</f>
        <v>5435</v>
      </c>
      <c r="B35" s="172" t="str">
        <f>Données!B32</f>
        <v>Saint-Livres</v>
      </c>
      <c r="C35" s="8">
        <f>Données!Z32</f>
        <v>683</v>
      </c>
      <c r="D35" s="8">
        <f t="shared" si="1"/>
        <v>683</v>
      </c>
      <c r="E35" s="227">
        <f t="shared" si="1"/>
        <v>0</v>
      </c>
      <c r="F35" s="8">
        <f t="shared" si="1"/>
        <v>0</v>
      </c>
      <c r="G35" s="227">
        <f t="shared" si="1"/>
        <v>0</v>
      </c>
      <c r="H35" s="31">
        <f t="shared" si="1"/>
        <v>0</v>
      </c>
      <c r="I35" s="8">
        <f t="shared" si="1"/>
        <v>0</v>
      </c>
      <c r="J35" s="8">
        <f t="shared" si="2"/>
        <v>0</v>
      </c>
      <c r="K35" s="72">
        <f t="shared" si="3"/>
        <v>-84687.877263581468</v>
      </c>
    </row>
    <row r="36" spans="1:11" x14ac:dyDescent="0.25">
      <c r="A36" s="38">
        <f>Données!A33</f>
        <v>5436</v>
      </c>
      <c r="B36" s="172" t="str">
        <f>Données!B33</f>
        <v>Saint-Oyens</v>
      </c>
      <c r="C36" s="8">
        <f>Données!Z33</f>
        <v>461</v>
      </c>
      <c r="D36" s="8">
        <f t="shared" si="1"/>
        <v>461</v>
      </c>
      <c r="E36" s="227">
        <f t="shared" si="1"/>
        <v>0</v>
      </c>
      <c r="F36" s="8">
        <f t="shared" si="1"/>
        <v>0</v>
      </c>
      <c r="G36" s="227">
        <f t="shared" si="1"/>
        <v>0</v>
      </c>
      <c r="H36" s="31">
        <f t="shared" si="1"/>
        <v>0</v>
      </c>
      <c r="I36" s="8">
        <f t="shared" si="1"/>
        <v>0</v>
      </c>
      <c r="J36" s="8">
        <f t="shared" si="2"/>
        <v>0</v>
      </c>
      <c r="K36" s="72">
        <f t="shared" si="3"/>
        <v>-57161.21730382293</v>
      </c>
    </row>
    <row r="37" spans="1:11" x14ac:dyDescent="0.25">
      <c r="A37" s="38">
        <f>Données!A34</f>
        <v>5437</v>
      </c>
      <c r="B37" s="172" t="str">
        <f>Données!B34</f>
        <v>Saubraz</v>
      </c>
      <c r="C37" s="8">
        <f>Données!Z34</f>
        <v>423</v>
      </c>
      <c r="D37" s="8">
        <f t="shared" si="1"/>
        <v>423</v>
      </c>
      <c r="E37" s="227">
        <f t="shared" si="1"/>
        <v>0</v>
      </c>
      <c r="F37" s="8">
        <f t="shared" si="1"/>
        <v>0</v>
      </c>
      <c r="G37" s="227">
        <f t="shared" si="1"/>
        <v>0</v>
      </c>
      <c r="H37" s="31">
        <f t="shared" si="1"/>
        <v>0</v>
      </c>
      <c r="I37" s="8">
        <f t="shared" si="1"/>
        <v>0</v>
      </c>
      <c r="J37" s="8">
        <f t="shared" si="2"/>
        <v>0</v>
      </c>
      <c r="K37" s="72">
        <f t="shared" si="3"/>
        <v>-52449.446680080473</v>
      </c>
    </row>
    <row r="38" spans="1:11" x14ac:dyDescent="0.25">
      <c r="A38" s="38">
        <f>Données!A35</f>
        <v>5451</v>
      </c>
      <c r="B38" s="172" t="str">
        <f>Données!B35</f>
        <v>Avenches</v>
      </c>
      <c r="C38" s="8">
        <f>Données!Z35</f>
        <v>4482</v>
      </c>
      <c r="D38" s="8">
        <f t="shared" si="1"/>
        <v>1000</v>
      </c>
      <c r="E38" s="227">
        <f t="shared" si="1"/>
        <v>2000</v>
      </c>
      <c r="F38" s="8">
        <f t="shared" si="1"/>
        <v>1482</v>
      </c>
      <c r="G38" s="227">
        <f t="shared" si="1"/>
        <v>0</v>
      </c>
      <c r="H38" s="31">
        <f t="shared" si="1"/>
        <v>0</v>
      </c>
      <c r="I38" s="8">
        <f t="shared" si="1"/>
        <v>0</v>
      </c>
      <c r="J38" s="8">
        <f t="shared" si="2"/>
        <v>0</v>
      </c>
      <c r="K38" s="72">
        <f t="shared" si="3"/>
        <v>-1553396.3782696174</v>
      </c>
    </row>
    <row r="39" spans="1:11" x14ac:dyDescent="0.25">
      <c r="A39" s="38">
        <f>Données!A36</f>
        <v>5456</v>
      </c>
      <c r="B39" s="172" t="str">
        <f>Données!B36</f>
        <v>Cudrefin</v>
      </c>
      <c r="C39" s="8">
        <f>Données!Z36</f>
        <v>1780</v>
      </c>
      <c r="D39" s="8">
        <f t="shared" si="1"/>
        <v>1000</v>
      </c>
      <c r="E39" s="227">
        <f t="shared" si="1"/>
        <v>780</v>
      </c>
      <c r="F39" s="8">
        <f t="shared" si="1"/>
        <v>0</v>
      </c>
      <c r="G39" s="227">
        <f t="shared" si="1"/>
        <v>0</v>
      </c>
      <c r="H39" s="31">
        <f t="shared" si="1"/>
        <v>0</v>
      </c>
      <c r="I39" s="8">
        <f t="shared" si="1"/>
        <v>0</v>
      </c>
      <c r="J39" s="8">
        <f t="shared" si="2"/>
        <v>0</v>
      </c>
      <c r="K39" s="72">
        <f t="shared" si="3"/>
        <v>-394796.7806841046</v>
      </c>
    </row>
    <row r="40" spans="1:11" x14ac:dyDescent="0.25">
      <c r="A40" s="38">
        <f>Données!A37</f>
        <v>5458</v>
      </c>
      <c r="B40" s="172" t="str">
        <f>Données!B37</f>
        <v>Faoug</v>
      </c>
      <c r="C40" s="8">
        <f>Données!Z37</f>
        <v>881</v>
      </c>
      <c r="D40" s="8">
        <f t="shared" si="1"/>
        <v>881</v>
      </c>
      <c r="E40" s="227">
        <f t="shared" si="1"/>
        <v>0</v>
      </c>
      <c r="F40" s="8">
        <f t="shared" si="1"/>
        <v>0</v>
      </c>
      <c r="G40" s="227">
        <f t="shared" si="1"/>
        <v>0</v>
      </c>
      <c r="H40" s="31">
        <f t="shared" si="1"/>
        <v>0</v>
      </c>
      <c r="I40" s="8">
        <f t="shared" si="1"/>
        <v>0</v>
      </c>
      <c r="J40" s="8">
        <f t="shared" si="2"/>
        <v>0</v>
      </c>
      <c r="K40" s="72">
        <f t="shared" si="3"/>
        <v>-109238.68209255532</v>
      </c>
    </row>
    <row r="41" spans="1:11" x14ac:dyDescent="0.25">
      <c r="A41" s="38">
        <f>Données!A38</f>
        <v>5464</v>
      </c>
      <c r="B41" s="172" t="str">
        <f>Données!B38</f>
        <v>Vully-les-Lacs</v>
      </c>
      <c r="C41" s="8">
        <f>Données!Z38</f>
        <v>3360</v>
      </c>
      <c r="D41" s="8">
        <f t="shared" si="1"/>
        <v>1000</v>
      </c>
      <c r="E41" s="227">
        <f t="shared" si="1"/>
        <v>2000</v>
      </c>
      <c r="F41" s="8">
        <f t="shared" si="1"/>
        <v>360</v>
      </c>
      <c r="G41" s="227">
        <f t="shared" si="1"/>
        <v>0</v>
      </c>
      <c r="H41" s="31">
        <f t="shared" si="1"/>
        <v>0</v>
      </c>
      <c r="I41" s="8">
        <f t="shared" si="1"/>
        <v>0</v>
      </c>
      <c r="J41" s="8">
        <f t="shared" si="2"/>
        <v>0</v>
      </c>
      <c r="K41" s="72">
        <f t="shared" si="3"/>
        <v>-996911.4688128772</v>
      </c>
    </row>
    <row r="42" spans="1:11" x14ac:dyDescent="0.25">
      <c r="A42" s="38">
        <f>Données!A39</f>
        <v>5471</v>
      </c>
      <c r="B42" s="172" t="str">
        <f>Données!B39</f>
        <v>Bettens</v>
      </c>
      <c r="C42" s="8">
        <f>Données!Z39</f>
        <v>636</v>
      </c>
      <c r="D42" s="8">
        <f t="shared" si="1"/>
        <v>636</v>
      </c>
      <c r="E42" s="227">
        <f t="shared" si="1"/>
        <v>0</v>
      </c>
      <c r="F42" s="8">
        <f t="shared" si="1"/>
        <v>0</v>
      </c>
      <c r="G42" s="227">
        <f t="shared" si="1"/>
        <v>0</v>
      </c>
      <c r="H42" s="31">
        <f t="shared" si="1"/>
        <v>0</v>
      </c>
      <c r="I42" s="8">
        <f t="shared" si="1"/>
        <v>0</v>
      </c>
      <c r="J42" s="8">
        <f t="shared" si="2"/>
        <v>0</v>
      </c>
      <c r="K42" s="72">
        <f t="shared" si="3"/>
        <v>-78860.160965794756</v>
      </c>
    </row>
    <row r="43" spans="1:11" x14ac:dyDescent="0.25">
      <c r="A43" s="38">
        <f>Données!A40</f>
        <v>5472</v>
      </c>
      <c r="B43" s="172" t="str">
        <f>Données!B40</f>
        <v>Bournens</v>
      </c>
      <c r="C43" s="8">
        <f>Données!Z40</f>
        <v>490</v>
      </c>
      <c r="D43" s="8">
        <f t="shared" si="1"/>
        <v>490</v>
      </c>
      <c r="E43" s="227">
        <f t="shared" si="1"/>
        <v>0</v>
      </c>
      <c r="F43" s="8">
        <f t="shared" si="1"/>
        <v>0</v>
      </c>
      <c r="G43" s="227">
        <f t="shared" si="1"/>
        <v>0</v>
      </c>
      <c r="H43" s="31">
        <f t="shared" si="1"/>
        <v>0</v>
      </c>
      <c r="I43" s="8">
        <f t="shared" si="1"/>
        <v>0</v>
      </c>
      <c r="J43" s="8">
        <f t="shared" si="2"/>
        <v>0</v>
      </c>
      <c r="K43" s="72">
        <f t="shared" si="3"/>
        <v>-60757.042253521118</v>
      </c>
    </row>
    <row r="44" spans="1:11" x14ac:dyDescent="0.25">
      <c r="A44" s="38">
        <f>Données!A41</f>
        <v>5473</v>
      </c>
      <c r="B44" s="172" t="str">
        <f>Données!B41</f>
        <v>Boussens</v>
      </c>
      <c r="C44" s="8">
        <f>Données!Z41</f>
        <v>999</v>
      </c>
      <c r="D44" s="8">
        <f t="shared" si="1"/>
        <v>999</v>
      </c>
      <c r="E44" s="227">
        <f t="shared" si="1"/>
        <v>0</v>
      </c>
      <c r="F44" s="8">
        <f t="shared" si="1"/>
        <v>0</v>
      </c>
      <c r="G44" s="227">
        <f t="shared" si="1"/>
        <v>0</v>
      </c>
      <c r="H44" s="31">
        <f t="shared" si="1"/>
        <v>0</v>
      </c>
      <c r="I44" s="8">
        <f t="shared" si="1"/>
        <v>0</v>
      </c>
      <c r="J44" s="8">
        <f t="shared" si="2"/>
        <v>0</v>
      </c>
      <c r="K44" s="72">
        <f t="shared" si="3"/>
        <v>-123869.96981891347</v>
      </c>
    </row>
    <row r="45" spans="1:11" x14ac:dyDescent="0.25">
      <c r="A45" s="38">
        <f>Données!A42</f>
        <v>5474</v>
      </c>
      <c r="B45" s="172" t="str">
        <f>Données!B42</f>
        <v>La Chaux (Cossonay)</v>
      </c>
      <c r="C45" s="8">
        <f>Données!Z42</f>
        <v>391</v>
      </c>
      <c r="D45" s="8">
        <f t="shared" si="1"/>
        <v>391</v>
      </c>
      <c r="E45" s="227">
        <f t="shared" si="1"/>
        <v>0</v>
      </c>
      <c r="F45" s="8">
        <f t="shared" si="1"/>
        <v>0</v>
      </c>
      <c r="G45" s="227">
        <f t="shared" si="1"/>
        <v>0</v>
      </c>
      <c r="H45" s="31">
        <f t="shared" si="1"/>
        <v>0</v>
      </c>
      <c r="I45" s="8">
        <f t="shared" si="1"/>
        <v>0</v>
      </c>
      <c r="J45" s="8">
        <f t="shared" si="2"/>
        <v>0</v>
      </c>
      <c r="K45" s="72">
        <f t="shared" si="3"/>
        <v>-48481.6398390342</v>
      </c>
    </row>
    <row r="46" spans="1:11" x14ac:dyDescent="0.25">
      <c r="A46" s="38">
        <f>Données!A43</f>
        <v>5475</v>
      </c>
      <c r="B46" s="172" t="str">
        <f>Données!B43</f>
        <v>Chavannes-le-Veyron</v>
      </c>
      <c r="C46" s="8">
        <f>Données!Z43</f>
        <v>152</v>
      </c>
      <c r="D46" s="8">
        <f t="shared" si="1"/>
        <v>152</v>
      </c>
      <c r="E46" s="227">
        <f t="shared" si="1"/>
        <v>0</v>
      </c>
      <c r="F46" s="8">
        <f t="shared" si="1"/>
        <v>0</v>
      </c>
      <c r="G46" s="227">
        <f t="shared" si="1"/>
        <v>0</v>
      </c>
      <c r="H46" s="31">
        <f t="shared" si="1"/>
        <v>0</v>
      </c>
      <c r="I46" s="8">
        <f t="shared" si="1"/>
        <v>0</v>
      </c>
      <c r="J46" s="8">
        <f t="shared" si="2"/>
        <v>0</v>
      </c>
      <c r="K46" s="72">
        <f t="shared" si="3"/>
        <v>-18847.082494969814</v>
      </c>
    </row>
    <row r="47" spans="1:11" x14ac:dyDescent="0.25">
      <c r="A47" s="38">
        <f>Données!A44</f>
        <v>5476</v>
      </c>
      <c r="B47" s="172" t="str">
        <f>Données!B44</f>
        <v>Chevilly</v>
      </c>
      <c r="C47" s="8">
        <f>Données!Z44</f>
        <v>317</v>
      </c>
      <c r="D47" s="8">
        <f t="shared" si="1"/>
        <v>317</v>
      </c>
      <c r="E47" s="227">
        <f t="shared" si="1"/>
        <v>0</v>
      </c>
      <c r="F47" s="8">
        <f t="shared" si="1"/>
        <v>0</v>
      </c>
      <c r="G47" s="227">
        <f t="shared" si="1"/>
        <v>0</v>
      </c>
      <c r="H47" s="31">
        <f t="shared" si="1"/>
        <v>0</v>
      </c>
      <c r="I47" s="8">
        <f t="shared" si="1"/>
        <v>0</v>
      </c>
      <c r="J47" s="8">
        <f t="shared" si="2"/>
        <v>0</v>
      </c>
      <c r="K47" s="72">
        <f t="shared" si="3"/>
        <v>-39306.08651911468</v>
      </c>
    </row>
    <row r="48" spans="1:11" x14ac:dyDescent="0.25">
      <c r="A48" s="38">
        <f>Données!A45</f>
        <v>5477</v>
      </c>
      <c r="B48" s="172" t="str">
        <f>Données!B45</f>
        <v>Cossonay</v>
      </c>
      <c r="C48" s="8">
        <f>Données!Z45</f>
        <v>4222</v>
      </c>
      <c r="D48" s="8">
        <f t="shared" si="1"/>
        <v>1000</v>
      </c>
      <c r="E48" s="227">
        <f t="shared" si="1"/>
        <v>2000</v>
      </c>
      <c r="F48" s="8">
        <f t="shared" si="1"/>
        <v>1222</v>
      </c>
      <c r="G48" s="227">
        <f t="shared" si="1"/>
        <v>0</v>
      </c>
      <c r="H48" s="31">
        <f t="shared" si="1"/>
        <v>0</v>
      </c>
      <c r="I48" s="8">
        <f t="shared" si="1"/>
        <v>0</v>
      </c>
      <c r="J48" s="8">
        <f t="shared" si="2"/>
        <v>0</v>
      </c>
      <c r="K48" s="72">
        <f t="shared" si="3"/>
        <v>-1424442.6559356134</v>
      </c>
    </row>
    <row r="49" spans="1:11" x14ac:dyDescent="0.25">
      <c r="A49" s="38">
        <f>Données!A46</f>
        <v>5479</v>
      </c>
      <c r="B49" s="172" t="str">
        <f>Données!B46</f>
        <v>Cuarnens</v>
      </c>
      <c r="C49" s="8">
        <f>Données!Z46</f>
        <v>527</v>
      </c>
      <c r="D49" s="8">
        <f t="shared" si="1"/>
        <v>527</v>
      </c>
      <c r="E49" s="227">
        <f t="shared" si="1"/>
        <v>0</v>
      </c>
      <c r="F49" s="8">
        <f t="shared" si="1"/>
        <v>0</v>
      </c>
      <c r="G49" s="227">
        <f t="shared" si="1"/>
        <v>0</v>
      </c>
      <c r="H49" s="31">
        <f t="shared" si="1"/>
        <v>0</v>
      </c>
      <c r="I49" s="8">
        <f t="shared" si="1"/>
        <v>0</v>
      </c>
      <c r="J49" s="8">
        <f t="shared" si="2"/>
        <v>0</v>
      </c>
      <c r="K49" s="72">
        <f t="shared" si="3"/>
        <v>-65344.818913480871</v>
      </c>
    </row>
    <row r="50" spans="1:11" x14ac:dyDescent="0.25">
      <c r="A50" s="38">
        <f>Données!A47</f>
        <v>5480</v>
      </c>
      <c r="B50" s="172" t="str">
        <f>Données!B47</f>
        <v>Daillens</v>
      </c>
      <c r="C50" s="8">
        <f>Données!Z47</f>
        <v>1048</v>
      </c>
      <c r="D50" s="8">
        <f t="shared" si="1"/>
        <v>1000</v>
      </c>
      <c r="E50" s="227">
        <f t="shared" si="1"/>
        <v>48</v>
      </c>
      <c r="F50" s="8">
        <f t="shared" si="1"/>
        <v>0</v>
      </c>
      <c r="G50" s="227">
        <f t="shared" si="1"/>
        <v>0</v>
      </c>
      <c r="H50" s="31">
        <f t="shared" si="1"/>
        <v>0</v>
      </c>
      <c r="I50" s="8">
        <f t="shared" si="1"/>
        <v>0</v>
      </c>
      <c r="J50" s="8">
        <f t="shared" si="2"/>
        <v>0</v>
      </c>
      <c r="K50" s="72">
        <f t="shared" si="3"/>
        <v>-140658.75251509051</v>
      </c>
    </row>
    <row r="51" spans="1:11" x14ac:dyDescent="0.25">
      <c r="A51" s="38">
        <f>Données!A48</f>
        <v>5481</v>
      </c>
      <c r="B51" s="172" t="str">
        <f>Données!B48</f>
        <v>Dizy</v>
      </c>
      <c r="C51" s="8">
        <f>Données!Z48</f>
        <v>224</v>
      </c>
      <c r="D51" s="8">
        <f t="shared" si="1"/>
        <v>224</v>
      </c>
      <c r="E51" s="227">
        <f t="shared" si="1"/>
        <v>0</v>
      </c>
      <c r="F51" s="8">
        <f t="shared" si="1"/>
        <v>0</v>
      </c>
      <c r="G51" s="227">
        <f t="shared" si="1"/>
        <v>0</v>
      </c>
      <c r="H51" s="31">
        <f t="shared" si="1"/>
        <v>0</v>
      </c>
      <c r="I51" s="8">
        <f t="shared" si="1"/>
        <v>0</v>
      </c>
      <c r="J51" s="8">
        <f t="shared" si="2"/>
        <v>0</v>
      </c>
      <c r="K51" s="72">
        <f t="shared" si="3"/>
        <v>-27774.647887323939</v>
      </c>
    </row>
    <row r="52" spans="1:11" x14ac:dyDescent="0.25">
      <c r="A52" s="38">
        <f>Données!A49</f>
        <v>5482</v>
      </c>
      <c r="B52" s="172" t="str">
        <f>Données!B49</f>
        <v>Eclépens</v>
      </c>
      <c r="C52" s="8">
        <f>Données!Z49</f>
        <v>1220</v>
      </c>
      <c r="D52" s="8">
        <f t="shared" si="1"/>
        <v>1000</v>
      </c>
      <c r="E52" s="227">
        <f t="shared" si="1"/>
        <v>220</v>
      </c>
      <c r="F52" s="8">
        <f t="shared" si="1"/>
        <v>0</v>
      </c>
      <c r="G52" s="227">
        <f t="shared" si="1"/>
        <v>0</v>
      </c>
      <c r="H52" s="31">
        <f t="shared" si="1"/>
        <v>0</v>
      </c>
      <c r="I52" s="8">
        <f t="shared" si="1"/>
        <v>0</v>
      </c>
      <c r="J52" s="8">
        <f t="shared" si="2"/>
        <v>0</v>
      </c>
      <c r="K52" s="72">
        <f t="shared" si="3"/>
        <v>-200374.24547283701</v>
      </c>
    </row>
    <row r="53" spans="1:11" x14ac:dyDescent="0.25">
      <c r="A53" s="38">
        <f>Données!A50</f>
        <v>5483</v>
      </c>
      <c r="B53" s="172" t="str">
        <f>Données!B50</f>
        <v>Ferreyres</v>
      </c>
      <c r="C53" s="8">
        <f>Données!Z50</f>
        <v>319</v>
      </c>
      <c r="D53" s="8">
        <f t="shared" si="1"/>
        <v>319</v>
      </c>
      <c r="E53" s="227">
        <f t="shared" si="1"/>
        <v>0</v>
      </c>
      <c r="F53" s="8">
        <f t="shared" si="1"/>
        <v>0</v>
      </c>
      <c r="G53" s="227">
        <f t="shared" si="1"/>
        <v>0</v>
      </c>
      <c r="H53" s="31">
        <f t="shared" si="1"/>
        <v>0</v>
      </c>
      <c r="I53" s="8">
        <f t="shared" si="1"/>
        <v>0</v>
      </c>
      <c r="J53" s="8">
        <f t="shared" si="2"/>
        <v>0</v>
      </c>
      <c r="K53" s="72">
        <f t="shared" si="3"/>
        <v>-39554.074446680075</v>
      </c>
    </row>
    <row r="54" spans="1:11" x14ac:dyDescent="0.25">
      <c r="A54" s="38">
        <f>Données!A51</f>
        <v>5484</v>
      </c>
      <c r="B54" s="172" t="str">
        <f>Données!B51</f>
        <v>Gollion</v>
      </c>
      <c r="C54" s="8">
        <f>Données!Z51</f>
        <v>996</v>
      </c>
      <c r="D54" s="8">
        <f t="shared" si="1"/>
        <v>996</v>
      </c>
      <c r="E54" s="227">
        <f t="shared" si="1"/>
        <v>0</v>
      </c>
      <c r="F54" s="8">
        <f t="shared" si="1"/>
        <v>0</v>
      </c>
      <c r="G54" s="227">
        <f t="shared" si="1"/>
        <v>0</v>
      </c>
      <c r="H54" s="31">
        <f t="shared" si="1"/>
        <v>0</v>
      </c>
      <c r="I54" s="8">
        <f t="shared" si="1"/>
        <v>0</v>
      </c>
      <c r="J54" s="8">
        <f t="shared" si="2"/>
        <v>0</v>
      </c>
      <c r="K54" s="72">
        <f t="shared" si="3"/>
        <v>-123497.98792756537</v>
      </c>
    </row>
    <row r="55" spans="1:11" x14ac:dyDescent="0.25">
      <c r="A55" s="38">
        <f>Données!A52</f>
        <v>5485</v>
      </c>
      <c r="B55" s="172" t="str">
        <f>Données!B52</f>
        <v>Grancy</v>
      </c>
      <c r="C55" s="8">
        <f>Données!Z52</f>
        <v>406</v>
      </c>
      <c r="D55" s="8">
        <f t="shared" si="1"/>
        <v>406</v>
      </c>
      <c r="E55" s="227">
        <f t="shared" si="1"/>
        <v>0</v>
      </c>
      <c r="F55" s="8">
        <f t="shared" si="1"/>
        <v>0</v>
      </c>
      <c r="G55" s="227">
        <f t="shared" si="1"/>
        <v>0</v>
      </c>
      <c r="H55" s="31">
        <f t="shared" si="1"/>
        <v>0</v>
      </c>
      <c r="I55" s="8">
        <f t="shared" si="1"/>
        <v>0</v>
      </c>
      <c r="J55" s="8">
        <f t="shared" si="2"/>
        <v>0</v>
      </c>
      <c r="K55" s="72">
        <f t="shared" si="3"/>
        <v>-50341.549295774639</v>
      </c>
    </row>
    <row r="56" spans="1:11" x14ac:dyDescent="0.25">
      <c r="A56" s="38">
        <f>Données!A53</f>
        <v>5486</v>
      </c>
      <c r="B56" s="172" t="str">
        <f>Données!B53</f>
        <v>L'Isle</v>
      </c>
      <c r="C56" s="8">
        <f>Données!Z53</f>
        <v>1065</v>
      </c>
      <c r="D56" s="8">
        <f t="shared" si="1"/>
        <v>1000</v>
      </c>
      <c r="E56" s="227">
        <f t="shared" si="1"/>
        <v>65</v>
      </c>
      <c r="F56" s="8">
        <f t="shared" si="1"/>
        <v>0</v>
      </c>
      <c r="G56" s="227">
        <f t="shared" si="1"/>
        <v>0</v>
      </c>
      <c r="H56" s="31">
        <f t="shared" si="1"/>
        <v>0</v>
      </c>
      <c r="I56" s="8">
        <f t="shared" si="1"/>
        <v>0</v>
      </c>
      <c r="J56" s="8">
        <f t="shared" si="2"/>
        <v>0</v>
      </c>
      <c r="K56" s="72">
        <f t="shared" si="3"/>
        <v>-146560.86519114685</v>
      </c>
    </row>
    <row r="57" spans="1:11" x14ac:dyDescent="0.25">
      <c r="A57" s="38">
        <f>Données!A54</f>
        <v>5487</v>
      </c>
      <c r="B57" s="172" t="str">
        <f>Données!B54</f>
        <v>Lussery-Villars</v>
      </c>
      <c r="C57" s="8">
        <f>Données!Z54</f>
        <v>459</v>
      </c>
      <c r="D57" s="8">
        <f t="shared" si="1"/>
        <v>459</v>
      </c>
      <c r="E57" s="227">
        <f t="shared" si="1"/>
        <v>0</v>
      </c>
      <c r="F57" s="8">
        <f t="shared" si="1"/>
        <v>0</v>
      </c>
      <c r="G57" s="227">
        <f t="shared" si="1"/>
        <v>0</v>
      </c>
      <c r="H57" s="31">
        <f t="shared" si="1"/>
        <v>0</v>
      </c>
      <c r="I57" s="8">
        <f t="shared" si="1"/>
        <v>0</v>
      </c>
      <c r="J57" s="8">
        <f t="shared" si="2"/>
        <v>0</v>
      </c>
      <c r="K57" s="72">
        <f t="shared" si="3"/>
        <v>-56913.229376257535</v>
      </c>
    </row>
    <row r="58" spans="1:11" x14ac:dyDescent="0.25">
      <c r="A58" s="38">
        <f>Données!A55</f>
        <v>5488</v>
      </c>
      <c r="B58" s="172" t="str">
        <f>Données!B55</f>
        <v>Mauraz</v>
      </c>
      <c r="C58" s="8">
        <f>Données!Z55</f>
        <v>58</v>
      </c>
      <c r="D58" s="8">
        <f t="shared" si="1"/>
        <v>58</v>
      </c>
      <c r="E58" s="227">
        <f t="shared" si="1"/>
        <v>0</v>
      </c>
      <c r="F58" s="8">
        <f t="shared" si="1"/>
        <v>0</v>
      </c>
      <c r="G58" s="227">
        <f t="shared" si="1"/>
        <v>0</v>
      </c>
      <c r="H58" s="31">
        <f t="shared" si="1"/>
        <v>0</v>
      </c>
      <c r="I58" s="8">
        <f t="shared" si="1"/>
        <v>0</v>
      </c>
      <c r="J58" s="8">
        <f t="shared" si="2"/>
        <v>0</v>
      </c>
      <c r="K58" s="72">
        <f t="shared" si="3"/>
        <v>-7191.6498993963769</v>
      </c>
    </row>
    <row r="59" spans="1:11" x14ac:dyDescent="0.25">
      <c r="A59" s="38">
        <f>Données!A56</f>
        <v>5489</v>
      </c>
      <c r="B59" s="172" t="str">
        <f>Données!B56</f>
        <v>Mex</v>
      </c>
      <c r="C59" s="8">
        <f>Données!Z56</f>
        <v>791</v>
      </c>
      <c r="D59" s="8">
        <f t="shared" si="1"/>
        <v>791</v>
      </c>
      <c r="E59" s="227">
        <f t="shared" si="1"/>
        <v>0</v>
      </c>
      <c r="F59" s="8">
        <f t="shared" si="1"/>
        <v>0</v>
      </c>
      <c r="G59" s="227">
        <f t="shared" si="1"/>
        <v>0</v>
      </c>
      <c r="H59" s="31">
        <f t="shared" si="1"/>
        <v>0</v>
      </c>
      <c r="I59" s="8">
        <f t="shared" si="1"/>
        <v>0</v>
      </c>
      <c r="J59" s="8">
        <f t="shared" si="2"/>
        <v>0</v>
      </c>
      <c r="K59" s="72">
        <f t="shared" si="3"/>
        <v>-98079.225352112655</v>
      </c>
    </row>
    <row r="60" spans="1:11" x14ac:dyDescent="0.25">
      <c r="A60" s="38">
        <f>Données!A57</f>
        <v>5490</v>
      </c>
      <c r="B60" s="172" t="str">
        <f>Données!B57</f>
        <v>Moiry</v>
      </c>
      <c r="C60" s="8">
        <f>Données!Z57</f>
        <v>311</v>
      </c>
      <c r="D60" s="8">
        <f t="shared" si="1"/>
        <v>311</v>
      </c>
      <c r="E60" s="227">
        <f t="shared" si="1"/>
        <v>0</v>
      </c>
      <c r="F60" s="8">
        <f t="shared" si="1"/>
        <v>0</v>
      </c>
      <c r="G60" s="227">
        <f t="shared" si="1"/>
        <v>0</v>
      </c>
      <c r="H60" s="31">
        <f t="shared" si="1"/>
        <v>0</v>
      </c>
      <c r="I60" s="8">
        <f t="shared" si="1"/>
        <v>0</v>
      </c>
      <c r="J60" s="8">
        <f t="shared" si="2"/>
        <v>0</v>
      </c>
      <c r="K60" s="72">
        <f t="shared" si="3"/>
        <v>-38562.122736418503</v>
      </c>
    </row>
    <row r="61" spans="1:11" x14ac:dyDescent="0.25">
      <c r="A61" s="38">
        <f>Données!A58</f>
        <v>5491</v>
      </c>
      <c r="B61" s="172" t="str">
        <f>Données!B58</f>
        <v>Mont-la-Ville</v>
      </c>
      <c r="C61" s="8">
        <f>Données!Z58</f>
        <v>490</v>
      </c>
      <c r="D61" s="8">
        <f t="shared" si="1"/>
        <v>490</v>
      </c>
      <c r="E61" s="227">
        <f t="shared" si="1"/>
        <v>0</v>
      </c>
      <c r="F61" s="8">
        <f t="shared" si="1"/>
        <v>0</v>
      </c>
      <c r="G61" s="227">
        <f t="shared" si="1"/>
        <v>0</v>
      </c>
      <c r="H61" s="31">
        <f t="shared" si="1"/>
        <v>0</v>
      </c>
      <c r="I61" s="8">
        <f t="shared" si="1"/>
        <v>0</v>
      </c>
      <c r="J61" s="8">
        <f t="shared" si="2"/>
        <v>0</v>
      </c>
      <c r="K61" s="72">
        <f t="shared" si="3"/>
        <v>-60757.042253521118</v>
      </c>
    </row>
    <row r="62" spans="1:11" x14ac:dyDescent="0.25">
      <c r="A62" s="38">
        <f>Données!A59</f>
        <v>5492</v>
      </c>
      <c r="B62" s="172" t="str">
        <f>Données!B59</f>
        <v>Montricher</v>
      </c>
      <c r="C62" s="8">
        <f>Données!Z59</f>
        <v>964</v>
      </c>
      <c r="D62" s="8">
        <f t="shared" si="1"/>
        <v>964</v>
      </c>
      <c r="E62" s="227">
        <f t="shared" si="1"/>
        <v>0</v>
      </c>
      <c r="F62" s="8">
        <f t="shared" si="1"/>
        <v>0</v>
      </c>
      <c r="G62" s="227">
        <f t="shared" si="1"/>
        <v>0</v>
      </c>
      <c r="H62" s="31">
        <f t="shared" si="1"/>
        <v>0</v>
      </c>
      <c r="I62" s="8">
        <f t="shared" si="1"/>
        <v>0</v>
      </c>
      <c r="J62" s="8">
        <f t="shared" si="2"/>
        <v>0</v>
      </c>
      <c r="K62" s="72">
        <f t="shared" si="3"/>
        <v>-119530.18108651909</v>
      </c>
    </row>
    <row r="63" spans="1:11" x14ac:dyDescent="0.25">
      <c r="A63" s="38">
        <f>Données!A60</f>
        <v>5493</v>
      </c>
      <c r="B63" s="172" t="str">
        <f>Données!B60</f>
        <v>Orny</v>
      </c>
      <c r="C63" s="8">
        <f>Données!Z60</f>
        <v>462</v>
      </c>
      <c r="D63" s="8">
        <f t="shared" si="1"/>
        <v>462</v>
      </c>
      <c r="E63" s="227">
        <f t="shared" si="1"/>
        <v>0</v>
      </c>
      <c r="F63" s="8">
        <f t="shared" si="1"/>
        <v>0</v>
      </c>
      <c r="G63" s="227">
        <f t="shared" si="1"/>
        <v>0</v>
      </c>
      <c r="H63" s="31">
        <f t="shared" si="1"/>
        <v>0</v>
      </c>
      <c r="I63" s="8">
        <f t="shared" si="1"/>
        <v>0</v>
      </c>
      <c r="J63" s="8">
        <f t="shared" si="2"/>
        <v>0</v>
      </c>
      <c r="K63" s="72">
        <f t="shared" si="3"/>
        <v>-57285.21126760562</v>
      </c>
    </row>
    <row r="64" spans="1:11" x14ac:dyDescent="0.25">
      <c r="A64" s="38">
        <f>Données!A61</f>
        <v>5495</v>
      </c>
      <c r="B64" s="172" t="str">
        <f>Données!B61</f>
        <v>Penthalaz</v>
      </c>
      <c r="C64" s="8">
        <f>Données!Z61</f>
        <v>3207</v>
      </c>
      <c r="D64" s="8">
        <f t="shared" si="1"/>
        <v>1000</v>
      </c>
      <c r="E64" s="227">
        <f t="shared" si="1"/>
        <v>2000</v>
      </c>
      <c r="F64" s="8">
        <f t="shared" si="1"/>
        <v>207</v>
      </c>
      <c r="G64" s="227">
        <f t="shared" si="1"/>
        <v>0</v>
      </c>
      <c r="H64" s="31">
        <f t="shared" si="1"/>
        <v>0</v>
      </c>
      <c r="I64" s="8">
        <f t="shared" si="1"/>
        <v>0</v>
      </c>
      <c r="J64" s="8">
        <f t="shared" si="2"/>
        <v>0</v>
      </c>
      <c r="K64" s="72">
        <f t="shared" si="3"/>
        <v>-921027.16297786706</v>
      </c>
    </row>
    <row r="65" spans="1:11" x14ac:dyDescent="0.25">
      <c r="A65" s="38">
        <f>Données!A62</f>
        <v>5496</v>
      </c>
      <c r="B65" s="172" t="str">
        <f>Données!B62</f>
        <v>Penthaz</v>
      </c>
      <c r="C65" s="8">
        <f>Données!Z62</f>
        <v>1855</v>
      </c>
      <c r="D65" s="8">
        <f t="shared" ref="D65:I107" si="4">IF($C65&gt;D$5,IF($C65&lt;D$6,$C65-D$5,D$6-D$5),0)</f>
        <v>1000</v>
      </c>
      <c r="E65" s="227">
        <f t="shared" si="4"/>
        <v>855</v>
      </c>
      <c r="F65" s="8">
        <f t="shared" si="4"/>
        <v>0</v>
      </c>
      <c r="G65" s="227">
        <f t="shared" si="4"/>
        <v>0</v>
      </c>
      <c r="H65" s="31">
        <f t="shared" si="4"/>
        <v>0</v>
      </c>
      <c r="I65" s="8">
        <f t="shared" si="4"/>
        <v>0</v>
      </c>
      <c r="J65" s="8">
        <f t="shared" si="2"/>
        <v>0</v>
      </c>
      <c r="K65" s="72">
        <f t="shared" si="3"/>
        <v>-420835.51307847077</v>
      </c>
    </row>
    <row r="66" spans="1:11" x14ac:dyDescent="0.25">
      <c r="A66" s="38">
        <f>Données!A63</f>
        <v>5497</v>
      </c>
      <c r="B66" s="172" t="str">
        <f>Données!B63</f>
        <v>Pompaples</v>
      </c>
      <c r="C66" s="8">
        <f>Données!Z63</f>
        <v>847</v>
      </c>
      <c r="D66" s="8">
        <f t="shared" si="4"/>
        <v>847</v>
      </c>
      <c r="E66" s="227">
        <f t="shared" si="4"/>
        <v>0</v>
      </c>
      <c r="F66" s="8">
        <f t="shared" si="4"/>
        <v>0</v>
      </c>
      <c r="G66" s="227">
        <f t="shared" si="4"/>
        <v>0</v>
      </c>
      <c r="H66" s="31">
        <f t="shared" si="4"/>
        <v>0</v>
      </c>
      <c r="I66" s="8">
        <f t="shared" si="4"/>
        <v>0</v>
      </c>
      <c r="J66" s="8">
        <f t="shared" si="2"/>
        <v>0</v>
      </c>
      <c r="K66" s="72">
        <f t="shared" si="3"/>
        <v>-105022.88732394365</v>
      </c>
    </row>
    <row r="67" spans="1:11" x14ac:dyDescent="0.25">
      <c r="A67" s="38">
        <f>Données!A64</f>
        <v>5498</v>
      </c>
      <c r="B67" s="172" t="str">
        <f>Données!B64</f>
        <v>La Sarraz</v>
      </c>
      <c r="C67" s="8">
        <f>Données!Z64</f>
        <v>2598</v>
      </c>
      <c r="D67" s="8">
        <f t="shared" si="4"/>
        <v>1000</v>
      </c>
      <c r="E67" s="227">
        <f t="shared" si="4"/>
        <v>1598</v>
      </c>
      <c r="F67" s="8">
        <f t="shared" si="4"/>
        <v>0</v>
      </c>
      <c r="G67" s="227">
        <f t="shared" si="4"/>
        <v>0</v>
      </c>
      <c r="H67" s="31">
        <f t="shared" si="4"/>
        <v>0</v>
      </c>
      <c r="I67" s="8">
        <f t="shared" si="4"/>
        <v>0</v>
      </c>
      <c r="J67" s="8">
        <f t="shared" si="2"/>
        <v>0</v>
      </c>
      <c r="K67" s="72">
        <f t="shared" si="3"/>
        <v>-678792.55533199187</v>
      </c>
    </row>
    <row r="68" spans="1:11" x14ac:dyDescent="0.25">
      <c r="A68" s="38">
        <f>Données!A65</f>
        <v>5499</v>
      </c>
      <c r="B68" s="172" t="str">
        <f>Données!B65</f>
        <v>Senarclens</v>
      </c>
      <c r="C68" s="8">
        <f>Données!Z65</f>
        <v>496</v>
      </c>
      <c r="D68" s="8">
        <f t="shared" si="4"/>
        <v>496</v>
      </c>
      <c r="E68" s="227">
        <f t="shared" si="4"/>
        <v>0</v>
      </c>
      <c r="F68" s="8">
        <f t="shared" si="4"/>
        <v>0</v>
      </c>
      <c r="G68" s="227">
        <f t="shared" si="4"/>
        <v>0</v>
      </c>
      <c r="H68" s="31">
        <f t="shared" si="4"/>
        <v>0</v>
      </c>
      <c r="I68" s="8">
        <f t="shared" si="4"/>
        <v>0</v>
      </c>
      <c r="J68" s="8">
        <f t="shared" si="2"/>
        <v>0</v>
      </c>
      <c r="K68" s="72">
        <f t="shared" si="3"/>
        <v>-61501.006036217295</v>
      </c>
    </row>
    <row r="69" spans="1:11" x14ac:dyDescent="0.25">
      <c r="A69" s="38">
        <f>Données!A66</f>
        <v>5501</v>
      </c>
      <c r="B69" s="172" t="str">
        <f>Données!B66</f>
        <v>Sullens</v>
      </c>
      <c r="C69" s="8">
        <f>Données!Z66</f>
        <v>1041</v>
      </c>
      <c r="D69" s="8">
        <f t="shared" si="4"/>
        <v>1000</v>
      </c>
      <c r="E69" s="227">
        <f t="shared" si="4"/>
        <v>41</v>
      </c>
      <c r="F69" s="8">
        <f t="shared" si="4"/>
        <v>0</v>
      </c>
      <c r="G69" s="227">
        <f t="shared" si="4"/>
        <v>0</v>
      </c>
      <c r="H69" s="31">
        <f t="shared" si="4"/>
        <v>0</v>
      </c>
      <c r="I69" s="8">
        <f t="shared" si="4"/>
        <v>0</v>
      </c>
      <c r="J69" s="8">
        <f t="shared" si="2"/>
        <v>0</v>
      </c>
      <c r="K69" s="72">
        <f t="shared" si="3"/>
        <v>-138228.47082494968</v>
      </c>
    </row>
    <row r="70" spans="1:11" x14ac:dyDescent="0.25">
      <c r="A70" s="38">
        <f>Données!A67</f>
        <v>5503</v>
      </c>
      <c r="B70" s="172" t="str">
        <f>Données!B67</f>
        <v>Vufflens-la-Ville</v>
      </c>
      <c r="C70" s="8">
        <f>Données!Z67</f>
        <v>1349</v>
      </c>
      <c r="D70" s="8">
        <f t="shared" si="4"/>
        <v>1000</v>
      </c>
      <c r="E70" s="227">
        <f t="shared" si="4"/>
        <v>349</v>
      </c>
      <c r="F70" s="8">
        <f t="shared" si="4"/>
        <v>0</v>
      </c>
      <c r="G70" s="227">
        <f t="shared" si="4"/>
        <v>0</v>
      </c>
      <c r="H70" s="31">
        <f t="shared" si="4"/>
        <v>0</v>
      </c>
      <c r="I70" s="8">
        <f t="shared" si="4"/>
        <v>0</v>
      </c>
      <c r="J70" s="8">
        <f t="shared" si="2"/>
        <v>0</v>
      </c>
      <c r="K70" s="72">
        <f t="shared" si="3"/>
        <v>-245160.86519114685</v>
      </c>
    </row>
    <row r="71" spans="1:11" x14ac:dyDescent="0.25">
      <c r="A71" s="38">
        <f>Données!A68</f>
        <v>5511</v>
      </c>
      <c r="B71" s="172" t="str">
        <f>Données!B68</f>
        <v>Assens</v>
      </c>
      <c r="C71" s="8">
        <f>Données!Z68</f>
        <v>1666</v>
      </c>
      <c r="D71" s="8">
        <f t="shared" si="4"/>
        <v>1000</v>
      </c>
      <c r="E71" s="227">
        <f t="shared" si="4"/>
        <v>666</v>
      </c>
      <c r="F71" s="8">
        <f t="shared" si="4"/>
        <v>0</v>
      </c>
      <c r="G71" s="227">
        <f t="shared" si="4"/>
        <v>0</v>
      </c>
      <c r="H71" s="31">
        <f t="shared" si="4"/>
        <v>0</v>
      </c>
      <c r="I71" s="8">
        <f t="shared" si="4"/>
        <v>0</v>
      </c>
      <c r="J71" s="8">
        <f t="shared" si="2"/>
        <v>0</v>
      </c>
      <c r="K71" s="72">
        <f t="shared" si="3"/>
        <v>-355217.90744466794</v>
      </c>
    </row>
    <row r="72" spans="1:11" x14ac:dyDescent="0.25">
      <c r="A72" s="38">
        <f>Données!A69</f>
        <v>5512</v>
      </c>
      <c r="B72" s="172" t="str">
        <f>Données!B69</f>
        <v>Bercher</v>
      </c>
      <c r="C72" s="8">
        <f>Données!Z69</f>
        <v>1323</v>
      </c>
      <c r="D72" s="8">
        <f t="shared" si="4"/>
        <v>1000</v>
      </c>
      <c r="E72" s="227">
        <f t="shared" si="4"/>
        <v>323</v>
      </c>
      <c r="F72" s="8">
        <f t="shared" si="4"/>
        <v>0</v>
      </c>
      <c r="G72" s="227">
        <f t="shared" si="4"/>
        <v>0</v>
      </c>
      <c r="H72" s="31">
        <f t="shared" si="4"/>
        <v>0</v>
      </c>
      <c r="I72" s="8">
        <f t="shared" si="4"/>
        <v>0</v>
      </c>
      <c r="J72" s="8">
        <f t="shared" si="2"/>
        <v>0</v>
      </c>
      <c r="K72" s="72">
        <f t="shared" si="3"/>
        <v>-236134.10462776656</v>
      </c>
    </row>
    <row r="73" spans="1:11" x14ac:dyDescent="0.25">
      <c r="A73" s="38">
        <f>Données!A70</f>
        <v>5514</v>
      </c>
      <c r="B73" s="172" t="str">
        <f>Données!B70</f>
        <v>Bottens</v>
      </c>
      <c r="C73" s="8">
        <f>Données!Z70</f>
        <v>1330</v>
      </c>
      <c r="D73" s="8">
        <f t="shared" si="4"/>
        <v>1000</v>
      </c>
      <c r="E73" s="227">
        <f t="shared" si="4"/>
        <v>330</v>
      </c>
      <c r="F73" s="8">
        <f t="shared" si="4"/>
        <v>0</v>
      </c>
      <c r="G73" s="227">
        <f t="shared" si="4"/>
        <v>0</v>
      </c>
      <c r="H73" s="31">
        <f t="shared" si="4"/>
        <v>0</v>
      </c>
      <c r="I73" s="8">
        <f t="shared" si="4"/>
        <v>0</v>
      </c>
      <c r="J73" s="8">
        <f t="shared" si="2"/>
        <v>0</v>
      </c>
      <c r="K73" s="72">
        <f t="shared" si="3"/>
        <v>-238564.38631790743</v>
      </c>
    </row>
    <row r="74" spans="1:11" x14ac:dyDescent="0.25">
      <c r="A74" s="38">
        <f>Données!A71</f>
        <v>5515</v>
      </c>
      <c r="B74" s="172" t="str">
        <f>Données!B71</f>
        <v>Bretigny-sur-Morrens</v>
      </c>
      <c r="C74" s="8">
        <f>Données!Z71</f>
        <v>859</v>
      </c>
      <c r="D74" s="8">
        <f t="shared" si="4"/>
        <v>859</v>
      </c>
      <c r="E74" s="227">
        <f t="shared" si="4"/>
        <v>0</v>
      </c>
      <c r="F74" s="8">
        <f t="shared" si="4"/>
        <v>0</v>
      </c>
      <c r="G74" s="227">
        <f t="shared" si="4"/>
        <v>0</v>
      </c>
      <c r="H74" s="31">
        <f t="shared" si="4"/>
        <v>0</v>
      </c>
      <c r="I74" s="8">
        <f t="shared" si="4"/>
        <v>0</v>
      </c>
      <c r="J74" s="8">
        <f t="shared" ref="J74:J137" si="5">IF(C74&gt;$J$5,C74-$J$5,0)</f>
        <v>0</v>
      </c>
      <c r="K74" s="72">
        <f t="shared" ref="K74:K137" si="6">-((D74*D$8)+(E74*E$8)+(F74*F$8)+(G74*G$8)+(H74*H$8)+(I74*I$8)+(J74*J$8))</f>
        <v>-106510.814889336</v>
      </c>
    </row>
    <row r="75" spans="1:11" x14ac:dyDescent="0.25">
      <c r="A75" s="38">
        <f>Données!A72</f>
        <v>5516</v>
      </c>
      <c r="B75" s="172" t="str">
        <f>Données!B72</f>
        <v>Cugy</v>
      </c>
      <c r="C75" s="8">
        <f>Données!Z72</f>
        <v>2760</v>
      </c>
      <c r="D75" s="8">
        <f t="shared" si="4"/>
        <v>1000</v>
      </c>
      <c r="E75" s="227">
        <f t="shared" si="4"/>
        <v>1760</v>
      </c>
      <c r="F75" s="8">
        <f t="shared" si="4"/>
        <v>0</v>
      </c>
      <c r="G75" s="227">
        <f t="shared" si="4"/>
        <v>0</v>
      </c>
      <c r="H75" s="31">
        <f t="shared" si="4"/>
        <v>0</v>
      </c>
      <c r="I75" s="8">
        <f t="shared" si="4"/>
        <v>0</v>
      </c>
      <c r="J75" s="8">
        <f t="shared" si="5"/>
        <v>0</v>
      </c>
      <c r="K75" s="72">
        <f t="shared" si="6"/>
        <v>-735036.21730382286</v>
      </c>
    </row>
    <row r="76" spans="1:11" x14ac:dyDescent="0.25">
      <c r="A76" s="38">
        <f>Données!A73</f>
        <v>5518</v>
      </c>
      <c r="B76" s="172" t="str">
        <f>Données!B73</f>
        <v>Echallens</v>
      </c>
      <c r="C76" s="8">
        <f>Données!Z73</f>
        <v>5731</v>
      </c>
      <c r="D76" s="8">
        <f t="shared" si="4"/>
        <v>1000</v>
      </c>
      <c r="E76" s="227">
        <f t="shared" si="4"/>
        <v>2000</v>
      </c>
      <c r="F76" s="8">
        <f t="shared" si="4"/>
        <v>2000</v>
      </c>
      <c r="G76" s="227">
        <f t="shared" si="4"/>
        <v>731</v>
      </c>
      <c r="H76" s="31">
        <f t="shared" si="4"/>
        <v>0</v>
      </c>
      <c r="I76" s="8">
        <f t="shared" si="4"/>
        <v>0</v>
      </c>
      <c r="J76" s="8">
        <f t="shared" si="5"/>
        <v>0</v>
      </c>
      <c r="K76" s="72">
        <f t="shared" si="6"/>
        <v>-2245381.8913480882</v>
      </c>
    </row>
    <row r="77" spans="1:11" x14ac:dyDescent="0.25">
      <c r="A77" s="38">
        <f>Données!A74</f>
        <v>5520</v>
      </c>
      <c r="B77" s="172" t="str">
        <f>Données!B74</f>
        <v>Essertines-sur-Yverdon</v>
      </c>
      <c r="C77" s="8">
        <f>Données!Z74</f>
        <v>1036</v>
      </c>
      <c r="D77" s="8">
        <f t="shared" si="4"/>
        <v>1000</v>
      </c>
      <c r="E77" s="227">
        <f t="shared" si="4"/>
        <v>36</v>
      </c>
      <c r="F77" s="8">
        <f t="shared" si="4"/>
        <v>0</v>
      </c>
      <c r="G77" s="227">
        <f t="shared" si="4"/>
        <v>0</v>
      </c>
      <c r="H77" s="31">
        <f t="shared" si="4"/>
        <v>0</v>
      </c>
      <c r="I77" s="8">
        <f t="shared" si="4"/>
        <v>0</v>
      </c>
      <c r="J77" s="8">
        <f t="shared" si="5"/>
        <v>0</v>
      </c>
      <c r="K77" s="72">
        <f t="shared" si="6"/>
        <v>-136492.55533199193</v>
      </c>
    </row>
    <row r="78" spans="1:11" x14ac:dyDescent="0.25">
      <c r="A78" s="38">
        <f>Données!A75</f>
        <v>5521</v>
      </c>
      <c r="B78" s="172" t="str">
        <f>Données!B75</f>
        <v>Etagnières</v>
      </c>
      <c r="C78" s="8">
        <f>Données!Z75</f>
        <v>1148</v>
      </c>
      <c r="D78" s="8">
        <f t="shared" si="4"/>
        <v>1000</v>
      </c>
      <c r="E78" s="227">
        <f t="shared" si="4"/>
        <v>148</v>
      </c>
      <c r="F78" s="8">
        <f t="shared" si="4"/>
        <v>0</v>
      </c>
      <c r="G78" s="227">
        <f t="shared" si="4"/>
        <v>0</v>
      </c>
      <c r="H78" s="31">
        <f t="shared" si="4"/>
        <v>0</v>
      </c>
      <c r="I78" s="8">
        <f t="shared" si="4"/>
        <v>0</v>
      </c>
      <c r="J78" s="8">
        <f t="shared" si="5"/>
        <v>0</v>
      </c>
      <c r="K78" s="72">
        <f t="shared" si="6"/>
        <v>-175377.06237424543</v>
      </c>
    </row>
    <row r="79" spans="1:11" x14ac:dyDescent="0.25">
      <c r="A79" s="38">
        <f>Données!A76</f>
        <v>5522</v>
      </c>
      <c r="B79" s="172" t="str">
        <f>Données!B76</f>
        <v>Fey</v>
      </c>
      <c r="C79" s="8">
        <f>Données!Z76</f>
        <v>749</v>
      </c>
      <c r="D79" s="8">
        <f t="shared" si="4"/>
        <v>749</v>
      </c>
      <c r="E79" s="227">
        <f t="shared" si="4"/>
        <v>0</v>
      </c>
      <c r="F79" s="8">
        <f t="shared" si="4"/>
        <v>0</v>
      </c>
      <c r="G79" s="227">
        <f t="shared" si="4"/>
        <v>0</v>
      </c>
      <c r="H79" s="31">
        <f t="shared" si="4"/>
        <v>0</v>
      </c>
      <c r="I79" s="8">
        <f t="shared" si="4"/>
        <v>0</v>
      </c>
      <c r="J79" s="8">
        <f t="shared" si="5"/>
        <v>0</v>
      </c>
      <c r="K79" s="72">
        <f t="shared" si="6"/>
        <v>-92871.478873239423</v>
      </c>
    </row>
    <row r="80" spans="1:11" x14ac:dyDescent="0.25">
      <c r="A80" s="38">
        <f>Données!A77</f>
        <v>5523</v>
      </c>
      <c r="B80" s="172" t="str">
        <f>Données!B77</f>
        <v>Froideville</v>
      </c>
      <c r="C80" s="8">
        <f>Données!Z77</f>
        <v>2694</v>
      </c>
      <c r="D80" s="8">
        <f t="shared" si="4"/>
        <v>1000</v>
      </c>
      <c r="E80" s="227">
        <f t="shared" si="4"/>
        <v>1694</v>
      </c>
      <c r="F80" s="8">
        <f t="shared" si="4"/>
        <v>0</v>
      </c>
      <c r="G80" s="227">
        <f t="shared" si="4"/>
        <v>0</v>
      </c>
      <c r="H80" s="31">
        <f t="shared" si="4"/>
        <v>0</v>
      </c>
      <c r="I80" s="8">
        <f t="shared" si="4"/>
        <v>0</v>
      </c>
      <c r="J80" s="8">
        <f t="shared" si="5"/>
        <v>0</v>
      </c>
      <c r="K80" s="72">
        <f t="shared" si="6"/>
        <v>-712122.13279678056</v>
      </c>
    </row>
    <row r="81" spans="1:11" x14ac:dyDescent="0.25">
      <c r="A81" s="38">
        <f>Données!A78</f>
        <v>5527</v>
      </c>
      <c r="B81" s="172" t="str">
        <f>Données!B78</f>
        <v>Morrens</v>
      </c>
      <c r="C81" s="8">
        <f>Données!Z78</f>
        <v>1153</v>
      </c>
      <c r="D81" s="8">
        <f t="shared" si="4"/>
        <v>1000</v>
      </c>
      <c r="E81" s="227">
        <f t="shared" si="4"/>
        <v>153</v>
      </c>
      <c r="F81" s="8">
        <f t="shared" si="4"/>
        <v>0</v>
      </c>
      <c r="G81" s="227">
        <f t="shared" si="4"/>
        <v>0</v>
      </c>
      <c r="H81" s="31">
        <f t="shared" si="4"/>
        <v>0</v>
      </c>
      <c r="I81" s="8">
        <f t="shared" si="4"/>
        <v>0</v>
      </c>
      <c r="J81" s="8">
        <f t="shared" si="5"/>
        <v>0</v>
      </c>
      <c r="K81" s="72">
        <f t="shared" si="6"/>
        <v>-177112.97786720318</v>
      </c>
    </row>
    <row r="82" spans="1:11" x14ac:dyDescent="0.25">
      <c r="A82" s="38">
        <f>Données!A79</f>
        <v>5529</v>
      </c>
      <c r="B82" s="172" t="str">
        <f>Données!B79</f>
        <v>Oulens-sous-Echallens</v>
      </c>
      <c r="C82" s="8">
        <f>Données!Z79</f>
        <v>618</v>
      </c>
      <c r="D82" s="8">
        <f t="shared" si="4"/>
        <v>618</v>
      </c>
      <c r="E82" s="227">
        <f t="shared" si="4"/>
        <v>0</v>
      </c>
      <c r="F82" s="8">
        <f t="shared" si="4"/>
        <v>0</v>
      </c>
      <c r="G82" s="227">
        <f t="shared" si="4"/>
        <v>0</v>
      </c>
      <c r="H82" s="31">
        <f t="shared" si="4"/>
        <v>0</v>
      </c>
      <c r="I82" s="8">
        <f t="shared" si="4"/>
        <v>0</v>
      </c>
      <c r="J82" s="8">
        <f t="shared" si="5"/>
        <v>0</v>
      </c>
      <c r="K82" s="72">
        <f t="shared" si="6"/>
        <v>-76628.269617706217</v>
      </c>
    </row>
    <row r="83" spans="1:11" x14ac:dyDescent="0.25">
      <c r="A83" s="38">
        <f>Données!A80</f>
        <v>5530</v>
      </c>
      <c r="B83" s="172" t="str">
        <f>Données!B80</f>
        <v>Pailly</v>
      </c>
      <c r="C83" s="8">
        <f>Données!Z80</f>
        <v>567</v>
      </c>
      <c r="D83" s="8">
        <f t="shared" si="4"/>
        <v>567</v>
      </c>
      <c r="E83" s="227">
        <f t="shared" si="4"/>
        <v>0</v>
      </c>
      <c r="F83" s="8">
        <f t="shared" si="4"/>
        <v>0</v>
      </c>
      <c r="G83" s="227">
        <f t="shared" si="4"/>
        <v>0</v>
      </c>
      <c r="H83" s="31">
        <f t="shared" si="4"/>
        <v>0</v>
      </c>
      <c r="I83" s="8">
        <f t="shared" si="4"/>
        <v>0</v>
      </c>
      <c r="J83" s="8">
        <f t="shared" si="5"/>
        <v>0</v>
      </c>
      <c r="K83" s="72">
        <f t="shared" si="6"/>
        <v>-70304.577464788716</v>
      </c>
    </row>
    <row r="84" spans="1:11" x14ac:dyDescent="0.25">
      <c r="A84" s="38">
        <f>Données!A81</f>
        <v>5531</v>
      </c>
      <c r="B84" s="172" t="str">
        <f>Données!B81</f>
        <v>Penthéréaz</v>
      </c>
      <c r="C84" s="8">
        <f>Données!Z81</f>
        <v>419</v>
      </c>
      <c r="D84" s="8">
        <f t="shared" si="4"/>
        <v>419</v>
      </c>
      <c r="E84" s="227">
        <f t="shared" si="4"/>
        <v>0</v>
      </c>
      <c r="F84" s="8">
        <f t="shared" si="4"/>
        <v>0</v>
      </c>
      <c r="G84" s="227">
        <f t="shared" si="4"/>
        <v>0</v>
      </c>
      <c r="H84" s="31">
        <f t="shared" si="4"/>
        <v>0</v>
      </c>
      <c r="I84" s="8">
        <f t="shared" si="4"/>
        <v>0</v>
      </c>
      <c r="J84" s="8">
        <f t="shared" si="5"/>
        <v>0</v>
      </c>
      <c r="K84" s="72">
        <f t="shared" si="6"/>
        <v>-51953.470824949691</v>
      </c>
    </row>
    <row r="85" spans="1:11" x14ac:dyDescent="0.25">
      <c r="A85" s="38">
        <f>Données!A82</f>
        <v>5533</v>
      </c>
      <c r="B85" s="172" t="str">
        <f>Données!B82</f>
        <v>Poliez-Pittet</v>
      </c>
      <c r="C85" s="8">
        <f>Données!Z82</f>
        <v>829</v>
      </c>
      <c r="D85" s="8">
        <f t="shared" si="4"/>
        <v>829</v>
      </c>
      <c r="E85" s="227">
        <f t="shared" si="4"/>
        <v>0</v>
      </c>
      <c r="F85" s="8">
        <f t="shared" si="4"/>
        <v>0</v>
      </c>
      <c r="G85" s="227">
        <f t="shared" si="4"/>
        <v>0</v>
      </c>
      <c r="H85" s="31">
        <f t="shared" si="4"/>
        <v>0</v>
      </c>
      <c r="I85" s="8">
        <f t="shared" si="4"/>
        <v>0</v>
      </c>
      <c r="J85" s="8">
        <f t="shared" si="5"/>
        <v>0</v>
      </c>
      <c r="K85" s="72">
        <f t="shared" si="6"/>
        <v>-102790.99597585511</v>
      </c>
    </row>
    <row r="86" spans="1:11" x14ac:dyDescent="0.25">
      <c r="A86" s="38">
        <f>Données!A83</f>
        <v>5534</v>
      </c>
      <c r="B86" s="172" t="str">
        <f>Données!B83</f>
        <v>Rueyres</v>
      </c>
      <c r="C86" s="8">
        <f>Données!Z83</f>
        <v>266</v>
      </c>
      <c r="D86" s="8">
        <f t="shared" si="4"/>
        <v>266</v>
      </c>
      <c r="E86" s="227">
        <f t="shared" si="4"/>
        <v>0</v>
      </c>
      <c r="F86" s="8">
        <f t="shared" si="4"/>
        <v>0</v>
      </c>
      <c r="G86" s="227">
        <f t="shared" si="4"/>
        <v>0</v>
      </c>
      <c r="H86" s="31">
        <f t="shared" si="4"/>
        <v>0</v>
      </c>
      <c r="I86" s="8">
        <f t="shared" si="4"/>
        <v>0</v>
      </c>
      <c r="J86" s="8">
        <f t="shared" si="5"/>
        <v>0</v>
      </c>
      <c r="K86" s="72">
        <f t="shared" si="6"/>
        <v>-32982.394366197179</v>
      </c>
    </row>
    <row r="87" spans="1:11" x14ac:dyDescent="0.25">
      <c r="A87" s="38">
        <f>Données!A84</f>
        <v>5535</v>
      </c>
      <c r="B87" s="172" t="str">
        <f>Données!B84</f>
        <v>Saint-Barthélemy</v>
      </c>
      <c r="C87" s="8">
        <f>Données!Z84</f>
        <v>784</v>
      </c>
      <c r="D87" s="8">
        <f t="shared" si="4"/>
        <v>784</v>
      </c>
      <c r="E87" s="227">
        <f t="shared" si="4"/>
        <v>0</v>
      </c>
      <c r="F87" s="8">
        <f t="shared" si="4"/>
        <v>0</v>
      </c>
      <c r="G87" s="227">
        <f t="shared" si="4"/>
        <v>0</v>
      </c>
      <c r="H87" s="31">
        <f t="shared" si="4"/>
        <v>0</v>
      </c>
      <c r="I87" s="8">
        <f t="shared" si="4"/>
        <v>0</v>
      </c>
      <c r="J87" s="8">
        <f t="shared" si="5"/>
        <v>0</v>
      </c>
      <c r="K87" s="72">
        <f t="shared" si="6"/>
        <v>-97211.26760563378</v>
      </c>
    </row>
    <row r="88" spans="1:11" x14ac:dyDescent="0.25">
      <c r="A88" s="38">
        <f>Données!A85</f>
        <v>5537</v>
      </c>
      <c r="B88" s="172" t="str">
        <f>Données!B85</f>
        <v>Villars-le-Terroir</v>
      </c>
      <c r="C88" s="8">
        <f>Données!Z85</f>
        <v>1281</v>
      </c>
      <c r="D88" s="8">
        <f t="shared" si="4"/>
        <v>1000</v>
      </c>
      <c r="E88" s="227">
        <f t="shared" si="4"/>
        <v>281</v>
      </c>
      <c r="F88" s="8">
        <f t="shared" si="4"/>
        <v>0</v>
      </c>
      <c r="G88" s="227">
        <f t="shared" si="4"/>
        <v>0</v>
      </c>
      <c r="H88" s="31">
        <f t="shared" si="4"/>
        <v>0</v>
      </c>
      <c r="I88" s="8">
        <f t="shared" si="4"/>
        <v>0</v>
      </c>
      <c r="J88" s="8">
        <f t="shared" si="5"/>
        <v>0</v>
      </c>
      <c r="K88" s="72">
        <f t="shared" si="6"/>
        <v>-221552.41448692151</v>
      </c>
    </row>
    <row r="89" spans="1:11" x14ac:dyDescent="0.25">
      <c r="A89" s="38">
        <f>Données!A86</f>
        <v>5539</v>
      </c>
      <c r="B89" s="172" t="str">
        <f>Données!B86</f>
        <v>Vuarrens</v>
      </c>
      <c r="C89" s="8">
        <f>Données!Z86</f>
        <v>1060</v>
      </c>
      <c r="D89" s="8">
        <f t="shared" si="4"/>
        <v>1000</v>
      </c>
      <c r="E89" s="227">
        <f t="shared" si="4"/>
        <v>60</v>
      </c>
      <c r="F89" s="8">
        <f t="shared" si="4"/>
        <v>0</v>
      </c>
      <c r="G89" s="227">
        <f t="shared" si="4"/>
        <v>0</v>
      </c>
      <c r="H89" s="31">
        <f t="shared" si="4"/>
        <v>0</v>
      </c>
      <c r="I89" s="8">
        <f t="shared" si="4"/>
        <v>0</v>
      </c>
      <c r="J89" s="8">
        <f t="shared" si="5"/>
        <v>0</v>
      </c>
      <c r="K89" s="72">
        <f t="shared" si="6"/>
        <v>-144824.9496981891</v>
      </c>
    </row>
    <row r="90" spans="1:11" x14ac:dyDescent="0.25">
      <c r="A90" s="38">
        <f>Données!A87</f>
        <v>5540</v>
      </c>
      <c r="B90" s="172" t="str">
        <f>Données!B87</f>
        <v>Montilliez</v>
      </c>
      <c r="C90" s="8">
        <f>Données!Z87</f>
        <v>1857</v>
      </c>
      <c r="D90" s="8">
        <f t="shared" si="4"/>
        <v>1000</v>
      </c>
      <c r="E90" s="227">
        <f t="shared" si="4"/>
        <v>857</v>
      </c>
      <c r="F90" s="8">
        <f t="shared" si="4"/>
        <v>0</v>
      </c>
      <c r="G90" s="227">
        <f t="shared" si="4"/>
        <v>0</v>
      </c>
      <c r="H90" s="31">
        <f t="shared" si="4"/>
        <v>0</v>
      </c>
      <c r="I90" s="8">
        <f t="shared" si="4"/>
        <v>0</v>
      </c>
      <c r="J90" s="8">
        <f t="shared" si="5"/>
        <v>0</v>
      </c>
      <c r="K90" s="72">
        <f t="shared" si="6"/>
        <v>-421529.87927565386</v>
      </c>
    </row>
    <row r="91" spans="1:11" x14ac:dyDescent="0.25">
      <c r="A91" s="38">
        <f>Données!A88</f>
        <v>5541</v>
      </c>
      <c r="B91" s="172" t="str">
        <f>Données!B88</f>
        <v>Goumoëns</v>
      </c>
      <c r="C91" s="8">
        <f>Données!Z88</f>
        <v>1153</v>
      </c>
      <c r="D91" s="8">
        <f t="shared" si="4"/>
        <v>1000</v>
      </c>
      <c r="E91" s="227">
        <f t="shared" si="4"/>
        <v>153</v>
      </c>
      <c r="F91" s="8">
        <f t="shared" si="4"/>
        <v>0</v>
      </c>
      <c r="G91" s="227">
        <f t="shared" si="4"/>
        <v>0</v>
      </c>
      <c r="H91" s="31">
        <f t="shared" si="4"/>
        <v>0</v>
      </c>
      <c r="I91" s="8">
        <f t="shared" si="4"/>
        <v>0</v>
      </c>
      <c r="J91" s="8">
        <f t="shared" si="5"/>
        <v>0</v>
      </c>
      <c r="K91" s="72">
        <f t="shared" si="6"/>
        <v>-177112.97786720318</v>
      </c>
    </row>
    <row r="92" spans="1:11" x14ac:dyDescent="0.25">
      <c r="A92" s="38">
        <f>Données!A89</f>
        <v>5551</v>
      </c>
      <c r="B92" s="172" t="str">
        <f>Données!B89</f>
        <v>Bonvillars</v>
      </c>
      <c r="C92" s="8">
        <f>Données!Z89</f>
        <v>489</v>
      </c>
      <c r="D92" s="8">
        <f t="shared" si="4"/>
        <v>489</v>
      </c>
      <c r="E92" s="227">
        <f t="shared" si="4"/>
        <v>0</v>
      </c>
      <c r="F92" s="8">
        <f t="shared" si="4"/>
        <v>0</v>
      </c>
      <c r="G92" s="227">
        <f t="shared" si="4"/>
        <v>0</v>
      </c>
      <c r="H92" s="31">
        <f t="shared" si="4"/>
        <v>0</v>
      </c>
      <c r="I92" s="8">
        <f t="shared" si="4"/>
        <v>0</v>
      </c>
      <c r="J92" s="8">
        <f t="shared" si="5"/>
        <v>0</v>
      </c>
      <c r="K92" s="72">
        <f t="shared" si="6"/>
        <v>-60633.048289738421</v>
      </c>
    </row>
    <row r="93" spans="1:11" x14ac:dyDescent="0.25">
      <c r="A93" s="38">
        <f>Données!A90</f>
        <v>5552</v>
      </c>
      <c r="B93" s="172" t="str">
        <f>Données!B90</f>
        <v>Bullet</v>
      </c>
      <c r="C93" s="8">
        <f>Données!Z90</f>
        <v>657</v>
      </c>
      <c r="D93" s="8">
        <f t="shared" si="4"/>
        <v>657</v>
      </c>
      <c r="E93" s="227">
        <f t="shared" si="4"/>
        <v>0</v>
      </c>
      <c r="F93" s="8">
        <f t="shared" si="4"/>
        <v>0</v>
      </c>
      <c r="G93" s="227">
        <f t="shared" si="4"/>
        <v>0</v>
      </c>
      <c r="H93" s="31">
        <f t="shared" si="4"/>
        <v>0</v>
      </c>
      <c r="I93" s="8">
        <f t="shared" si="4"/>
        <v>0</v>
      </c>
      <c r="J93" s="8">
        <f t="shared" si="5"/>
        <v>0</v>
      </c>
      <c r="K93" s="72">
        <f t="shared" si="6"/>
        <v>-81464.034205231379</v>
      </c>
    </row>
    <row r="94" spans="1:11" x14ac:dyDescent="0.25">
      <c r="A94" s="38">
        <f>Données!A91</f>
        <v>5553</v>
      </c>
      <c r="B94" s="172" t="str">
        <f>Données!B91</f>
        <v>Champagne</v>
      </c>
      <c r="C94" s="8">
        <f>Données!Z91</f>
        <v>1061</v>
      </c>
      <c r="D94" s="8">
        <f t="shared" si="4"/>
        <v>1000</v>
      </c>
      <c r="E94" s="227">
        <f t="shared" si="4"/>
        <v>61</v>
      </c>
      <c r="F94" s="8">
        <f t="shared" si="4"/>
        <v>0</v>
      </c>
      <c r="G94" s="227">
        <f t="shared" si="4"/>
        <v>0</v>
      </c>
      <c r="H94" s="31">
        <f t="shared" si="4"/>
        <v>0</v>
      </c>
      <c r="I94" s="8">
        <f t="shared" si="4"/>
        <v>0</v>
      </c>
      <c r="J94" s="8">
        <f t="shared" si="5"/>
        <v>0</v>
      </c>
      <c r="K94" s="72">
        <f t="shared" si="6"/>
        <v>-145172.13279678067</v>
      </c>
    </row>
    <row r="95" spans="1:11" x14ac:dyDescent="0.25">
      <c r="A95" s="38">
        <f>Données!A92</f>
        <v>5554</v>
      </c>
      <c r="B95" s="172" t="str">
        <f>Données!B92</f>
        <v>Concise</v>
      </c>
      <c r="C95" s="8">
        <f>Données!Z92</f>
        <v>1001</v>
      </c>
      <c r="D95" s="8">
        <f t="shared" si="4"/>
        <v>1000</v>
      </c>
      <c r="E95" s="227">
        <f t="shared" si="4"/>
        <v>1</v>
      </c>
      <c r="F95" s="8">
        <f t="shared" si="4"/>
        <v>0</v>
      </c>
      <c r="G95" s="227">
        <f t="shared" si="4"/>
        <v>0</v>
      </c>
      <c r="H95" s="31">
        <f t="shared" si="4"/>
        <v>0</v>
      </c>
      <c r="I95" s="8">
        <f t="shared" si="4"/>
        <v>0</v>
      </c>
      <c r="J95" s="8">
        <f t="shared" si="5"/>
        <v>0</v>
      </c>
      <c r="K95" s="72">
        <f t="shared" si="6"/>
        <v>-124341.1468812877</v>
      </c>
    </row>
    <row r="96" spans="1:11" x14ac:dyDescent="0.25">
      <c r="A96" s="38">
        <f>Données!A93</f>
        <v>5555</v>
      </c>
      <c r="B96" s="172" t="str">
        <f>Données!B93</f>
        <v>Corcelles-près-Concise</v>
      </c>
      <c r="C96" s="8">
        <f>Données!Z93</f>
        <v>419</v>
      </c>
      <c r="D96" s="8">
        <f t="shared" si="4"/>
        <v>419</v>
      </c>
      <c r="E96" s="227">
        <f t="shared" si="4"/>
        <v>0</v>
      </c>
      <c r="F96" s="8">
        <f t="shared" si="4"/>
        <v>0</v>
      </c>
      <c r="G96" s="227">
        <f t="shared" si="4"/>
        <v>0</v>
      </c>
      <c r="H96" s="31">
        <f t="shared" si="4"/>
        <v>0</v>
      </c>
      <c r="I96" s="8">
        <f t="shared" si="4"/>
        <v>0</v>
      </c>
      <c r="J96" s="8">
        <f t="shared" si="5"/>
        <v>0</v>
      </c>
      <c r="K96" s="72">
        <f t="shared" si="6"/>
        <v>-51953.470824949691</v>
      </c>
    </row>
    <row r="97" spans="1:11" x14ac:dyDescent="0.25">
      <c r="A97" s="38">
        <f>Données!A94</f>
        <v>5556</v>
      </c>
      <c r="B97" s="172" t="str">
        <f>Données!B94</f>
        <v>Fiez</v>
      </c>
      <c r="C97" s="8">
        <f>Données!Z94</f>
        <v>451</v>
      </c>
      <c r="D97" s="8">
        <f t="shared" si="4"/>
        <v>451</v>
      </c>
      <c r="E97" s="227">
        <f t="shared" si="4"/>
        <v>0</v>
      </c>
      <c r="F97" s="8">
        <f t="shared" si="4"/>
        <v>0</v>
      </c>
      <c r="G97" s="227">
        <f t="shared" si="4"/>
        <v>0</v>
      </c>
      <c r="H97" s="31">
        <f t="shared" si="4"/>
        <v>0</v>
      </c>
      <c r="I97" s="8">
        <f t="shared" si="4"/>
        <v>0</v>
      </c>
      <c r="J97" s="8">
        <f t="shared" si="5"/>
        <v>0</v>
      </c>
      <c r="K97" s="72">
        <f t="shared" si="6"/>
        <v>-55921.277665995964</v>
      </c>
    </row>
    <row r="98" spans="1:11" x14ac:dyDescent="0.25">
      <c r="A98" s="38">
        <f>Données!A95</f>
        <v>5557</v>
      </c>
      <c r="B98" s="172" t="str">
        <f>Données!B95</f>
        <v>Fontaines-sur-Grandson</v>
      </c>
      <c r="C98" s="8">
        <f>Données!Z95</f>
        <v>219</v>
      </c>
      <c r="D98" s="8">
        <f t="shared" si="4"/>
        <v>219</v>
      </c>
      <c r="E98" s="227">
        <f t="shared" si="4"/>
        <v>0</v>
      </c>
      <c r="F98" s="8">
        <f t="shared" si="4"/>
        <v>0</v>
      </c>
      <c r="G98" s="227">
        <f t="shared" si="4"/>
        <v>0</v>
      </c>
      <c r="H98" s="31">
        <f t="shared" si="4"/>
        <v>0</v>
      </c>
      <c r="I98" s="8">
        <f t="shared" si="4"/>
        <v>0</v>
      </c>
      <c r="J98" s="8">
        <f t="shared" si="5"/>
        <v>0</v>
      </c>
      <c r="K98" s="72">
        <f t="shared" si="6"/>
        <v>-27154.67806841046</v>
      </c>
    </row>
    <row r="99" spans="1:11" x14ac:dyDescent="0.25">
      <c r="A99" s="38">
        <f>Données!A96</f>
        <v>5559</v>
      </c>
      <c r="B99" s="172" t="str">
        <f>Données!B96</f>
        <v>Giez</v>
      </c>
      <c r="C99" s="8">
        <f>Données!Z96</f>
        <v>414</v>
      </c>
      <c r="D99" s="8">
        <f t="shared" si="4"/>
        <v>414</v>
      </c>
      <c r="E99" s="227">
        <f t="shared" si="4"/>
        <v>0</v>
      </c>
      <c r="F99" s="8">
        <f t="shared" si="4"/>
        <v>0</v>
      </c>
      <c r="G99" s="227">
        <f t="shared" si="4"/>
        <v>0</v>
      </c>
      <c r="H99" s="31">
        <f t="shared" si="4"/>
        <v>0</v>
      </c>
      <c r="I99" s="8">
        <f t="shared" si="4"/>
        <v>0</v>
      </c>
      <c r="J99" s="8">
        <f t="shared" si="5"/>
        <v>0</v>
      </c>
      <c r="K99" s="72">
        <f t="shared" si="6"/>
        <v>-51333.501006036211</v>
      </c>
    </row>
    <row r="100" spans="1:11" x14ac:dyDescent="0.25">
      <c r="A100" s="38">
        <f>Données!A97</f>
        <v>5560</v>
      </c>
      <c r="B100" s="172" t="str">
        <f>Données!B97</f>
        <v>Grandevent</v>
      </c>
      <c r="C100" s="8">
        <f>Données!Z97</f>
        <v>226</v>
      </c>
      <c r="D100" s="8">
        <f t="shared" si="4"/>
        <v>226</v>
      </c>
      <c r="E100" s="227">
        <f t="shared" si="4"/>
        <v>0</v>
      </c>
      <c r="F100" s="8">
        <f t="shared" si="4"/>
        <v>0</v>
      </c>
      <c r="G100" s="227">
        <f t="shared" si="4"/>
        <v>0</v>
      </c>
      <c r="H100" s="31">
        <f t="shared" si="4"/>
        <v>0</v>
      </c>
      <c r="I100" s="8">
        <f t="shared" si="4"/>
        <v>0</v>
      </c>
      <c r="J100" s="8">
        <f t="shared" si="5"/>
        <v>0</v>
      </c>
      <c r="K100" s="72">
        <f t="shared" si="6"/>
        <v>-28022.635814889331</v>
      </c>
    </row>
    <row r="101" spans="1:11" x14ac:dyDescent="0.25">
      <c r="A101" s="38">
        <f>Données!A98</f>
        <v>5561</v>
      </c>
      <c r="B101" s="172" t="str">
        <f>Données!B98</f>
        <v>Grandson</v>
      </c>
      <c r="C101" s="8">
        <f>Données!Z98</f>
        <v>3356</v>
      </c>
      <c r="D101" s="8">
        <f t="shared" si="4"/>
        <v>1000</v>
      </c>
      <c r="E101" s="227">
        <f t="shared" si="4"/>
        <v>2000</v>
      </c>
      <c r="F101" s="8">
        <f t="shared" si="4"/>
        <v>356</v>
      </c>
      <c r="G101" s="227">
        <f t="shared" si="4"/>
        <v>0</v>
      </c>
      <c r="H101" s="31">
        <f t="shared" si="4"/>
        <v>0</v>
      </c>
      <c r="I101" s="8">
        <f t="shared" si="4"/>
        <v>0</v>
      </c>
      <c r="J101" s="8">
        <f t="shared" si="5"/>
        <v>0</v>
      </c>
      <c r="K101" s="72">
        <f t="shared" si="6"/>
        <v>-994927.56539235404</v>
      </c>
    </row>
    <row r="102" spans="1:11" x14ac:dyDescent="0.25">
      <c r="A102" s="38">
        <f>Données!A99</f>
        <v>5562</v>
      </c>
      <c r="B102" s="172" t="str">
        <f>Données!B99</f>
        <v>Mauborget</v>
      </c>
      <c r="C102" s="8">
        <f>Données!Z99</f>
        <v>128</v>
      </c>
      <c r="D102" s="8">
        <f t="shared" si="4"/>
        <v>128</v>
      </c>
      <c r="E102" s="227">
        <f t="shared" si="4"/>
        <v>0</v>
      </c>
      <c r="F102" s="8">
        <f t="shared" si="4"/>
        <v>0</v>
      </c>
      <c r="G102" s="227">
        <f t="shared" si="4"/>
        <v>0</v>
      </c>
      <c r="H102" s="31">
        <f t="shared" si="4"/>
        <v>0</v>
      </c>
      <c r="I102" s="8">
        <f t="shared" si="4"/>
        <v>0</v>
      </c>
      <c r="J102" s="8">
        <f t="shared" si="5"/>
        <v>0</v>
      </c>
      <c r="K102" s="72">
        <f t="shared" si="6"/>
        <v>-15871.227364185108</v>
      </c>
    </row>
    <row r="103" spans="1:11" x14ac:dyDescent="0.25">
      <c r="A103" s="38">
        <f>Données!A100</f>
        <v>5563</v>
      </c>
      <c r="B103" s="172" t="str">
        <f>Données!B100</f>
        <v>Mutrux</v>
      </c>
      <c r="C103" s="8">
        <f>Données!Z100</f>
        <v>149</v>
      </c>
      <c r="D103" s="8">
        <f t="shared" si="4"/>
        <v>149</v>
      </c>
      <c r="E103" s="227">
        <f t="shared" si="4"/>
        <v>0</v>
      </c>
      <c r="F103" s="8">
        <f t="shared" si="4"/>
        <v>0</v>
      </c>
      <c r="G103" s="227">
        <f t="shared" si="4"/>
        <v>0</v>
      </c>
      <c r="H103" s="31">
        <f t="shared" si="4"/>
        <v>0</v>
      </c>
      <c r="I103" s="8">
        <f t="shared" si="4"/>
        <v>0</v>
      </c>
      <c r="J103" s="8">
        <f t="shared" si="5"/>
        <v>0</v>
      </c>
      <c r="K103" s="72">
        <f t="shared" si="6"/>
        <v>-18475.100603621726</v>
      </c>
    </row>
    <row r="104" spans="1:11" x14ac:dyDescent="0.25">
      <c r="A104" s="38">
        <f>Données!A101</f>
        <v>5564</v>
      </c>
      <c r="B104" s="172" t="str">
        <f>Données!B101</f>
        <v>Novalles</v>
      </c>
      <c r="C104" s="8">
        <f>Données!Z101</f>
        <v>99</v>
      </c>
      <c r="D104" s="8">
        <f t="shared" si="4"/>
        <v>99</v>
      </c>
      <c r="E104" s="227">
        <f t="shared" si="4"/>
        <v>0</v>
      </c>
      <c r="F104" s="8">
        <f t="shared" si="4"/>
        <v>0</v>
      </c>
      <c r="G104" s="227">
        <f t="shared" si="4"/>
        <v>0</v>
      </c>
      <c r="H104" s="31">
        <f t="shared" si="4"/>
        <v>0</v>
      </c>
      <c r="I104" s="8">
        <f t="shared" si="4"/>
        <v>0</v>
      </c>
      <c r="J104" s="8">
        <f t="shared" si="5"/>
        <v>0</v>
      </c>
      <c r="K104" s="72">
        <f t="shared" si="6"/>
        <v>-12275.40241448692</v>
      </c>
    </row>
    <row r="105" spans="1:11" x14ac:dyDescent="0.25">
      <c r="A105" s="38">
        <f>Données!A102</f>
        <v>5565</v>
      </c>
      <c r="B105" s="172" t="str">
        <f>Données!B102</f>
        <v>Onnens</v>
      </c>
      <c r="C105" s="8">
        <f>Données!Z102</f>
        <v>505</v>
      </c>
      <c r="D105" s="8">
        <f t="shared" si="4"/>
        <v>505</v>
      </c>
      <c r="E105" s="227">
        <f t="shared" si="4"/>
        <v>0</v>
      </c>
      <c r="F105" s="8">
        <f t="shared" si="4"/>
        <v>0</v>
      </c>
      <c r="G105" s="227">
        <f t="shared" si="4"/>
        <v>0</v>
      </c>
      <c r="H105" s="31">
        <f t="shared" si="4"/>
        <v>0</v>
      </c>
      <c r="I105" s="8">
        <f t="shared" si="4"/>
        <v>0</v>
      </c>
      <c r="J105" s="8">
        <f t="shared" si="5"/>
        <v>0</v>
      </c>
      <c r="K105" s="72">
        <f t="shared" si="6"/>
        <v>-62616.951710261557</v>
      </c>
    </row>
    <row r="106" spans="1:11" x14ac:dyDescent="0.25">
      <c r="A106" s="38">
        <f>Données!A103</f>
        <v>5566</v>
      </c>
      <c r="B106" s="172" t="str">
        <f>Données!B103</f>
        <v>Provence</v>
      </c>
      <c r="C106" s="8">
        <f>Données!Z103</f>
        <v>392</v>
      </c>
      <c r="D106" s="8">
        <f t="shared" si="4"/>
        <v>392</v>
      </c>
      <c r="E106" s="227">
        <f t="shared" si="4"/>
        <v>0</v>
      </c>
      <c r="F106" s="8">
        <f t="shared" si="4"/>
        <v>0</v>
      </c>
      <c r="G106" s="227">
        <f t="shared" si="4"/>
        <v>0</v>
      </c>
      <c r="H106" s="31">
        <f t="shared" si="4"/>
        <v>0</v>
      </c>
      <c r="I106" s="8">
        <f t="shared" si="4"/>
        <v>0</v>
      </c>
      <c r="J106" s="8">
        <f t="shared" si="5"/>
        <v>0</v>
      </c>
      <c r="K106" s="72">
        <f t="shared" si="6"/>
        <v>-48605.63380281689</v>
      </c>
    </row>
    <row r="107" spans="1:11" x14ac:dyDescent="0.25">
      <c r="A107" s="38">
        <f>Données!A104</f>
        <v>5568</v>
      </c>
      <c r="B107" s="172" t="str">
        <f>Données!B104</f>
        <v>Sainte-Croix</v>
      </c>
      <c r="C107" s="8">
        <f>Données!Z104</f>
        <v>4917</v>
      </c>
      <c r="D107" s="8">
        <f t="shared" si="4"/>
        <v>1000</v>
      </c>
      <c r="E107" s="227">
        <f t="shared" si="4"/>
        <v>2000</v>
      </c>
      <c r="F107" s="8">
        <f t="shared" si="4"/>
        <v>1917</v>
      </c>
      <c r="G107" s="227">
        <f t="shared" ref="E107:I158" si="7">IF($C107&gt;G$5,IF($C107&lt;G$6,$C107-G$5,G$6-G$5),0)</f>
        <v>0</v>
      </c>
      <c r="H107" s="31">
        <f t="shared" si="7"/>
        <v>0</v>
      </c>
      <c r="I107" s="8">
        <f t="shared" si="7"/>
        <v>0</v>
      </c>
      <c r="J107" s="8">
        <f t="shared" si="5"/>
        <v>0</v>
      </c>
      <c r="K107" s="72">
        <f t="shared" si="6"/>
        <v>-1769145.8752515088</v>
      </c>
    </row>
    <row r="108" spans="1:11" x14ac:dyDescent="0.25">
      <c r="A108" s="38">
        <f>Données!A105</f>
        <v>5571</v>
      </c>
      <c r="B108" s="172" t="str">
        <f>Données!B105</f>
        <v>Tévenon</v>
      </c>
      <c r="C108" s="8">
        <f>Données!Z105</f>
        <v>894</v>
      </c>
      <c r="D108" s="8">
        <f t="shared" ref="D108:D171" si="8">IF($C108&gt;D$5,IF($C108&lt;D$6,$C108-D$5,D$6-D$5),0)</f>
        <v>894</v>
      </c>
      <c r="E108" s="227">
        <f t="shared" si="7"/>
        <v>0</v>
      </c>
      <c r="F108" s="8">
        <f t="shared" si="7"/>
        <v>0</v>
      </c>
      <c r="G108" s="227">
        <f t="shared" si="7"/>
        <v>0</v>
      </c>
      <c r="H108" s="31">
        <f t="shared" si="7"/>
        <v>0</v>
      </c>
      <c r="I108" s="8">
        <f t="shared" si="7"/>
        <v>0</v>
      </c>
      <c r="J108" s="8">
        <f t="shared" si="5"/>
        <v>0</v>
      </c>
      <c r="K108" s="72">
        <f t="shared" si="6"/>
        <v>-110850.60362173036</v>
      </c>
    </row>
    <row r="109" spans="1:11" x14ac:dyDescent="0.25">
      <c r="A109" s="38">
        <f>Données!A106</f>
        <v>5581</v>
      </c>
      <c r="B109" s="172" t="str">
        <f>Données!B106</f>
        <v>Belmont-sur-Lausanne</v>
      </c>
      <c r="C109" s="8">
        <f>Données!Z106</f>
        <v>3756</v>
      </c>
      <c r="D109" s="8">
        <f t="shared" si="8"/>
        <v>1000</v>
      </c>
      <c r="E109" s="227">
        <f t="shared" si="7"/>
        <v>2000</v>
      </c>
      <c r="F109" s="8">
        <f t="shared" si="7"/>
        <v>756</v>
      </c>
      <c r="G109" s="227">
        <f t="shared" si="7"/>
        <v>0</v>
      </c>
      <c r="H109" s="31">
        <f t="shared" si="7"/>
        <v>0</v>
      </c>
      <c r="I109" s="8">
        <f t="shared" si="7"/>
        <v>0</v>
      </c>
      <c r="J109" s="8">
        <f t="shared" si="5"/>
        <v>0</v>
      </c>
      <c r="K109" s="72">
        <f t="shared" si="6"/>
        <v>-1193317.907444668</v>
      </c>
    </row>
    <row r="110" spans="1:11" x14ac:dyDescent="0.25">
      <c r="A110" s="38">
        <f>Données!A107</f>
        <v>5582</v>
      </c>
      <c r="B110" s="172" t="str">
        <f>Données!B107</f>
        <v>Cheseaux-sur-Lausanne</v>
      </c>
      <c r="C110" s="8">
        <f>Données!Z107</f>
        <v>4367</v>
      </c>
      <c r="D110" s="8">
        <f t="shared" si="8"/>
        <v>1000</v>
      </c>
      <c r="E110" s="227">
        <f t="shared" si="7"/>
        <v>2000</v>
      </c>
      <c r="F110" s="8">
        <f t="shared" si="7"/>
        <v>1367</v>
      </c>
      <c r="G110" s="227">
        <f t="shared" si="7"/>
        <v>0</v>
      </c>
      <c r="H110" s="31">
        <f t="shared" si="7"/>
        <v>0</v>
      </c>
      <c r="I110" s="8">
        <f t="shared" si="7"/>
        <v>0</v>
      </c>
      <c r="J110" s="8">
        <f t="shared" si="5"/>
        <v>0</v>
      </c>
      <c r="K110" s="72">
        <f t="shared" si="6"/>
        <v>-1496359.1549295774</v>
      </c>
    </row>
    <row r="111" spans="1:11" x14ac:dyDescent="0.25">
      <c r="A111" s="38">
        <f>Données!A108</f>
        <v>5583</v>
      </c>
      <c r="B111" s="172" t="str">
        <f>Données!B108</f>
        <v>Crissier</v>
      </c>
      <c r="C111" s="8">
        <f>Données!Z108</f>
        <v>8700</v>
      </c>
      <c r="D111" s="8">
        <f t="shared" si="8"/>
        <v>1000</v>
      </c>
      <c r="E111" s="227">
        <f t="shared" si="7"/>
        <v>2000</v>
      </c>
      <c r="F111" s="8">
        <f t="shared" si="7"/>
        <v>2000</v>
      </c>
      <c r="G111" s="227">
        <f t="shared" si="7"/>
        <v>3700</v>
      </c>
      <c r="H111" s="31">
        <f t="shared" si="7"/>
        <v>0</v>
      </c>
      <c r="I111" s="8">
        <f t="shared" si="7"/>
        <v>0</v>
      </c>
      <c r="J111" s="8">
        <f t="shared" si="5"/>
        <v>0</v>
      </c>
      <c r="K111" s="72">
        <f t="shared" si="6"/>
        <v>-4012444.6680080481</v>
      </c>
    </row>
    <row r="112" spans="1:11" x14ac:dyDescent="0.25">
      <c r="A112" s="38">
        <f>Données!A109</f>
        <v>5584</v>
      </c>
      <c r="B112" s="172" t="str">
        <f>Données!B109</f>
        <v>Epalinges</v>
      </c>
      <c r="C112" s="8">
        <f>Données!Z109</f>
        <v>9755</v>
      </c>
      <c r="D112" s="8">
        <f t="shared" si="8"/>
        <v>1000</v>
      </c>
      <c r="E112" s="227">
        <f t="shared" si="7"/>
        <v>2000</v>
      </c>
      <c r="F112" s="8">
        <f t="shared" si="7"/>
        <v>2000</v>
      </c>
      <c r="G112" s="227">
        <f t="shared" si="7"/>
        <v>4000</v>
      </c>
      <c r="H112" s="31">
        <f t="shared" si="7"/>
        <v>755</v>
      </c>
      <c r="I112" s="8">
        <f t="shared" si="7"/>
        <v>0</v>
      </c>
      <c r="J112" s="8">
        <f t="shared" si="5"/>
        <v>0</v>
      </c>
      <c r="K112" s="72">
        <f t="shared" si="6"/>
        <v>-4827580.9859154923</v>
      </c>
    </row>
    <row r="113" spans="1:11" x14ac:dyDescent="0.25">
      <c r="A113" s="38">
        <f>Données!A110</f>
        <v>5585</v>
      </c>
      <c r="B113" s="172" t="str">
        <f>Données!B110</f>
        <v>Jouxtens-Mézery</v>
      </c>
      <c r="C113" s="8">
        <f>Données!Z110</f>
        <v>1411</v>
      </c>
      <c r="D113" s="8">
        <f t="shared" si="8"/>
        <v>1000</v>
      </c>
      <c r="E113" s="227">
        <f t="shared" si="7"/>
        <v>411</v>
      </c>
      <c r="F113" s="8">
        <f t="shared" si="7"/>
        <v>0</v>
      </c>
      <c r="G113" s="227">
        <f t="shared" si="7"/>
        <v>0</v>
      </c>
      <c r="H113" s="31">
        <f t="shared" si="7"/>
        <v>0</v>
      </c>
      <c r="I113" s="8">
        <f t="shared" si="7"/>
        <v>0</v>
      </c>
      <c r="J113" s="8">
        <f t="shared" si="5"/>
        <v>0</v>
      </c>
      <c r="K113" s="72">
        <f t="shared" si="6"/>
        <v>-266686.21730382292</v>
      </c>
    </row>
    <row r="114" spans="1:11" x14ac:dyDescent="0.25">
      <c r="A114" s="38">
        <f>Données!A111</f>
        <v>5586</v>
      </c>
      <c r="B114" s="172" t="str">
        <f>Données!B111</f>
        <v>Lausanne</v>
      </c>
      <c r="C114" s="8">
        <f>Données!Z111</f>
        <v>140430</v>
      </c>
      <c r="D114" s="8">
        <f t="shared" si="8"/>
        <v>1000</v>
      </c>
      <c r="E114" s="227">
        <f t="shared" si="7"/>
        <v>2000</v>
      </c>
      <c r="F114" s="8">
        <f t="shared" si="7"/>
        <v>2000</v>
      </c>
      <c r="G114" s="227">
        <f t="shared" si="7"/>
        <v>4000</v>
      </c>
      <c r="H114" s="31">
        <f t="shared" si="7"/>
        <v>3000</v>
      </c>
      <c r="I114" s="8">
        <f t="shared" si="7"/>
        <v>3000</v>
      </c>
      <c r="J114" s="8">
        <f t="shared" si="5"/>
        <v>125430</v>
      </c>
      <c r="K114" s="72">
        <f t="shared" si="6"/>
        <v>-140337856.13682091</v>
      </c>
    </row>
    <row r="115" spans="1:11" x14ac:dyDescent="0.25">
      <c r="A115" s="38">
        <f>Données!A112</f>
        <v>5587</v>
      </c>
      <c r="B115" s="172" t="str">
        <f>Données!B112</f>
        <v>Le Mont-sur-Lausanne</v>
      </c>
      <c r="C115" s="8">
        <f>Données!Z112</f>
        <v>9136</v>
      </c>
      <c r="D115" s="8">
        <f t="shared" si="8"/>
        <v>1000</v>
      </c>
      <c r="E115" s="227">
        <f t="shared" si="7"/>
        <v>2000</v>
      </c>
      <c r="F115" s="8">
        <f t="shared" si="7"/>
        <v>2000</v>
      </c>
      <c r="G115" s="227">
        <f t="shared" si="7"/>
        <v>4000</v>
      </c>
      <c r="H115" s="31">
        <f t="shared" si="7"/>
        <v>136</v>
      </c>
      <c r="I115" s="8">
        <f t="shared" si="7"/>
        <v>0</v>
      </c>
      <c r="J115" s="8">
        <f t="shared" si="5"/>
        <v>0</v>
      </c>
      <c r="K115" s="72">
        <f t="shared" si="6"/>
        <v>-4305665.5935613681</v>
      </c>
    </row>
    <row r="116" spans="1:11" x14ac:dyDescent="0.25">
      <c r="A116" s="38">
        <f>Données!A113</f>
        <v>5588</v>
      </c>
      <c r="B116" s="172" t="str">
        <f>Données!B113</f>
        <v>Paudex</v>
      </c>
      <c r="C116" s="8">
        <f>Données!Z113</f>
        <v>1538</v>
      </c>
      <c r="D116" s="8">
        <f t="shared" si="8"/>
        <v>1000</v>
      </c>
      <c r="E116" s="227">
        <f t="shared" si="7"/>
        <v>538</v>
      </c>
      <c r="F116" s="8">
        <f t="shared" si="7"/>
        <v>0</v>
      </c>
      <c r="G116" s="227">
        <f t="shared" si="7"/>
        <v>0</v>
      </c>
      <c r="H116" s="31">
        <f t="shared" si="7"/>
        <v>0</v>
      </c>
      <c r="I116" s="8">
        <f t="shared" si="7"/>
        <v>0</v>
      </c>
      <c r="J116" s="8">
        <f t="shared" si="5"/>
        <v>0</v>
      </c>
      <c r="K116" s="72">
        <f t="shared" si="6"/>
        <v>-310778.47082494968</v>
      </c>
    </row>
    <row r="117" spans="1:11" x14ac:dyDescent="0.25">
      <c r="A117" s="38">
        <f>Données!A114</f>
        <v>5589</v>
      </c>
      <c r="B117" s="172" t="str">
        <f>Données!B114</f>
        <v>Prilly</v>
      </c>
      <c r="C117" s="8">
        <f>Données!Z114</f>
        <v>12383</v>
      </c>
      <c r="D117" s="8">
        <f t="shared" si="8"/>
        <v>1000</v>
      </c>
      <c r="E117" s="227">
        <f t="shared" si="7"/>
        <v>2000</v>
      </c>
      <c r="F117" s="8">
        <f t="shared" si="7"/>
        <v>2000</v>
      </c>
      <c r="G117" s="227">
        <f t="shared" si="7"/>
        <v>4000</v>
      </c>
      <c r="H117" s="31">
        <f t="shared" si="7"/>
        <v>3000</v>
      </c>
      <c r="I117" s="8">
        <f t="shared" si="7"/>
        <v>383</v>
      </c>
      <c r="J117" s="8">
        <f t="shared" si="5"/>
        <v>0</v>
      </c>
      <c r="K117" s="72">
        <f t="shared" si="6"/>
        <v>-7100390.3420523126</v>
      </c>
    </row>
    <row r="118" spans="1:11" x14ac:dyDescent="0.25">
      <c r="A118" s="38">
        <f>Données!A115</f>
        <v>5590</v>
      </c>
      <c r="B118" s="172" t="str">
        <f>Données!B115</f>
        <v>Pully</v>
      </c>
      <c r="C118" s="8">
        <f>Données!Z115</f>
        <v>18688</v>
      </c>
      <c r="D118" s="8">
        <f t="shared" si="8"/>
        <v>1000</v>
      </c>
      <c r="E118" s="227">
        <f t="shared" si="7"/>
        <v>2000</v>
      </c>
      <c r="F118" s="8">
        <f t="shared" si="7"/>
        <v>2000</v>
      </c>
      <c r="G118" s="227">
        <f t="shared" si="7"/>
        <v>4000</v>
      </c>
      <c r="H118" s="31">
        <f t="shared" si="7"/>
        <v>3000</v>
      </c>
      <c r="I118" s="8">
        <f t="shared" si="7"/>
        <v>3000</v>
      </c>
      <c r="J118" s="8">
        <f t="shared" si="5"/>
        <v>3688</v>
      </c>
      <c r="K118" s="72">
        <f t="shared" si="6"/>
        <v>-13537561.77062374</v>
      </c>
    </row>
    <row r="119" spans="1:11" x14ac:dyDescent="0.25">
      <c r="A119" s="38">
        <f>Données!A116</f>
        <v>5591</v>
      </c>
      <c r="B119" s="172" t="str">
        <f>Données!B116</f>
        <v>Renens</v>
      </c>
      <c r="C119" s="8">
        <f>Données!Z116</f>
        <v>20863</v>
      </c>
      <c r="D119" s="8">
        <f t="shared" si="8"/>
        <v>1000</v>
      </c>
      <c r="E119" s="227">
        <f t="shared" si="7"/>
        <v>2000</v>
      </c>
      <c r="F119" s="8">
        <f t="shared" si="7"/>
        <v>2000</v>
      </c>
      <c r="G119" s="227">
        <f t="shared" si="7"/>
        <v>4000</v>
      </c>
      <c r="H119" s="31">
        <f t="shared" si="7"/>
        <v>3000</v>
      </c>
      <c r="I119" s="8">
        <f t="shared" si="7"/>
        <v>3000</v>
      </c>
      <c r="J119" s="8">
        <f t="shared" si="5"/>
        <v>5863</v>
      </c>
      <c r="K119" s="72">
        <f t="shared" si="6"/>
        <v>-15802931.488933599</v>
      </c>
    </row>
    <row r="120" spans="1:11" x14ac:dyDescent="0.25">
      <c r="A120" s="38">
        <f>Données!A117</f>
        <v>5592</v>
      </c>
      <c r="B120" s="172" t="str">
        <f>Données!B117</f>
        <v>Romanel-sur-Lausanne</v>
      </c>
      <c r="C120" s="8">
        <f>Données!Z117</f>
        <v>3247</v>
      </c>
      <c r="D120" s="8">
        <f t="shared" si="8"/>
        <v>1000</v>
      </c>
      <c r="E120" s="227">
        <f t="shared" si="7"/>
        <v>2000</v>
      </c>
      <c r="F120" s="8">
        <f t="shared" si="7"/>
        <v>247</v>
      </c>
      <c r="G120" s="227">
        <f t="shared" si="7"/>
        <v>0</v>
      </c>
      <c r="H120" s="31">
        <f t="shared" si="7"/>
        <v>0</v>
      </c>
      <c r="I120" s="8">
        <f t="shared" si="7"/>
        <v>0</v>
      </c>
      <c r="J120" s="8">
        <f t="shared" si="5"/>
        <v>0</v>
      </c>
      <c r="K120" s="72">
        <f t="shared" si="6"/>
        <v>-940866.19718309853</v>
      </c>
    </row>
    <row r="121" spans="1:11" x14ac:dyDescent="0.25">
      <c r="A121" s="38">
        <f>Données!A118</f>
        <v>5601</v>
      </c>
      <c r="B121" s="172" t="str">
        <f>Données!B118</f>
        <v>Chexbres</v>
      </c>
      <c r="C121" s="8">
        <f>Données!Z118</f>
        <v>2251</v>
      </c>
      <c r="D121" s="8">
        <f t="shared" si="8"/>
        <v>1000</v>
      </c>
      <c r="E121" s="227">
        <f t="shared" si="7"/>
        <v>1251</v>
      </c>
      <c r="F121" s="8">
        <f t="shared" si="7"/>
        <v>0</v>
      </c>
      <c r="G121" s="227">
        <f t="shared" si="7"/>
        <v>0</v>
      </c>
      <c r="H121" s="31">
        <f t="shared" si="7"/>
        <v>0</v>
      </c>
      <c r="I121" s="8">
        <f t="shared" si="7"/>
        <v>0</v>
      </c>
      <c r="J121" s="8">
        <f t="shared" si="5"/>
        <v>0</v>
      </c>
      <c r="K121" s="72">
        <f t="shared" si="6"/>
        <v>-558320.02012072422</v>
      </c>
    </row>
    <row r="122" spans="1:11" x14ac:dyDescent="0.25">
      <c r="A122" s="38">
        <f>Données!A119</f>
        <v>5604</v>
      </c>
      <c r="B122" s="172" t="str">
        <f>Données!B119</f>
        <v>Forel (Lavaux)</v>
      </c>
      <c r="C122" s="8">
        <f>Données!Z119</f>
        <v>2105</v>
      </c>
      <c r="D122" s="8">
        <f t="shared" si="8"/>
        <v>1000</v>
      </c>
      <c r="E122" s="227">
        <f t="shared" si="7"/>
        <v>1105</v>
      </c>
      <c r="F122" s="8">
        <f t="shared" si="7"/>
        <v>0</v>
      </c>
      <c r="G122" s="227">
        <f t="shared" si="7"/>
        <v>0</v>
      </c>
      <c r="H122" s="31">
        <f t="shared" si="7"/>
        <v>0</v>
      </c>
      <c r="I122" s="8">
        <f t="shared" si="7"/>
        <v>0</v>
      </c>
      <c r="J122" s="8">
        <f t="shared" si="5"/>
        <v>0</v>
      </c>
      <c r="K122" s="72">
        <f t="shared" si="6"/>
        <v>-507631.2877263581</v>
      </c>
    </row>
    <row r="123" spans="1:11" x14ac:dyDescent="0.25">
      <c r="A123" s="38">
        <f>Données!A120</f>
        <v>5606</v>
      </c>
      <c r="B123" s="172" t="str">
        <f>Données!B120</f>
        <v>Lutry</v>
      </c>
      <c r="C123" s="8">
        <f>Données!Z120</f>
        <v>10455</v>
      </c>
      <c r="D123" s="8">
        <f t="shared" si="8"/>
        <v>1000</v>
      </c>
      <c r="E123" s="227">
        <f t="shared" si="7"/>
        <v>2000</v>
      </c>
      <c r="F123" s="8">
        <f t="shared" si="7"/>
        <v>2000</v>
      </c>
      <c r="G123" s="227">
        <f t="shared" si="7"/>
        <v>4000</v>
      </c>
      <c r="H123" s="31">
        <f t="shared" si="7"/>
        <v>1455</v>
      </c>
      <c r="I123" s="8">
        <f t="shared" si="7"/>
        <v>0</v>
      </c>
      <c r="J123" s="8">
        <f t="shared" si="5"/>
        <v>0</v>
      </c>
      <c r="K123" s="72">
        <f t="shared" si="6"/>
        <v>-5417792.2535211258</v>
      </c>
    </row>
    <row r="124" spans="1:11" x14ac:dyDescent="0.25">
      <c r="A124" s="38">
        <f>Données!A121</f>
        <v>5607</v>
      </c>
      <c r="B124" s="172" t="str">
        <f>Données!B121</f>
        <v>Puidoux</v>
      </c>
      <c r="C124" s="8">
        <f>Données!Z121</f>
        <v>2894</v>
      </c>
      <c r="D124" s="8">
        <f t="shared" si="8"/>
        <v>1000</v>
      </c>
      <c r="E124" s="227">
        <f t="shared" si="7"/>
        <v>1894</v>
      </c>
      <c r="F124" s="8">
        <f t="shared" si="7"/>
        <v>0</v>
      </c>
      <c r="G124" s="227">
        <f t="shared" si="7"/>
        <v>0</v>
      </c>
      <c r="H124" s="31">
        <f t="shared" si="7"/>
        <v>0</v>
      </c>
      <c r="I124" s="8">
        <f t="shared" si="7"/>
        <v>0</v>
      </c>
      <c r="J124" s="8">
        <f t="shared" si="5"/>
        <v>0</v>
      </c>
      <c r="K124" s="72">
        <f t="shared" si="6"/>
        <v>-781558.75251509051</v>
      </c>
    </row>
    <row r="125" spans="1:11" x14ac:dyDescent="0.25">
      <c r="A125" s="38">
        <f>Données!A122</f>
        <v>5609</v>
      </c>
      <c r="B125" s="172" t="str">
        <f>Données!B122</f>
        <v>Rivaz</v>
      </c>
      <c r="C125" s="8">
        <f>Données!Z122</f>
        <v>337</v>
      </c>
      <c r="D125" s="8">
        <f t="shared" si="8"/>
        <v>337</v>
      </c>
      <c r="E125" s="227">
        <f t="shared" si="7"/>
        <v>0</v>
      </c>
      <c r="F125" s="8">
        <f t="shared" si="7"/>
        <v>0</v>
      </c>
      <c r="G125" s="227">
        <f t="shared" si="7"/>
        <v>0</v>
      </c>
      <c r="H125" s="31">
        <f t="shared" si="7"/>
        <v>0</v>
      </c>
      <c r="I125" s="8">
        <f t="shared" si="7"/>
        <v>0</v>
      </c>
      <c r="J125" s="8">
        <f t="shared" si="5"/>
        <v>0</v>
      </c>
      <c r="K125" s="72">
        <f t="shared" si="6"/>
        <v>-41785.965794768606</v>
      </c>
    </row>
    <row r="126" spans="1:11" x14ac:dyDescent="0.25">
      <c r="A126" s="38">
        <f>Données!A123</f>
        <v>5610</v>
      </c>
      <c r="B126" s="172" t="str">
        <f>Données!B123</f>
        <v>St-Saphorin (Lavaux)</v>
      </c>
      <c r="C126" s="8">
        <f>Données!Z123</f>
        <v>388</v>
      </c>
      <c r="D126" s="8">
        <f t="shared" si="8"/>
        <v>388</v>
      </c>
      <c r="E126" s="227">
        <f t="shared" si="7"/>
        <v>0</v>
      </c>
      <c r="F126" s="8">
        <f t="shared" si="7"/>
        <v>0</v>
      </c>
      <c r="G126" s="227">
        <f t="shared" si="7"/>
        <v>0</v>
      </c>
      <c r="H126" s="31">
        <f t="shared" si="7"/>
        <v>0</v>
      </c>
      <c r="I126" s="8">
        <f t="shared" si="7"/>
        <v>0</v>
      </c>
      <c r="J126" s="8">
        <f t="shared" si="5"/>
        <v>0</v>
      </c>
      <c r="K126" s="72">
        <f t="shared" si="6"/>
        <v>-48109.657947686108</v>
      </c>
    </row>
    <row r="127" spans="1:11" x14ac:dyDescent="0.25">
      <c r="A127" s="38">
        <f>Données!A124</f>
        <v>5611</v>
      </c>
      <c r="B127" s="172" t="str">
        <f>Données!B124</f>
        <v>Savigny</v>
      </c>
      <c r="C127" s="8">
        <f>Données!Z124</f>
        <v>3348</v>
      </c>
      <c r="D127" s="8">
        <f t="shared" si="8"/>
        <v>1000</v>
      </c>
      <c r="E127" s="227">
        <f t="shared" si="7"/>
        <v>2000</v>
      </c>
      <c r="F127" s="8">
        <f t="shared" si="7"/>
        <v>348</v>
      </c>
      <c r="G127" s="227">
        <f t="shared" si="7"/>
        <v>0</v>
      </c>
      <c r="H127" s="31">
        <f t="shared" si="7"/>
        <v>0</v>
      </c>
      <c r="I127" s="8">
        <f t="shared" si="7"/>
        <v>0</v>
      </c>
      <c r="J127" s="8">
        <f t="shared" si="5"/>
        <v>0</v>
      </c>
      <c r="K127" s="72">
        <f t="shared" si="6"/>
        <v>-990959.75855130772</v>
      </c>
    </row>
    <row r="128" spans="1:11" x14ac:dyDescent="0.25">
      <c r="A128" s="38">
        <f>Données!A125</f>
        <v>5613</v>
      </c>
      <c r="B128" s="172" t="str">
        <f>Données!B125</f>
        <v>Bourg-en-Lavaux</v>
      </c>
      <c r="C128" s="8">
        <f>Données!Z125</f>
        <v>5389</v>
      </c>
      <c r="D128" s="8">
        <f t="shared" si="8"/>
        <v>1000</v>
      </c>
      <c r="E128" s="227">
        <f t="shared" si="7"/>
        <v>2000</v>
      </c>
      <c r="F128" s="8">
        <f t="shared" si="7"/>
        <v>2000</v>
      </c>
      <c r="G128" s="227">
        <f t="shared" si="7"/>
        <v>389</v>
      </c>
      <c r="H128" s="31">
        <f t="shared" si="7"/>
        <v>0</v>
      </c>
      <c r="I128" s="8">
        <f t="shared" si="7"/>
        <v>0</v>
      </c>
      <c r="J128" s="8">
        <f t="shared" si="5"/>
        <v>0</v>
      </c>
      <c r="K128" s="72">
        <f t="shared" si="6"/>
        <v>-2041833.4004024144</v>
      </c>
    </row>
    <row r="129" spans="1:11" x14ac:dyDescent="0.25">
      <c r="A129" s="38">
        <f>Données!A126</f>
        <v>5621</v>
      </c>
      <c r="B129" s="172" t="str">
        <f>Données!B126</f>
        <v>Aclens</v>
      </c>
      <c r="C129" s="8">
        <f>Données!Z126</f>
        <v>528</v>
      </c>
      <c r="D129" s="8">
        <f t="shared" si="8"/>
        <v>528</v>
      </c>
      <c r="E129" s="227">
        <f t="shared" si="7"/>
        <v>0</v>
      </c>
      <c r="F129" s="8">
        <f t="shared" si="7"/>
        <v>0</v>
      </c>
      <c r="G129" s="227">
        <f t="shared" si="7"/>
        <v>0</v>
      </c>
      <c r="H129" s="31">
        <f t="shared" si="7"/>
        <v>0</v>
      </c>
      <c r="I129" s="8">
        <f t="shared" si="7"/>
        <v>0</v>
      </c>
      <c r="J129" s="8">
        <f t="shared" si="5"/>
        <v>0</v>
      </c>
      <c r="K129" s="72">
        <f t="shared" si="6"/>
        <v>-65468.812877263568</v>
      </c>
    </row>
    <row r="130" spans="1:11" x14ac:dyDescent="0.25">
      <c r="A130" s="38">
        <f>Données!A127</f>
        <v>5622</v>
      </c>
      <c r="B130" s="172" t="str">
        <f>Données!B127</f>
        <v>Bremblens</v>
      </c>
      <c r="C130" s="8">
        <f>Données!Z127</f>
        <v>583</v>
      </c>
      <c r="D130" s="8">
        <f t="shared" si="8"/>
        <v>583</v>
      </c>
      <c r="E130" s="227">
        <f t="shared" si="7"/>
        <v>0</v>
      </c>
      <c r="F130" s="8">
        <f t="shared" si="7"/>
        <v>0</v>
      </c>
      <c r="G130" s="227">
        <f t="shared" si="7"/>
        <v>0</v>
      </c>
      <c r="H130" s="31">
        <f t="shared" si="7"/>
        <v>0</v>
      </c>
      <c r="I130" s="8">
        <f t="shared" si="7"/>
        <v>0</v>
      </c>
      <c r="J130" s="8">
        <f t="shared" si="5"/>
        <v>0</v>
      </c>
      <c r="K130" s="72">
        <f t="shared" si="6"/>
        <v>-72288.480885311859</v>
      </c>
    </row>
    <row r="131" spans="1:11" x14ac:dyDescent="0.25">
      <c r="A131" s="38">
        <f>Données!A128</f>
        <v>5623</v>
      </c>
      <c r="B131" s="172" t="str">
        <f>Données!B128</f>
        <v>Buchillon</v>
      </c>
      <c r="C131" s="8">
        <f>Données!Z128</f>
        <v>686</v>
      </c>
      <c r="D131" s="8">
        <f t="shared" si="8"/>
        <v>686</v>
      </c>
      <c r="E131" s="227">
        <f t="shared" si="7"/>
        <v>0</v>
      </c>
      <c r="F131" s="8">
        <f t="shared" si="7"/>
        <v>0</v>
      </c>
      <c r="G131" s="227">
        <f t="shared" si="7"/>
        <v>0</v>
      </c>
      <c r="H131" s="31">
        <f t="shared" si="7"/>
        <v>0</v>
      </c>
      <c r="I131" s="8">
        <f t="shared" si="7"/>
        <v>0</v>
      </c>
      <c r="J131" s="8">
        <f t="shared" si="5"/>
        <v>0</v>
      </c>
      <c r="K131" s="72">
        <f t="shared" si="6"/>
        <v>-85059.859154929567</v>
      </c>
    </row>
    <row r="132" spans="1:11" x14ac:dyDescent="0.25">
      <c r="A132" s="38">
        <f>Données!A129</f>
        <v>5624</v>
      </c>
      <c r="B132" s="172" t="str">
        <f>Données!B129</f>
        <v>Bussigny</v>
      </c>
      <c r="C132" s="8">
        <f>Données!Z129</f>
        <v>9614</v>
      </c>
      <c r="D132" s="8">
        <f t="shared" si="8"/>
        <v>1000</v>
      </c>
      <c r="E132" s="227">
        <f t="shared" si="7"/>
        <v>2000</v>
      </c>
      <c r="F132" s="8">
        <f t="shared" si="7"/>
        <v>2000</v>
      </c>
      <c r="G132" s="227">
        <f t="shared" si="7"/>
        <v>4000</v>
      </c>
      <c r="H132" s="31">
        <f t="shared" si="7"/>
        <v>614</v>
      </c>
      <c r="I132" s="8">
        <f t="shared" si="7"/>
        <v>0</v>
      </c>
      <c r="J132" s="8">
        <f t="shared" si="5"/>
        <v>0</v>
      </c>
      <c r="K132" s="72">
        <f t="shared" si="6"/>
        <v>-4708695.573440643</v>
      </c>
    </row>
    <row r="133" spans="1:11" x14ac:dyDescent="0.25">
      <c r="A133" s="38">
        <f>Données!A130</f>
        <v>5627</v>
      </c>
      <c r="B133" s="172" t="str">
        <f>Données!B130</f>
        <v>Chavannes-près-Renens</v>
      </c>
      <c r="C133" s="8">
        <f>Données!Z130</f>
        <v>8487</v>
      </c>
      <c r="D133" s="8">
        <f t="shared" si="8"/>
        <v>1000</v>
      </c>
      <c r="E133" s="227">
        <f t="shared" si="7"/>
        <v>2000</v>
      </c>
      <c r="F133" s="8">
        <f t="shared" si="7"/>
        <v>2000</v>
      </c>
      <c r="G133" s="227">
        <f t="shared" si="7"/>
        <v>3487</v>
      </c>
      <c r="H133" s="31">
        <f t="shared" si="7"/>
        <v>0</v>
      </c>
      <c r="I133" s="8">
        <f t="shared" si="7"/>
        <v>0</v>
      </c>
      <c r="J133" s="8">
        <f t="shared" si="5"/>
        <v>0</v>
      </c>
      <c r="K133" s="72">
        <f t="shared" si="6"/>
        <v>-3885673.2394366194</v>
      </c>
    </row>
    <row r="134" spans="1:11" x14ac:dyDescent="0.25">
      <c r="A134" s="38">
        <f>Données!A131</f>
        <v>5628</v>
      </c>
      <c r="B134" s="172" t="str">
        <f>Données!B131</f>
        <v>Chigny</v>
      </c>
      <c r="C134" s="8">
        <f>Données!Z131</f>
        <v>396</v>
      </c>
      <c r="D134" s="8">
        <f t="shared" si="8"/>
        <v>396</v>
      </c>
      <c r="E134" s="227">
        <f t="shared" si="7"/>
        <v>0</v>
      </c>
      <c r="F134" s="8">
        <f t="shared" si="7"/>
        <v>0</v>
      </c>
      <c r="G134" s="227">
        <f t="shared" si="7"/>
        <v>0</v>
      </c>
      <c r="H134" s="31">
        <f t="shared" si="7"/>
        <v>0</v>
      </c>
      <c r="I134" s="8">
        <f t="shared" si="7"/>
        <v>0</v>
      </c>
      <c r="J134" s="8">
        <f t="shared" si="5"/>
        <v>0</v>
      </c>
      <c r="K134" s="72">
        <f t="shared" si="6"/>
        <v>-49101.60965794768</v>
      </c>
    </row>
    <row r="135" spans="1:11" x14ac:dyDescent="0.25">
      <c r="A135" s="38">
        <f>Données!A132</f>
        <v>5629</v>
      </c>
      <c r="B135" s="172" t="str">
        <f>Données!B132</f>
        <v>Clarmont</v>
      </c>
      <c r="C135" s="8">
        <f>Données!Z132</f>
        <v>201</v>
      </c>
      <c r="D135" s="8">
        <f t="shared" si="8"/>
        <v>201</v>
      </c>
      <c r="E135" s="227">
        <f t="shared" si="7"/>
        <v>0</v>
      </c>
      <c r="F135" s="8">
        <f t="shared" si="7"/>
        <v>0</v>
      </c>
      <c r="G135" s="227">
        <f t="shared" si="7"/>
        <v>0</v>
      </c>
      <c r="H135" s="31">
        <f t="shared" si="7"/>
        <v>0</v>
      </c>
      <c r="I135" s="8">
        <f t="shared" si="7"/>
        <v>0</v>
      </c>
      <c r="J135" s="8">
        <f t="shared" si="5"/>
        <v>0</v>
      </c>
      <c r="K135" s="72">
        <f t="shared" si="6"/>
        <v>-24922.786720321928</v>
      </c>
    </row>
    <row r="136" spans="1:11" x14ac:dyDescent="0.25">
      <c r="A136" s="38">
        <f>Données!A133</f>
        <v>5631</v>
      </c>
      <c r="B136" s="172" t="str">
        <f>Données!B133</f>
        <v>Denens</v>
      </c>
      <c r="C136" s="8">
        <f>Données!Z133</f>
        <v>742</v>
      </c>
      <c r="D136" s="8">
        <f t="shared" si="8"/>
        <v>742</v>
      </c>
      <c r="E136" s="227">
        <f t="shared" si="7"/>
        <v>0</v>
      </c>
      <c r="F136" s="8">
        <f t="shared" si="7"/>
        <v>0</v>
      </c>
      <c r="G136" s="227">
        <f t="shared" si="7"/>
        <v>0</v>
      </c>
      <c r="H136" s="31">
        <f t="shared" si="7"/>
        <v>0</v>
      </c>
      <c r="I136" s="8">
        <f t="shared" si="7"/>
        <v>0</v>
      </c>
      <c r="J136" s="8">
        <f t="shared" si="5"/>
        <v>0</v>
      </c>
      <c r="K136" s="72">
        <f t="shared" si="6"/>
        <v>-92003.521126760548</v>
      </c>
    </row>
    <row r="137" spans="1:11" x14ac:dyDescent="0.25">
      <c r="A137" s="38">
        <f>Données!A134</f>
        <v>5632</v>
      </c>
      <c r="B137" s="172" t="str">
        <f>Données!B134</f>
        <v>Denges</v>
      </c>
      <c r="C137" s="8">
        <f>Données!Z134</f>
        <v>1730</v>
      </c>
      <c r="D137" s="8">
        <f t="shared" si="8"/>
        <v>1000</v>
      </c>
      <c r="E137" s="227">
        <f t="shared" si="7"/>
        <v>730</v>
      </c>
      <c r="F137" s="8">
        <f t="shared" si="7"/>
        <v>0</v>
      </c>
      <c r="G137" s="227">
        <f t="shared" si="7"/>
        <v>0</v>
      </c>
      <c r="H137" s="31">
        <f t="shared" si="7"/>
        <v>0</v>
      </c>
      <c r="I137" s="8">
        <f t="shared" si="7"/>
        <v>0</v>
      </c>
      <c r="J137" s="8">
        <f t="shared" si="5"/>
        <v>0</v>
      </c>
      <c r="K137" s="72">
        <f t="shared" si="6"/>
        <v>-377437.62575452711</v>
      </c>
    </row>
    <row r="138" spans="1:11" x14ac:dyDescent="0.25">
      <c r="A138" s="38">
        <f>Données!A135</f>
        <v>5633</v>
      </c>
      <c r="B138" s="172" t="str">
        <f>Données!B135</f>
        <v>Echandens</v>
      </c>
      <c r="C138" s="8">
        <f>Données!Z135</f>
        <v>2743</v>
      </c>
      <c r="D138" s="8">
        <f t="shared" si="8"/>
        <v>1000</v>
      </c>
      <c r="E138" s="227">
        <f t="shared" si="7"/>
        <v>1743</v>
      </c>
      <c r="F138" s="8">
        <f t="shared" si="7"/>
        <v>0</v>
      </c>
      <c r="G138" s="227">
        <f t="shared" si="7"/>
        <v>0</v>
      </c>
      <c r="H138" s="31">
        <f t="shared" si="7"/>
        <v>0</v>
      </c>
      <c r="I138" s="8">
        <f t="shared" si="7"/>
        <v>0</v>
      </c>
      <c r="J138" s="8">
        <f t="shared" ref="J138:J201" si="9">IF(C138&gt;$J$5,C138-$J$5,0)</f>
        <v>0</v>
      </c>
      <c r="K138" s="72">
        <f t="shared" ref="K138:K201" si="10">-((D138*D$8)+(E138*E$8)+(F138*F$8)+(G138*G$8)+(H138*H$8)+(I138*I$8)+(J138*J$8))</f>
        <v>-729134.10462776653</v>
      </c>
    </row>
    <row r="139" spans="1:11" x14ac:dyDescent="0.25">
      <c r="A139" s="38">
        <f>Données!A136</f>
        <v>5634</v>
      </c>
      <c r="B139" s="172" t="str">
        <f>Données!B136</f>
        <v>Echichens</v>
      </c>
      <c r="C139" s="8">
        <f>Données!Z136</f>
        <v>3127</v>
      </c>
      <c r="D139" s="8">
        <f t="shared" si="8"/>
        <v>1000</v>
      </c>
      <c r="E139" s="227">
        <f t="shared" si="7"/>
        <v>2000</v>
      </c>
      <c r="F139" s="8">
        <f t="shared" si="7"/>
        <v>127</v>
      </c>
      <c r="G139" s="227">
        <f t="shared" si="7"/>
        <v>0</v>
      </c>
      <c r="H139" s="31">
        <f t="shared" si="7"/>
        <v>0</v>
      </c>
      <c r="I139" s="8">
        <f t="shared" si="7"/>
        <v>0</v>
      </c>
      <c r="J139" s="8">
        <f t="shared" si="9"/>
        <v>0</v>
      </c>
      <c r="K139" s="72">
        <f t="shared" si="10"/>
        <v>-881349.09456740436</v>
      </c>
    </row>
    <row r="140" spans="1:11" x14ac:dyDescent="0.25">
      <c r="A140" s="38">
        <f>Données!A137</f>
        <v>5635</v>
      </c>
      <c r="B140" s="172" t="str">
        <f>Données!B137</f>
        <v>Ecublens</v>
      </c>
      <c r="C140" s="8">
        <f>Données!Z137</f>
        <v>13164</v>
      </c>
      <c r="D140" s="8">
        <f t="shared" si="8"/>
        <v>1000</v>
      </c>
      <c r="E140" s="227">
        <f t="shared" si="7"/>
        <v>2000</v>
      </c>
      <c r="F140" s="8">
        <f t="shared" si="7"/>
        <v>2000</v>
      </c>
      <c r="G140" s="227">
        <f t="shared" si="7"/>
        <v>4000</v>
      </c>
      <c r="H140" s="31">
        <f t="shared" si="7"/>
        <v>3000</v>
      </c>
      <c r="I140" s="8">
        <f t="shared" si="7"/>
        <v>1164</v>
      </c>
      <c r="J140" s="8">
        <f t="shared" si="9"/>
        <v>0</v>
      </c>
      <c r="K140" s="72">
        <f t="shared" si="10"/>
        <v>-7875104.627766598</v>
      </c>
    </row>
    <row r="141" spans="1:11" x14ac:dyDescent="0.25">
      <c r="A141" s="38">
        <f>Données!A138</f>
        <v>5636</v>
      </c>
      <c r="B141" s="172" t="str">
        <f>Données!B138</f>
        <v>Etoy</v>
      </c>
      <c r="C141" s="8">
        <f>Données!Z138</f>
        <v>2909</v>
      </c>
      <c r="D141" s="8">
        <f t="shared" si="8"/>
        <v>1000</v>
      </c>
      <c r="E141" s="227">
        <f t="shared" si="7"/>
        <v>1909</v>
      </c>
      <c r="F141" s="8">
        <f t="shared" si="7"/>
        <v>0</v>
      </c>
      <c r="G141" s="227">
        <f t="shared" si="7"/>
        <v>0</v>
      </c>
      <c r="H141" s="31">
        <f t="shared" si="7"/>
        <v>0</v>
      </c>
      <c r="I141" s="8">
        <f t="shared" si="7"/>
        <v>0</v>
      </c>
      <c r="J141" s="8">
        <f t="shared" si="9"/>
        <v>0</v>
      </c>
      <c r="K141" s="72">
        <f t="shared" si="10"/>
        <v>-786766.4989939637</v>
      </c>
    </row>
    <row r="142" spans="1:11" x14ac:dyDescent="0.25">
      <c r="A142" s="38">
        <f>Données!A139</f>
        <v>5637</v>
      </c>
      <c r="B142" s="172" t="str">
        <f>Données!B139</f>
        <v>Lavigny</v>
      </c>
      <c r="C142" s="8">
        <f>Données!Z139</f>
        <v>1008</v>
      </c>
      <c r="D142" s="8">
        <f t="shared" si="8"/>
        <v>1000</v>
      </c>
      <c r="E142" s="227">
        <f t="shared" si="7"/>
        <v>8</v>
      </c>
      <c r="F142" s="8">
        <f t="shared" si="7"/>
        <v>0</v>
      </c>
      <c r="G142" s="227">
        <f t="shared" si="7"/>
        <v>0</v>
      </c>
      <c r="H142" s="31">
        <f t="shared" si="7"/>
        <v>0</v>
      </c>
      <c r="I142" s="8">
        <f t="shared" si="7"/>
        <v>0</v>
      </c>
      <c r="J142" s="8">
        <f t="shared" si="9"/>
        <v>0</v>
      </c>
      <c r="K142" s="72">
        <f t="shared" si="10"/>
        <v>-126771.42857142855</v>
      </c>
    </row>
    <row r="143" spans="1:11" x14ac:dyDescent="0.25">
      <c r="A143" s="38">
        <f>Données!A140</f>
        <v>5638</v>
      </c>
      <c r="B143" s="172" t="str">
        <f>Données!B140</f>
        <v>Lonay</v>
      </c>
      <c r="C143" s="8">
        <f>Données!Z140</f>
        <v>2679</v>
      </c>
      <c r="D143" s="8">
        <f t="shared" si="8"/>
        <v>1000</v>
      </c>
      <c r="E143" s="227">
        <f t="shared" si="7"/>
        <v>1679</v>
      </c>
      <c r="F143" s="8">
        <f t="shared" si="7"/>
        <v>0</v>
      </c>
      <c r="G143" s="227">
        <f t="shared" si="7"/>
        <v>0</v>
      </c>
      <c r="H143" s="31">
        <f t="shared" si="7"/>
        <v>0</v>
      </c>
      <c r="I143" s="8">
        <f t="shared" si="7"/>
        <v>0</v>
      </c>
      <c r="J143" s="8">
        <f t="shared" si="9"/>
        <v>0</v>
      </c>
      <c r="K143" s="72">
        <f t="shared" si="10"/>
        <v>-706914.38631790737</v>
      </c>
    </row>
    <row r="144" spans="1:11" x14ac:dyDescent="0.25">
      <c r="A144" s="38">
        <f>Données!A141</f>
        <v>5639</v>
      </c>
      <c r="B144" s="172" t="str">
        <f>Données!B141</f>
        <v>Lully</v>
      </c>
      <c r="C144" s="8">
        <f>Données!Z141</f>
        <v>825</v>
      </c>
      <c r="D144" s="8">
        <f t="shared" si="8"/>
        <v>825</v>
      </c>
      <c r="E144" s="227">
        <f t="shared" si="7"/>
        <v>0</v>
      </c>
      <c r="F144" s="8">
        <f t="shared" si="7"/>
        <v>0</v>
      </c>
      <c r="G144" s="227">
        <f t="shared" si="7"/>
        <v>0</v>
      </c>
      <c r="H144" s="31">
        <f t="shared" si="7"/>
        <v>0</v>
      </c>
      <c r="I144" s="8">
        <f t="shared" si="7"/>
        <v>0</v>
      </c>
      <c r="J144" s="8">
        <f t="shared" si="9"/>
        <v>0</v>
      </c>
      <c r="K144" s="72">
        <f t="shared" si="10"/>
        <v>-102295.02012072432</v>
      </c>
    </row>
    <row r="145" spans="1:11" x14ac:dyDescent="0.25">
      <c r="A145" s="38">
        <f>Données!A142</f>
        <v>5640</v>
      </c>
      <c r="B145" s="172" t="str">
        <f>Données!B142</f>
        <v>Lussy-sur-Morges</v>
      </c>
      <c r="C145" s="8">
        <f>Données!Z142</f>
        <v>722</v>
      </c>
      <c r="D145" s="8">
        <f t="shared" si="8"/>
        <v>722</v>
      </c>
      <c r="E145" s="227">
        <f t="shared" si="7"/>
        <v>0</v>
      </c>
      <c r="F145" s="8">
        <f t="shared" si="7"/>
        <v>0</v>
      </c>
      <c r="G145" s="227">
        <f t="shared" si="7"/>
        <v>0</v>
      </c>
      <c r="H145" s="31">
        <f t="shared" si="7"/>
        <v>0</v>
      </c>
      <c r="I145" s="8">
        <f t="shared" si="7"/>
        <v>0</v>
      </c>
      <c r="J145" s="8">
        <f t="shared" si="9"/>
        <v>0</v>
      </c>
      <c r="K145" s="72">
        <f t="shared" si="10"/>
        <v>-89523.641851106629</v>
      </c>
    </row>
    <row r="146" spans="1:11" x14ac:dyDescent="0.25">
      <c r="A146" s="38">
        <f>Données!A143</f>
        <v>5642</v>
      </c>
      <c r="B146" s="172" t="str">
        <f>Données!B143</f>
        <v>Morges</v>
      </c>
      <c r="C146" s="8">
        <f>Données!Z143</f>
        <v>16095</v>
      </c>
      <c r="D146" s="8">
        <f t="shared" si="8"/>
        <v>1000</v>
      </c>
      <c r="E146" s="227">
        <f t="shared" si="7"/>
        <v>2000</v>
      </c>
      <c r="F146" s="8">
        <f t="shared" si="7"/>
        <v>2000</v>
      </c>
      <c r="G146" s="227">
        <f t="shared" si="7"/>
        <v>4000</v>
      </c>
      <c r="H146" s="31">
        <f t="shared" si="7"/>
        <v>3000</v>
      </c>
      <c r="I146" s="8">
        <f t="shared" si="7"/>
        <v>3000</v>
      </c>
      <c r="J146" s="8">
        <f t="shared" si="9"/>
        <v>1095</v>
      </c>
      <c r="K146" s="72">
        <f t="shared" si="10"/>
        <v>-10836824.446680078</v>
      </c>
    </row>
    <row r="147" spans="1:11" x14ac:dyDescent="0.25">
      <c r="A147" s="38">
        <f>Données!A144</f>
        <v>5643</v>
      </c>
      <c r="B147" s="172" t="str">
        <f>Données!B144</f>
        <v>Préverenges</v>
      </c>
      <c r="C147" s="8">
        <f>Données!Z144</f>
        <v>5241</v>
      </c>
      <c r="D147" s="8">
        <f t="shared" si="8"/>
        <v>1000</v>
      </c>
      <c r="E147" s="227">
        <f t="shared" si="7"/>
        <v>2000</v>
      </c>
      <c r="F147" s="8">
        <f t="shared" si="7"/>
        <v>2000</v>
      </c>
      <c r="G147" s="227">
        <f t="shared" si="7"/>
        <v>241</v>
      </c>
      <c r="H147" s="31">
        <f t="shared" si="7"/>
        <v>0</v>
      </c>
      <c r="I147" s="8">
        <f t="shared" si="7"/>
        <v>0</v>
      </c>
      <c r="J147" s="8">
        <f t="shared" si="9"/>
        <v>0</v>
      </c>
      <c r="K147" s="72">
        <f t="shared" si="10"/>
        <v>-1953748.088531187</v>
      </c>
    </row>
    <row r="148" spans="1:11" x14ac:dyDescent="0.25">
      <c r="A148" s="38">
        <f>Données!A145</f>
        <v>5645</v>
      </c>
      <c r="B148" s="172" t="str">
        <f>Données!B145</f>
        <v>Romanel-sur-Morges</v>
      </c>
      <c r="C148" s="8">
        <f>Données!Z145</f>
        <v>466</v>
      </c>
      <c r="D148" s="8">
        <f t="shared" si="8"/>
        <v>466</v>
      </c>
      <c r="E148" s="227">
        <f t="shared" si="7"/>
        <v>0</v>
      </c>
      <c r="F148" s="8">
        <f t="shared" si="7"/>
        <v>0</v>
      </c>
      <c r="G148" s="227">
        <f t="shared" si="7"/>
        <v>0</v>
      </c>
      <c r="H148" s="31">
        <f t="shared" si="7"/>
        <v>0</v>
      </c>
      <c r="I148" s="8">
        <f t="shared" si="7"/>
        <v>0</v>
      </c>
      <c r="J148" s="8">
        <f t="shared" si="9"/>
        <v>0</v>
      </c>
      <c r="K148" s="72">
        <f t="shared" si="10"/>
        <v>-57781.18712273641</v>
      </c>
    </row>
    <row r="149" spans="1:11" x14ac:dyDescent="0.25">
      <c r="A149" s="38">
        <f>Données!A146</f>
        <v>5646</v>
      </c>
      <c r="B149" s="172" t="str">
        <f>Données!B146</f>
        <v>Saint-Prex</v>
      </c>
      <c r="C149" s="8">
        <f>Données!Z146</f>
        <v>5865</v>
      </c>
      <c r="D149" s="8">
        <f t="shared" si="8"/>
        <v>1000</v>
      </c>
      <c r="E149" s="227">
        <f t="shared" si="7"/>
        <v>2000</v>
      </c>
      <c r="F149" s="8">
        <f t="shared" si="7"/>
        <v>2000</v>
      </c>
      <c r="G149" s="227">
        <f t="shared" si="7"/>
        <v>865</v>
      </c>
      <c r="H149" s="31">
        <f t="shared" si="7"/>
        <v>0</v>
      </c>
      <c r="I149" s="8">
        <f t="shared" si="7"/>
        <v>0</v>
      </c>
      <c r="J149" s="8">
        <f t="shared" si="9"/>
        <v>0</v>
      </c>
      <c r="K149" s="72">
        <f t="shared" si="10"/>
        <v>-2325134.8088531187</v>
      </c>
    </row>
    <row r="150" spans="1:11" x14ac:dyDescent="0.25">
      <c r="A150" s="38">
        <f>Données!A147</f>
        <v>5648</v>
      </c>
      <c r="B150" s="172" t="str">
        <f>Données!B147</f>
        <v>Saint-Sulpice</v>
      </c>
      <c r="C150" s="8">
        <f>Données!Z147</f>
        <v>4909</v>
      </c>
      <c r="D150" s="8">
        <f t="shared" si="8"/>
        <v>1000</v>
      </c>
      <c r="E150" s="227">
        <f t="shared" si="7"/>
        <v>2000</v>
      </c>
      <c r="F150" s="8">
        <f t="shared" si="7"/>
        <v>1909</v>
      </c>
      <c r="G150" s="227">
        <f t="shared" si="7"/>
        <v>0</v>
      </c>
      <c r="H150" s="31">
        <f t="shared" si="7"/>
        <v>0</v>
      </c>
      <c r="I150" s="8">
        <f t="shared" si="7"/>
        <v>0</v>
      </c>
      <c r="J150" s="8">
        <f t="shared" si="9"/>
        <v>0</v>
      </c>
      <c r="K150" s="72">
        <f t="shared" si="10"/>
        <v>-1765178.0684104627</v>
      </c>
    </row>
    <row r="151" spans="1:11" x14ac:dyDescent="0.25">
      <c r="A151" s="38">
        <f>Données!A148</f>
        <v>5649</v>
      </c>
      <c r="B151" s="172" t="str">
        <f>Données!B148</f>
        <v>Tolochenaz</v>
      </c>
      <c r="C151" s="8">
        <f>Données!Z148</f>
        <v>1889</v>
      </c>
      <c r="D151" s="8">
        <f t="shared" si="8"/>
        <v>1000</v>
      </c>
      <c r="E151" s="227">
        <f t="shared" si="7"/>
        <v>889</v>
      </c>
      <c r="F151" s="8">
        <f t="shared" si="7"/>
        <v>0</v>
      </c>
      <c r="G151" s="227">
        <f t="shared" si="7"/>
        <v>0</v>
      </c>
      <c r="H151" s="31">
        <f t="shared" si="7"/>
        <v>0</v>
      </c>
      <c r="I151" s="8">
        <f t="shared" si="7"/>
        <v>0</v>
      </c>
      <c r="J151" s="8">
        <f t="shared" si="9"/>
        <v>0</v>
      </c>
      <c r="K151" s="72">
        <f t="shared" si="10"/>
        <v>-432639.73843058344</v>
      </c>
    </row>
    <row r="152" spans="1:11" x14ac:dyDescent="0.25">
      <c r="A152" s="38">
        <f>Données!A149</f>
        <v>5650</v>
      </c>
      <c r="B152" s="172" t="str">
        <f>Données!B149</f>
        <v>Vaux-sur-Morges</v>
      </c>
      <c r="C152" s="8">
        <f>Données!Z149</f>
        <v>194</v>
      </c>
      <c r="D152" s="8">
        <f t="shared" si="8"/>
        <v>194</v>
      </c>
      <c r="E152" s="227">
        <f t="shared" si="7"/>
        <v>0</v>
      </c>
      <c r="F152" s="8">
        <f t="shared" si="7"/>
        <v>0</v>
      </c>
      <c r="G152" s="227">
        <f t="shared" si="7"/>
        <v>0</v>
      </c>
      <c r="H152" s="31">
        <f t="shared" si="7"/>
        <v>0</v>
      </c>
      <c r="I152" s="8">
        <f t="shared" si="7"/>
        <v>0</v>
      </c>
      <c r="J152" s="8">
        <f t="shared" si="9"/>
        <v>0</v>
      </c>
      <c r="K152" s="72">
        <f t="shared" si="10"/>
        <v>-24054.828973843054</v>
      </c>
    </row>
    <row r="153" spans="1:11" x14ac:dyDescent="0.25">
      <c r="A153" s="38">
        <f>Données!A150</f>
        <v>5651</v>
      </c>
      <c r="B153" s="172" t="str">
        <f>Données!B150</f>
        <v>Villars-Sainte-Croix</v>
      </c>
      <c r="C153" s="8">
        <f>Données!Z150</f>
        <v>958</v>
      </c>
      <c r="D153" s="8">
        <f t="shared" si="8"/>
        <v>958</v>
      </c>
      <c r="E153" s="227">
        <f t="shared" si="7"/>
        <v>0</v>
      </c>
      <c r="F153" s="8">
        <f t="shared" si="7"/>
        <v>0</v>
      </c>
      <c r="G153" s="227">
        <f t="shared" si="7"/>
        <v>0</v>
      </c>
      <c r="H153" s="31">
        <f t="shared" si="7"/>
        <v>0</v>
      </c>
      <c r="I153" s="8">
        <f t="shared" si="7"/>
        <v>0</v>
      </c>
      <c r="J153" s="8">
        <f t="shared" si="9"/>
        <v>0</v>
      </c>
      <c r="K153" s="72">
        <f t="shared" si="10"/>
        <v>-118786.21730382292</v>
      </c>
    </row>
    <row r="154" spans="1:11" x14ac:dyDescent="0.25">
      <c r="A154" s="38">
        <f>Données!A151</f>
        <v>5652</v>
      </c>
      <c r="B154" s="172" t="str">
        <f>Données!B151</f>
        <v>Villars-sous-Yens</v>
      </c>
      <c r="C154" s="8">
        <f>Données!Z151</f>
        <v>615</v>
      </c>
      <c r="D154" s="8">
        <f t="shared" si="8"/>
        <v>615</v>
      </c>
      <c r="E154" s="227">
        <f t="shared" si="7"/>
        <v>0</v>
      </c>
      <c r="F154" s="8">
        <f t="shared" si="7"/>
        <v>0</v>
      </c>
      <c r="G154" s="227">
        <f t="shared" si="7"/>
        <v>0</v>
      </c>
      <c r="H154" s="31">
        <f t="shared" si="7"/>
        <v>0</v>
      </c>
      <c r="I154" s="8">
        <f t="shared" si="7"/>
        <v>0</v>
      </c>
      <c r="J154" s="8">
        <f t="shared" si="9"/>
        <v>0</v>
      </c>
      <c r="K154" s="72">
        <f t="shared" si="10"/>
        <v>-76256.287726358132</v>
      </c>
    </row>
    <row r="155" spans="1:11" x14ac:dyDescent="0.25">
      <c r="A155" s="38">
        <f>Données!A152</f>
        <v>5653</v>
      </c>
      <c r="B155" s="172" t="str">
        <f>Données!B152</f>
        <v>Vufflens-le-Château</v>
      </c>
      <c r="C155" s="8">
        <f>Données!Z152</f>
        <v>870</v>
      </c>
      <c r="D155" s="8">
        <f t="shared" si="8"/>
        <v>870</v>
      </c>
      <c r="E155" s="227">
        <f t="shared" si="7"/>
        <v>0</v>
      </c>
      <c r="F155" s="8">
        <f t="shared" si="7"/>
        <v>0</v>
      </c>
      <c r="G155" s="227">
        <f t="shared" si="7"/>
        <v>0</v>
      </c>
      <c r="H155" s="31">
        <f t="shared" si="7"/>
        <v>0</v>
      </c>
      <c r="I155" s="8">
        <f t="shared" si="7"/>
        <v>0</v>
      </c>
      <c r="J155" s="8">
        <f t="shared" si="9"/>
        <v>0</v>
      </c>
      <c r="K155" s="72">
        <f t="shared" si="10"/>
        <v>-107874.74849094565</v>
      </c>
    </row>
    <row r="156" spans="1:11" x14ac:dyDescent="0.25">
      <c r="A156" s="38">
        <f>Données!A153</f>
        <v>5654</v>
      </c>
      <c r="B156" s="172" t="str">
        <f>Données!B153</f>
        <v>Vullierens</v>
      </c>
      <c r="C156" s="8">
        <f>Données!Z153</f>
        <v>542</v>
      </c>
      <c r="D156" s="8">
        <f t="shared" si="8"/>
        <v>542</v>
      </c>
      <c r="E156" s="227">
        <f t="shared" si="7"/>
        <v>0</v>
      </c>
      <c r="F156" s="8">
        <f t="shared" si="7"/>
        <v>0</v>
      </c>
      <c r="G156" s="227">
        <f t="shared" si="7"/>
        <v>0</v>
      </c>
      <c r="H156" s="31">
        <f t="shared" si="7"/>
        <v>0</v>
      </c>
      <c r="I156" s="8">
        <f t="shared" si="7"/>
        <v>0</v>
      </c>
      <c r="J156" s="8">
        <f t="shared" si="9"/>
        <v>0</v>
      </c>
      <c r="K156" s="72">
        <f t="shared" si="10"/>
        <v>-67204.728370221317</v>
      </c>
    </row>
    <row r="157" spans="1:11" x14ac:dyDescent="0.25">
      <c r="A157" s="38">
        <f>Données!A154</f>
        <v>5655</v>
      </c>
      <c r="B157" s="172" t="str">
        <f>Données!B154</f>
        <v>Yens</v>
      </c>
      <c r="C157" s="8">
        <f>Données!Z154</f>
        <v>1480</v>
      </c>
      <c r="D157" s="8">
        <f t="shared" si="8"/>
        <v>1000</v>
      </c>
      <c r="E157" s="227">
        <f t="shared" si="7"/>
        <v>480</v>
      </c>
      <c r="F157" s="8">
        <f t="shared" si="7"/>
        <v>0</v>
      </c>
      <c r="G157" s="227">
        <f t="shared" si="7"/>
        <v>0</v>
      </c>
      <c r="H157" s="31">
        <f t="shared" si="7"/>
        <v>0</v>
      </c>
      <c r="I157" s="8">
        <f t="shared" si="7"/>
        <v>0</v>
      </c>
      <c r="J157" s="8">
        <f t="shared" si="9"/>
        <v>0</v>
      </c>
      <c r="K157" s="72">
        <f t="shared" si="10"/>
        <v>-290641.85110663978</v>
      </c>
    </row>
    <row r="158" spans="1:11" x14ac:dyDescent="0.25">
      <c r="A158" s="38">
        <f>Données!A155</f>
        <v>5656</v>
      </c>
      <c r="B158" s="172" t="str">
        <f>Données!B155</f>
        <v>Hautemorges</v>
      </c>
      <c r="C158" s="8">
        <f>Données!Z155</f>
        <v>4101</v>
      </c>
      <c r="D158" s="8">
        <f t="shared" si="8"/>
        <v>1000</v>
      </c>
      <c r="E158" s="227">
        <f t="shared" si="7"/>
        <v>2000</v>
      </c>
      <c r="F158" s="8">
        <f t="shared" si="7"/>
        <v>1101</v>
      </c>
      <c r="G158" s="227">
        <f t="shared" ref="E158:I209" si="11">IF($C158&gt;G$5,IF($C158&lt;G$6,$C158-G$5,G$6-G$5),0)</f>
        <v>0</v>
      </c>
      <c r="H158" s="31">
        <f t="shared" si="11"/>
        <v>0</v>
      </c>
      <c r="I158" s="8">
        <f t="shared" si="11"/>
        <v>0</v>
      </c>
      <c r="J158" s="8">
        <f t="shared" si="9"/>
        <v>0</v>
      </c>
      <c r="K158" s="72">
        <f t="shared" si="10"/>
        <v>-1364429.5774647887</v>
      </c>
    </row>
    <row r="159" spans="1:11" x14ac:dyDescent="0.25">
      <c r="A159" s="38">
        <f>Données!A156</f>
        <v>5661</v>
      </c>
      <c r="B159" s="172" t="str">
        <f>Données!B156</f>
        <v>Boulens</v>
      </c>
      <c r="C159" s="8">
        <f>Données!Z156</f>
        <v>369</v>
      </c>
      <c r="D159" s="8">
        <f t="shared" si="8"/>
        <v>369</v>
      </c>
      <c r="E159" s="227">
        <f t="shared" si="11"/>
        <v>0</v>
      </c>
      <c r="F159" s="8">
        <f t="shared" si="11"/>
        <v>0</v>
      </c>
      <c r="G159" s="227">
        <f t="shared" si="11"/>
        <v>0</v>
      </c>
      <c r="H159" s="31">
        <f t="shared" si="11"/>
        <v>0</v>
      </c>
      <c r="I159" s="8">
        <f t="shared" si="11"/>
        <v>0</v>
      </c>
      <c r="J159" s="8">
        <f t="shared" si="9"/>
        <v>0</v>
      </c>
      <c r="K159" s="72">
        <f t="shared" si="10"/>
        <v>-45753.772635814879</v>
      </c>
    </row>
    <row r="160" spans="1:11" x14ac:dyDescent="0.25">
      <c r="A160" s="38">
        <f>Données!A157</f>
        <v>5663</v>
      </c>
      <c r="B160" s="172" t="str">
        <f>Données!B157</f>
        <v>Bussy-sur-Moudon</v>
      </c>
      <c r="C160" s="8">
        <f>Données!Z157</f>
        <v>219</v>
      </c>
      <c r="D160" s="8">
        <f t="shared" si="8"/>
        <v>219</v>
      </c>
      <c r="E160" s="227">
        <f t="shared" si="11"/>
        <v>0</v>
      </c>
      <c r="F160" s="8">
        <f t="shared" si="11"/>
        <v>0</v>
      </c>
      <c r="G160" s="227">
        <f t="shared" si="11"/>
        <v>0</v>
      </c>
      <c r="H160" s="31">
        <f t="shared" si="11"/>
        <v>0</v>
      </c>
      <c r="I160" s="8">
        <f t="shared" si="11"/>
        <v>0</v>
      </c>
      <c r="J160" s="8">
        <f t="shared" si="9"/>
        <v>0</v>
      </c>
      <c r="K160" s="72">
        <f t="shared" si="10"/>
        <v>-27154.67806841046</v>
      </c>
    </row>
    <row r="161" spans="1:11" x14ac:dyDescent="0.25">
      <c r="A161" s="38">
        <f>Données!A158</f>
        <v>5665</v>
      </c>
      <c r="B161" s="172" t="str">
        <f>Données!B158</f>
        <v>Chavannes-sur-Moudon</v>
      </c>
      <c r="C161" s="8">
        <f>Données!Z158</f>
        <v>223</v>
      </c>
      <c r="D161" s="8">
        <f t="shared" si="8"/>
        <v>223</v>
      </c>
      <c r="E161" s="227">
        <f t="shared" si="11"/>
        <v>0</v>
      </c>
      <c r="F161" s="8">
        <f t="shared" si="11"/>
        <v>0</v>
      </c>
      <c r="G161" s="227">
        <f t="shared" si="11"/>
        <v>0</v>
      </c>
      <c r="H161" s="31">
        <f t="shared" si="11"/>
        <v>0</v>
      </c>
      <c r="I161" s="8">
        <f t="shared" si="11"/>
        <v>0</v>
      </c>
      <c r="J161" s="8">
        <f t="shared" si="9"/>
        <v>0</v>
      </c>
      <c r="K161" s="72">
        <f t="shared" si="10"/>
        <v>-27650.653923541242</v>
      </c>
    </row>
    <row r="162" spans="1:11" x14ac:dyDescent="0.25">
      <c r="A162" s="38">
        <f>Données!A159</f>
        <v>5669</v>
      </c>
      <c r="B162" s="172" t="str">
        <f>Données!B159</f>
        <v>Curtilles</v>
      </c>
      <c r="C162" s="8">
        <f>Données!Z159</f>
        <v>301</v>
      </c>
      <c r="D162" s="8">
        <f t="shared" si="8"/>
        <v>301</v>
      </c>
      <c r="E162" s="227">
        <f t="shared" si="11"/>
        <v>0</v>
      </c>
      <c r="F162" s="8">
        <f t="shared" si="11"/>
        <v>0</v>
      </c>
      <c r="G162" s="227">
        <f t="shared" si="11"/>
        <v>0</v>
      </c>
      <c r="H162" s="31">
        <f t="shared" si="11"/>
        <v>0</v>
      </c>
      <c r="I162" s="8">
        <f t="shared" si="11"/>
        <v>0</v>
      </c>
      <c r="J162" s="8">
        <f t="shared" si="9"/>
        <v>0</v>
      </c>
      <c r="K162" s="72">
        <f t="shared" si="10"/>
        <v>-37322.183098591544</v>
      </c>
    </row>
    <row r="163" spans="1:11" x14ac:dyDescent="0.25">
      <c r="A163" s="38">
        <f>Données!A160</f>
        <v>5671</v>
      </c>
      <c r="B163" s="172" t="str">
        <f>Données!B160</f>
        <v>Dompierre</v>
      </c>
      <c r="C163" s="8">
        <f>Données!Z160</f>
        <v>245</v>
      </c>
      <c r="D163" s="8">
        <f t="shared" si="8"/>
        <v>245</v>
      </c>
      <c r="E163" s="227">
        <f t="shared" si="11"/>
        <v>0</v>
      </c>
      <c r="F163" s="8">
        <f t="shared" si="11"/>
        <v>0</v>
      </c>
      <c r="G163" s="227">
        <f t="shared" si="11"/>
        <v>0</v>
      </c>
      <c r="H163" s="31">
        <f t="shared" si="11"/>
        <v>0</v>
      </c>
      <c r="I163" s="8">
        <f t="shared" si="11"/>
        <v>0</v>
      </c>
      <c r="J163" s="8">
        <f t="shared" si="9"/>
        <v>0</v>
      </c>
      <c r="K163" s="72">
        <f t="shared" si="10"/>
        <v>-30378.521126760559</v>
      </c>
    </row>
    <row r="164" spans="1:11" x14ac:dyDescent="0.25">
      <c r="A164" s="38">
        <f>Données!A161</f>
        <v>5673</v>
      </c>
      <c r="B164" s="172" t="str">
        <f>Données!B161</f>
        <v>Hermenches</v>
      </c>
      <c r="C164" s="8">
        <f>Données!Z161</f>
        <v>384</v>
      </c>
      <c r="D164" s="8">
        <f t="shared" si="8"/>
        <v>384</v>
      </c>
      <c r="E164" s="227">
        <f t="shared" si="11"/>
        <v>0</v>
      </c>
      <c r="F164" s="8">
        <f t="shared" si="11"/>
        <v>0</v>
      </c>
      <c r="G164" s="227">
        <f t="shared" si="11"/>
        <v>0</v>
      </c>
      <c r="H164" s="31">
        <f t="shared" si="11"/>
        <v>0</v>
      </c>
      <c r="I164" s="8">
        <f t="shared" si="11"/>
        <v>0</v>
      </c>
      <c r="J164" s="8">
        <f t="shared" si="9"/>
        <v>0</v>
      </c>
      <c r="K164" s="72">
        <f t="shared" si="10"/>
        <v>-47613.682092555326</v>
      </c>
    </row>
    <row r="165" spans="1:11" x14ac:dyDescent="0.25">
      <c r="A165" s="38">
        <f>Données!A162</f>
        <v>5674</v>
      </c>
      <c r="B165" s="172" t="str">
        <f>Données!B162</f>
        <v>Lovatens</v>
      </c>
      <c r="C165" s="8">
        <f>Données!Z162</f>
        <v>142</v>
      </c>
      <c r="D165" s="8">
        <f t="shared" si="8"/>
        <v>142</v>
      </c>
      <c r="E165" s="227">
        <f t="shared" si="11"/>
        <v>0</v>
      </c>
      <c r="F165" s="8">
        <f t="shared" si="11"/>
        <v>0</v>
      </c>
      <c r="G165" s="227">
        <f t="shared" si="11"/>
        <v>0</v>
      </c>
      <c r="H165" s="31">
        <f t="shared" si="11"/>
        <v>0</v>
      </c>
      <c r="I165" s="8">
        <f t="shared" si="11"/>
        <v>0</v>
      </c>
      <c r="J165" s="8">
        <f t="shared" si="9"/>
        <v>0</v>
      </c>
      <c r="K165" s="72">
        <f t="shared" si="10"/>
        <v>-17607.142857142855</v>
      </c>
    </row>
    <row r="166" spans="1:11" x14ac:dyDescent="0.25">
      <c r="A166" s="38">
        <f>Données!A163</f>
        <v>5675</v>
      </c>
      <c r="B166" s="172" t="str">
        <f>Données!B163</f>
        <v>Lucens</v>
      </c>
      <c r="C166" s="8">
        <f>Données!Z163</f>
        <v>4309</v>
      </c>
      <c r="D166" s="8">
        <f t="shared" si="8"/>
        <v>1000</v>
      </c>
      <c r="E166" s="227">
        <f t="shared" si="11"/>
        <v>2000</v>
      </c>
      <c r="F166" s="8">
        <f t="shared" si="11"/>
        <v>1309</v>
      </c>
      <c r="G166" s="227">
        <f t="shared" si="11"/>
        <v>0</v>
      </c>
      <c r="H166" s="31">
        <f t="shared" si="11"/>
        <v>0</v>
      </c>
      <c r="I166" s="8">
        <f t="shared" si="11"/>
        <v>0</v>
      </c>
      <c r="J166" s="8">
        <f t="shared" si="9"/>
        <v>0</v>
      </c>
      <c r="K166" s="72">
        <f t="shared" si="10"/>
        <v>-1467592.5553319918</v>
      </c>
    </row>
    <row r="167" spans="1:11" x14ac:dyDescent="0.25">
      <c r="A167" s="38">
        <f>Données!A164</f>
        <v>5678</v>
      </c>
      <c r="B167" s="172" t="str">
        <f>Données!B164</f>
        <v>Moudon</v>
      </c>
      <c r="C167" s="8">
        <f>Données!Z164</f>
        <v>6109</v>
      </c>
      <c r="D167" s="8">
        <f t="shared" si="8"/>
        <v>1000</v>
      </c>
      <c r="E167" s="227">
        <f t="shared" si="11"/>
        <v>2000</v>
      </c>
      <c r="F167" s="8">
        <f t="shared" si="11"/>
        <v>2000</v>
      </c>
      <c r="G167" s="227">
        <f t="shared" si="11"/>
        <v>1109</v>
      </c>
      <c r="H167" s="31">
        <f t="shared" si="11"/>
        <v>0</v>
      </c>
      <c r="I167" s="8">
        <f t="shared" si="11"/>
        <v>0</v>
      </c>
      <c r="J167" s="8">
        <f t="shared" si="9"/>
        <v>0</v>
      </c>
      <c r="K167" s="72">
        <f t="shared" si="10"/>
        <v>-2470356.5392354121</v>
      </c>
    </row>
    <row r="168" spans="1:11" x14ac:dyDescent="0.25">
      <c r="A168" s="38">
        <f>Données!A165</f>
        <v>5680</v>
      </c>
      <c r="B168" s="172" t="str">
        <f>Données!B165</f>
        <v>Ogens</v>
      </c>
      <c r="C168" s="8">
        <f>Données!Z165</f>
        <v>301</v>
      </c>
      <c r="D168" s="8">
        <f t="shared" si="8"/>
        <v>301</v>
      </c>
      <c r="E168" s="227">
        <f t="shared" si="11"/>
        <v>0</v>
      </c>
      <c r="F168" s="8">
        <f t="shared" si="11"/>
        <v>0</v>
      </c>
      <c r="G168" s="227">
        <f t="shared" si="11"/>
        <v>0</v>
      </c>
      <c r="H168" s="31">
        <f t="shared" si="11"/>
        <v>0</v>
      </c>
      <c r="I168" s="8">
        <f t="shared" si="11"/>
        <v>0</v>
      </c>
      <c r="J168" s="8">
        <f t="shared" si="9"/>
        <v>0</v>
      </c>
      <c r="K168" s="72">
        <f t="shared" si="10"/>
        <v>-37322.183098591544</v>
      </c>
    </row>
    <row r="169" spans="1:11" x14ac:dyDescent="0.25">
      <c r="A169" s="38">
        <f>Données!A166</f>
        <v>5683</v>
      </c>
      <c r="B169" s="172" t="str">
        <f>Données!B166</f>
        <v>Prévonloup</v>
      </c>
      <c r="C169" s="8">
        <f>Données!Z166</f>
        <v>202</v>
      </c>
      <c r="D169" s="8">
        <f t="shared" si="8"/>
        <v>202</v>
      </c>
      <c r="E169" s="227">
        <f t="shared" si="11"/>
        <v>0</v>
      </c>
      <c r="F169" s="8">
        <f t="shared" si="11"/>
        <v>0</v>
      </c>
      <c r="G169" s="227">
        <f t="shared" si="11"/>
        <v>0</v>
      </c>
      <c r="H169" s="31">
        <f t="shared" si="11"/>
        <v>0</v>
      </c>
      <c r="I169" s="8">
        <f t="shared" si="11"/>
        <v>0</v>
      </c>
      <c r="J169" s="8">
        <f t="shared" si="9"/>
        <v>0</v>
      </c>
      <c r="K169" s="72">
        <f t="shared" si="10"/>
        <v>-25046.780684104622</v>
      </c>
    </row>
    <row r="170" spans="1:11" x14ac:dyDescent="0.25">
      <c r="A170" s="38">
        <f>Données!A167</f>
        <v>5684</v>
      </c>
      <c r="B170" s="172" t="str">
        <f>Données!B167</f>
        <v>Rossenges</v>
      </c>
      <c r="C170" s="8">
        <f>Données!Z167</f>
        <v>84</v>
      </c>
      <c r="D170" s="8">
        <f t="shared" si="8"/>
        <v>84</v>
      </c>
      <c r="E170" s="227">
        <f t="shared" si="11"/>
        <v>0</v>
      </c>
      <c r="F170" s="8">
        <f t="shared" si="11"/>
        <v>0</v>
      </c>
      <c r="G170" s="227">
        <f t="shared" si="11"/>
        <v>0</v>
      </c>
      <c r="H170" s="31">
        <f t="shared" si="11"/>
        <v>0</v>
      </c>
      <c r="I170" s="8">
        <f t="shared" si="11"/>
        <v>0</v>
      </c>
      <c r="J170" s="8">
        <f t="shared" si="9"/>
        <v>0</v>
      </c>
      <c r="K170" s="72">
        <f t="shared" si="10"/>
        <v>-10415.492957746477</v>
      </c>
    </row>
    <row r="171" spans="1:11" x14ac:dyDescent="0.25">
      <c r="A171" s="38">
        <f>Données!A168</f>
        <v>5688</v>
      </c>
      <c r="B171" s="172" t="str">
        <f>Données!B168</f>
        <v>Syens</v>
      </c>
      <c r="C171" s="8">
        <f>Données!Z168</f>
        <v>156</v>
      </c>
      <c r="D171" s="8">
        <f t="shared" si="8"/>
        <v>156</v>
      </c>
      <c r="E171" s="227">
        <f t="shared" si="11"/>
        <v>0</v>
      </c>
      <c r="F171" s="8">
        <f t="shared" si="11"/>
        <v>0</v>
      </c>
      <c r="G171" s="227">
        <f t="shared" si="11"/>
        <v>0</v>
      </c>
      <c r="H171" s="31">
        <f t="shared" si="11"/>
        <v>0</v>
      </c>
      <c r="I171" s="8">
        <f t="shared" si="11"/>
        <v>0</v>
      </c>
      <c r="J171" s="8">
        <f t="shared" si="9"/>
        <v>0</v>
      </c>
      <c r="K171" s="72">
        <f t="shared" si="10"/>
        <v>-19343.0583501006</v>
      </c>
    </row>
    <row r="172" spans="1:11" x14ac:dyDescent="0.25">
      <c r="A172" s="38">
        <f>Données!A169</f>
        <v>5690</v>
      </c>
      <c r="B172" s="172" t="str">
        <f>Données!B169</f>
        <v>Villars-le-Comte</v>
      </c>
      <c r="C172" s="8">
        <f>Données!Z169</f>
        <v>120</v>
      </c>
      <c r="D172" s="8">
        <f t="shared" ref="D172:D235" si="12">IF($C172&gt;D$5,IF($C172&lt;D$6,$C172-D$5,D$6-D$5),0)</f>
        <v>120</v>
      </c>
      <c r="E172" s="227">
        <f t="shared" si="11"/>
        <v>0</v>
      </c>
      <c r="F172" s="8">
        <f t="shared" si="11"/>
        <v>0</v>
      </c>
      <c r="G172" s="227">
        <f t="shared" si="11"/>
        <v>0</v>
      </c>
      <c r="H172" s="31">
        <f t="shared" si="11"/>
        <v>0</v>
      </c>
      <c r="I172" s="8">
        <f t="shared" si="11"/>
        <v>0</v>
      </c>
      <c r="J172" s="8">
        <f t="shared" si="9"/>
        <v>0</v>
      </c>
      <c r="K172" s="72">
        <f t="shared" si="10"/>
        <v>-14879.275653923538</v>
      </c>
    </row>
    <row r="173" spans="1:11" x14ac:dyDescent="0.25">
      <c r="A173" s="38">
        <f>Données!A170</f>
        <v>5692</v>
      </c>
      <c r="B173" s="172" t="str">
        <f>Données!B170</f>
        <v>Vucherens</v>
      </c>
      <c r="C173" s="8">
        <f>Données!Z170</f>
        <v>617</v>
      </c>
      <c r="D173" s="8">
        <f t="shared" si="12"/>
        <v>617</v>
      </c>
      <c r="E173" s="227">
        <f t="shared" si="11"/>
        <v>0</v>
      </c>
      <c r="F173" s="8">
        <f t="shared" si="11"/>
        <v>0</v>
      </c>
      <c r="G173" s="227">
        <f t="shared" si="11"/>
        <v>0</v>
      </c>
      <c r="H173" s="31">
        <f t="shared" si="11"/>
        <v>0</v>
      </c>
      <c r="I173" s="8">
        <f t="shared" si="11"/>
        <v>0</v>
      </c>
      <c r="J173" s="8">
        <f t="shared" si="9"/>
        <v>0</v>
      </c>
      <c r="K173" s="72">
        <f t="shared" si="10"/>
        <v>-76504.275653923527</v>
      </c>
    </row>
    <row r="174" spans="1:11" x14ac:dyDescent="0.25">
      <c r="A174" s="38">
        <f>Données!A171</f>
        <v>5693</v>
      </c>
      <c r="B174" s="172" t="str">
        <f>Données!B171</f>
        <v>Montanaire</v>
      </c>
      <c r="C174" s="8">
        <f>Données!Z171</f>
        <v>2782</v>
      </c>
      <c r="D174" s="8">
        <f t="shared" si="12"/>
        <v>1000</v>
      </c>
      <c r="E174" s="227">
        <f t="shared" si="11"/>
        <v>1782</v>
      </c>
      <c r="F174" s="8">
        <f t="shared" si="11"/>
        <v>0</v>
      </c>
      <c r="G174" s="227">
        <f t="shared" si="11"/>
        <v>0</v>
      </c>
      <c r="H174" s="31">
        <f t="shared" si="11"/>
        <v>0</v>
      </c>
      <c r="I174" s="8">
        <f t="shared" si="11"/>
        <v>0</v>
      </c>
      <c r="J174" s="8">
        <f t="shared" si="9"/>
        <v>0</v>
      </c>
      <c r="K174" s="72">
        <f t="shared" si="10"/>
        <v>-742674.24547283689</v>
      </c>
    </row>
    <row r="175" spans="1:11" x14ac:dyDescent="0.25">
      <c r="A175" s="38">
        <f>Données!A172</f>
        <v>5701</v>
      </c>
      <c r="B175" s="172" t="str">
        <f>Données!B172</f>
        <v>Arnex-sur-Nyon</v>
      </c>
      <c r="C175" s="8">
        <f>Données!Z172</f>
        <v>240</v>
      </c>
      <c r="D175" s="8">
        <f t="shared" si="12"/>
        <v>240</v>
      </c>
      <c r="E175" s="227">
        <f t="shared" si="11"/>
        <v>0</v>
      </c>
      <c r="F175" s="8">
        <f t="shared" si="11"/>
        <v>0</v>
      </c>
      <c r="G175" s="227">
        <f t="shared" si="11"/>
        <v>0</v>
      </c>
      <c r="H175" s="31">
        <f t="shared" si="11"/>
        <v>0</v>
      </c>
      <c r="I175" s="8">
        <f t="shared" si="11"/>
        <v>0</v>
      </c>
      <c r="J175" s="8">
        <f t="shared" si="9"/>
        <v>0</v>
      </c>
      <c r="K175" s="72">
        <f t="shared" si="10"/>
        <v>-29758.551307847076</v>
      </c>
    </row>
    <row r="176" spans="1:11" x14ac:dyDescent="0.25">
      <c r="A176" s="38">
        <f>Données!A173</f>
        <v>5702</v>
      </c>
      <c r="B176" s="172" t="str">
        <f>Données!B173</f>
        <v>Arzier-Le Muids</v>
      </c>
      <c r="C176" s="8">
        <f>Données!Z173</f>
        <v>2912</v>
      </c>
      <c r="D176" s="8">
        <f t="shared" si="12"/>
        <v>1000</v>
      </c>
      <c r="E176" s="227">
        <f t="shared" si="11"/>
        <v>1912</v>
      </c>
      <c r="F176" s="8">
        <f t="shared" si="11"/>
        <v>0</v>
      </c>
      <c r="G176" s="227">
        <f t="shared" si="11"/>
        <v>0</v>
      </c>
      <c r="H176" s="31">
        <f t="shared" si="11"/>
        <v>0</v>
      </c>
      <c r="I176" s="8">
        <f t="shared" si="11"/>
        <v>0</v>
      </c>
      <c r="J176" s="8">
        <f t="shared" si="9"/>
        <v>0</v>
      </c>
      <c r="K176" s="72">
        <f t="shared" si="10"/>
        <v>-787808.04828973836</v>
      </c>
    </row>
    <row r="177" spans="1:11" x14ac:dyDescent="0.25">
      <c r="A177" s="38">
        <f>Données!A174</f>
        <v>5703</v>
      </c>
      <c r="B177" s="172" t="str">
        <f>Données!B174</f>
        <v>Bassins</v>
      </c>
      <c r="C177" s="8">
        <f>Données!Z174</f>
        <v>1475</v>
      </c>
      <c r="D177" s="8">
        <f t="shared" si="12"/>
        <v>1000</v>
      </c>
      <c r="E177" s="227">
        <f t="shared" si="11"/>
        <v>475</v>
      </c>
      <c r="F177" s="8">
        <f t="shared" si="11"/>
        <v>0</v>
      </c>
      <c r="G177" s="227">
        <f t="shared" si="11"/>
        <v>0</v>
      </c>
      <c r="H177" s="31">
        <f t="shared" si="11"/>
        <v>0</v>
      </c>
      <c r="I177" s="8">
        <f t="shared" si="11"/>
        <v>0</v>
      </c>
      <c r="J177" s="8">
        <f t="shared" si="9"/>
        <v>0</v>
      </c>
      <c r="K177" s="72">
        <f t="shared" si="10"/>
        <v>-288905.93561368203</v>
      </c>
    </row>
    <row r="178" spans="1:11" x14ac:dyDescent="0.25">
      <c r="A178" s="38">
        <f>Données!A175</f>
        <v>5704</v>
      </c>
      <c r="B178" s="172" t="str">
        <f>Données!B175</f>
        <v>Begnins</v>
      </c>
      <c r="C178" s="8">
        <f>Données!Z175</f>
        <v>1928</v>
      </c>
      <c r="D178" s="8">
        <f t="shared" si="12"/>
        <v>1000</v>
      </c>
      <c r="E178" s="227">
        <f t="shared" si="11"/>
        <v>928</v>
      </c>
      <c r="F178" s="8">
        <f t="shared" si="11"/>
        <v>0</v>
      </c>
      <c r="G178" s="227">
        <f t="shared" si="11"/>
        <v>0</v>
      </c>
      <c r="H178" s="31">
        <f t="shared" si="11"/>
        <v>0</v>
      </c>
      <c r="I178" s="8">
        <f t="shared" si="11"/>
        <v>0</v>
      </c>
      <c r="J178" s="8">
        <f t="shared" si="9"/>
        <v>0</v>
      </c>
      <c r="K178" s="72">
        <f t="shared" si="10"/>
        <v>-446179.87927565386</v>
      </c>
    </row>
    <row r="179" spans="1:11" x14ac:dyDescent="0.25">
      <c r="A179" s="38">
        <f>Données!A176</f>
        <v>5705</v>
      </c>
      <c r="B179" s="172" t="str">
        <f>Données!B176</f>
        <v>Bogis-Bossey</v>
      </c>
      <c r="C179" s="8">
        <f>Données!Z176</f>
        <v>835</v>
      </c>
      <c r="D179" s="8">
        <f t="shared" si="12"/>
        <v>835</v>
      </c>
      <c r="E179" s="227">
        <f t="shared" si="11"/>
        <v>0</v>
      </c>
      <c r="F179" s="8">
        <f t="shared" si="11"/>
        <v>0</v>
      </c>
      <c r="G179" s="227">
        <f t="shared" si="11"/>
        <v>0</v>
      </c>
      <c r="H179" s="31">
        <f t="shared" si="11"/>
        <v>0</v>
      </c>
      <c r="I179" s="8">
        <f t="shared" si="11"/>
        <v>0</v>
      </c>
      <c r="J179" s="8">
        <f t="shared" si="9"/>
        <v>0</v>
      </c>
      <c r="K179" s="72">
        <f t="shared" si="10"/>
        <v>-103534.9597585513</v>
      </c>
    </row>
    <row r="180" spans="1:11" x14ac:dyDescent="0.25">
      <c r="A180" s="38">
        <f>Données!A177</f>
        <v>5706</v>
      </c>
      <c r="B180" s="172" t="str">
        <f>Données!B177</f>
        <v>Borex</v>
      </c>
      <c r="C180" s="8">
        <f>Données!Z177</f>
        <v>1157</v>
      </c>
      <c r="D180" s="8">
        <f t="shared" si="12"/>
        <v>1000</v>
      </c>
      <c r="E180" s="227">
        <f t="shared" si="11"/>
        <v>157</v>
      </c>
      <c r="F180" s="8">
        <f t="shared" si="11"/>
        <v>0</v>
      </c>
      <c r="G180" s="227">
        <f t="shared" si="11"/>
        <v>0</v>
      </c>
      <c r="H180" s="31">
        <f t="shared" si="11"/>
        <v>0</v>
      </c>
      <c r="I180" s="8">
        <f t="shared" si="11"/>
        <v>0</v>
      </c>
      <c r="J180" s="8">
        <f t="shared" si="9"/>
        <v>0</v>
      </c>
      <c r="K180" s="72">
        <f t="shared" si="10"/>
        <v>-178501.71026156939</v>
      </c>
    </row>
    <row r="181" spans="1:11" x14ac:dyDescent="0.25">
      <c r="A181" s="38">
        <f>Données!A178</f>
        <v>5707</v>
      </c>
      <c r="B181" s="172" t="str">
        <f>Données!B178</f>
        <v>Chavannes-de-Bogis</v>
      </c>
      <c r="C181" s="8">
        <f>Données!Z178</f>
        <v>1329</v>
      </c>
      <c r="D181" s="8">
        <f t="shared" si="12"/>
        <v>1000</v>
      </c>
      <c r="E181" s="227">
        <f t="shared" si="11"/>
        <v>329</v>
      </c>
      <c r="F181" s="8">
        <f t="shared" si="11"/>
        <v>0</v>
      </c>
      <c r="G181" s="227">
        <f t="shared" si="11"/>
        <v>0</v>
      </c>
      <c r="H181" s="31">
        <f t="shared" si="11"/>
        <v>0</v>
      </c>
      <c r="I181" s="8">
        <f t="shared" si="11"/>
        <v>0</v>
      </c>
      <c r="J181" s="8">
        <f t="shared" si="9"/>
        <v>0</v>
      </c>
      <c r="K181" s="72">
        <f t="shared" si="10"/>
        <v>-238217.20321931585</v>
      </c>
    </row>
    <row r="182" spans="1:11" x14ac:dyDescent="0.25">
      <c r="A182" s="38">
        <f>Données!A179</f>
        <v>5708</v>
      </c>
      <c r="B182" s="172" t="str">
        <f>Données!B179</f>
        <v>Chavannes-des-Bois</v>
      </c>
      <c r="C182" s="8">
        <f>Données!Z179</f>
        <v>1013</v>
      </c>
      <c r="D182" s="8">
        <f t="shared" si="12"/>
        <v>1000</v>
      </c>
      <c r="E182" s="227">
        <f t="shared" si="11"/>
        <v>13</v>
      </c>
      <c r="F182" s="8">
        <f t="shared" si="11"/>
        <v>0</v>
      </c>
      <c r="G182" s="227">
        <f t="shared" si="11"/>
        <v>0</v>
      </c>
      <c r="H182" s="31">
        <f t="shared" si="11"/>
        <v>0</v>
      </c>
      <c r="I182" s="8">
        <f t="shared" si="11"/>
        <v>0</v>
      </c>
      <c r="J182" s="8">
        <f t="shared" si="9"/>
        <v>0</v>
      </c>
      <c r="K182" s="72">
        <f t="shared" si="10"/>
        <v>-128507.3440643863</v>
      </c>
    </row>
    <row r="183" spans="1:11" x14ac:dyDescent="0.25">
      <c r="A183" s="38">
        <f>Données!A180</f>
        <v>5709</v>
      </c>
      <c r="B183" s="172" t="str">
        <f>Données!B180</f>
        <v>Chéserex</v>
      </c>
      <c r="C183" s="8">
        <f>Données!Z180</f>
        <v>1248</v>
      </c>
      <c r="D183" s="8">
        <f t="shared" si="12"/>
        <v>1000</v>
      </c>
      <c r="E183" s="227">
        <f t="shared" si="11"/>
        <v>248</v>
      </c>
      <c r="F183" s="8">
        <f t="shared" si="11"/>
        <v>0</v>
      </c>
      <c r="G183" s="227">
        <f t="shared" si="11"/>
        <v>0</v>
      </c>
      <c r="H183" s="31">
        <f t="shared" si="11"/>
        <v>0</v>
      </c>
      <c r="I183" s="8">
        <f t="shared" si="11"/>
        <v>0</v>
      </c>
      <c r="J183" s="8">
        <f t="shared" si="9"/>
        <v>0</v>
      </c>
      <c r="K183" s="72">
        <f t="shared" si="10"/>
        <v>-210095.37223340035</v>
      </c>
    </row>
    <row r="184" spans="1:11" x14ac:dyDescent="0.25">
      <c r="A184" s="38">
        <f>Données!A181</f>
        <v>5710</v>
      </c>
      <c r="B184" s="172" t="str">
        <f>Données!B181</f>
        <v>Coinsins</v>
      </c>
      <c r="C184" s="8">
        <f>Données!Z181</f>
        <v>509</v>
      </c>
      <c r="D184" s="8">
        <f t="shared" si="12"/>
        <v>509</v>
      </c>
      <c r="E184" s="227">
        <f t="shared" si="11"/>
        <v>0</v>
      </c>
      <c r="F184" s="8">
        <f t="shared" si="11"/>
        <v>0</v>
      </c>
      <c r="G184" s="227">
        <f t="shared" si="11"/>
        <v>0</v>
      </c>
      <c r="H184" s="31">
        <f t="shared" si="11"/>
        <v>0</v>
      </c>
      <c r="I184" s="8">
        <f t="shared" si="11"/>
        <v>0</v>
      </c>
      <c r="J184" s="8">
        <f t="shared" si="9"/>
        <v>0</v>
      </c>
      <c r="K184" s="72">
        <f t="shared" si="10"/>
        <v>-63112.927565392347</v>
      </c>
    </row>
    <row r="185" spans="1:11" x14ac:dyDescent="0.25">
      <c r="A185" s="38">
        <f>Données!A182</f>
        <v>5711</v>
      </c>
      <c r="B185" s="172" t="str">
        <f>Données!B182</f>
        <v>Commugny</v>
      </c>
      <c r="C185" s="8">
        <f>Données!Z182</f>
        <v>2997</v>
      </c>
      <c r="D185" s="8">
        <f t="shared" si="12"/>
        <v>1000</v>
      </c>
      <c r="E185" s="227">
        <f t="shared" si="11"/>
        <v>1997</v>
      </c>
      <c r="F185" s="8">
        <f t="shared" si="11"/>
        <v>0</v>
      </c>
      <c r="G185" s="227">
        <f t="shared" si="11"/>
        <v>0</v>
      </c>
      <c r="H185" s="31">
        <f t="shared" si="11"/>
        <v>0</v>
      </c>
      <c r="I185" s="8">
        <f t="shared" si="11"/>
        <v>0</v>
      </c>
      <c r="J185" s="8">
        <f t="shared" si="9"/>
        <v>0</v>
      </c>
      <c r="K185" s="72">
        <f t="shared" si="10"/>
        <v>-817318.61167002004</v>
      </c>
    </row>
    <row r="186" spans="1:11" x14ac:dyDescent="0.25">
      <c r="A186" s="38">
        <f>Données!A183</f>
        <v>5712</v>
      </c>
      <c r="B186" s="172" t="str">
        <f>Données!B183</f>
        <v>Coppet</v>
      </c>
      <c r="C186" s="8">
        <f>Données!Z183</f>
        <v>3247</v>
      </c>
      <c r="D186" s="8">
        <f t="shared" si="12"/>
        <v>1000</v>
      </c>
      <c r="E186" s="227">
        <f t="shared" si="11"/>
        <v>2000</v>
      </c>
      <c r="F186" s="8">
        <f t="shared" si="11"/>
        <v>247</v>
      </c>
      <c r="G186" s="227">
        <f t="shared" si="11"/>
        <v>0</v>
      </c>
      <c r="H186" s="31">
        <f t="shared" si="11"/>
        <v>0</v>
      </c>
      <c r="I186" s="8">
        <f t="shared" si="11"/>
        <v>0</v>
      </c>
      <c r="J186" s="8">
        <f t="shared" si="9"/>
        <v>0</v>
      </c>
      <c r="K186" s="72">
        <f t="shared" si="10"/>
        <v>-940866.19718309853</v>
      </c>
    </row>
    <row r="187" spans="1:11" x14ac:dyDescent="0.25">
      <c r="A187" s="38">
        <f>Données!A184</f>
        <v>5713</v>
      </c>
      <c r="B187" s="172" t="str">
        <f>Données!B184</f>
        <v>Crans-près-Céligny</v>
      </c>
      <c r="C187" s="8">
        <f>Données!Z184</f>
        <v>2340</v>
      </c>
      <c r="D187" s="8">
        <f t="shared" si="12"/>
        <v>1000</v>
      </c>
      <c r="E187" s="227">
        <f t="shared" si="11"/>
        <v>1340</v>
      </c>
      <c r="F187" s="8">
        <f t="shared" si="11"/>
        <v>0</v>
      </c>
      <c r="G187" s="227">
        <f t="shared" si="11"/>
        <v>0</v>
      </c>
      <c r="H187" s="31">
        <f t="shared" si="11"/>
        <v>0</v>
      </c>
      <c r="I187" s="8">
        <f t="shared" si="11"/>
        <v>0</v>
      </c>
      <c r="J187" s="8">
        <f t="shared" si="9"/>
        <v>0</v>
      </c>
      <c r="K187" s="72">
        <f t="shared" si="10"/>
        <v>-589219.31589537219</v>
      </c>
    </row>
    <row r="188" spans="1:11" x14ac:dyDescent="0.25">
      <c r="A188" s="38">
        <f>Données!A185</f>
        <v>5714</v>
      </c>
      <c r="B188" s="172" t="str">
        <f>Données!B185</f>
        <v>Crassier</v>
      </c>
      <c r="C188" s="8">
        <f>Données!Z185</f>
        <v>1174</v>
      </c>
      <c r="D188" s="8">
        <f t="shared" si="12"/>
        <v>1000</v>
      </c>
      <c r="E188" s="227">
        <f t="shared" si="11"/>
        <v>174</v>
      </c>
      <c r="F188" s="8">
        <f t="shared" si="11"/>
        <v>0</v>
      </c>
      <c r="G188" s="227">
        <f t="shared" si="11"/>
        <v>0</v>
      </c>
      <c r="H188" s="31">
        <f t="shared" si="11"/>
        <v>0</v>
      </c>
      <c r="I188" s="8">
        <f t="shared" si="11"/>
        <v>0</v>
      </c>
      <c r="J188" s="8">
        <f t="shared" si="9"/>
        <v>0</v>
      </c>
      <c r="K188" s="72">
        <f t="shared" si="10"/>
        <v>-184403.82293762572</v>
      </c>
    </row>
    <row r="189" spans="1:11" x14ac:dyDescent="0.25">
      <c r="A189" s="38">
        <f>Données!A186</f>
        <v>5715</v>
      </c>
      <c r="B189" s="172" t="str">
        <f>Données!B186</f>
        <v>Duillier</v>
      </c>
      <c r="C189" s="8">
        <f>Données!Z186</f>
        <v>1128</v>
      </c>
      <c r="D189" s="8">
        <f t="shared" si="12"/>
        <v>1000</v>
      </c>
      <c r="E189" s="227">
        <f t="shared" si="11"/>
        <v>128</v>
      </c>
      <c r="F189" s="8">
        <f t="shared" si="11"/>
        <v>0</v>
      </c>
      <c r="G189" s="227">
        <f t="shared" si="11"/>
        <v>0</v>
      </c>
      <c r="H189" s="31">
        <f t="shared" si="11"/>
        <v>0</v>
      </c>
      <c r="I189" s="8">
        <f t="shared" si="11"/>
        <v>0</v>
      </c>
      <c r="J189" s="8">
        <f t="shared" si="9"/>
        <v>0</v>
      </c>
      <c r="K189" s="72">
        <f t="shared" si="10"/>
        <v>-168433.40040241447</v>
      </c>
    </row>
    <row r="190" spans="1:11" x14ac:dyDescent="0.25">
      <c r="A190" s="38">
        <f>Données!A187</f>
        <v>5716</v>
      </c>
      <c r="B190" s="172" t="str">
        <f>Données!B187</f>
        <v>Eysins</v>
      </c>
      <c r="C190" s="8">
        <f>Données!Z187</f>
        <v>1740</v>
      </c>
      <c r="D190" s="8">
        <f t="shared" si="12"/>
        <v>1000</v>
      </c>
      <c r="E190" s="227">
        <f t="shared" si="11"/>
        <v>740</v>
      </c>
      <c r="F190" s="8">
        <f t="shared" si="11"/>
        <v>0</v>
      </c>
      <c r="G190" s="227">
        <f t="shared" si="11"/>
        <v>0</v>
      </c>
      <c r="H190" s="31">
        <f t="shared" si="11"/>
        <v>0</v>
      </c>
      <c r="I190" s="8">
        <f t="shared" si="11"/>
        <v>0</v>
      </c>
      <c r="J190" s="8">
        <f t="shared" si="9"/>
        <v>0</v>
      </c>
      <c r="K190" s="72">
        <f t="shared" si="10"/>
        <v>-380909.45674044261</v>
      </c>
    </row>
    <row r="191" spans="1:11" x14ac:dyDescent="0.25">
      <c r="A191" s="38">
        <f>Données!A188</f>
        <v>5717</v>
      </c>
      <c r="B191" s="172" t="str">
        <f>Données!B188</f>
        <v>Founex</v>
      </c>
      <c r="C191" s="8">
        <f>Données!Z188</f>
        <v>3834</v>
      </c>
      <c r="D191" s="8">
        <f t="shared" si="12"/>
        <v>1000</v>
      </c>
      <c r="E191" s="227">
        <f t="shared" si="11"/>
        <v>2000</v>
      </c>
      <c r="F191" s="8">
        <f t="shared" si="11"/>
        <v>834</v>
      </c>
      <c r="G191" s="227">
        <f t="shared" si="11"/>
        <v>0</v>
      </c>
      <c r="H191" s="31">
        <f t="shared" si="11"/>
        <v>0</v>
      </c>
      <c r="I191" s="8">
        <f t="shared" si="11"/>
        <v>0</v>
      </c>
      <c r="J191" s="8">
        <f t="shared" si="9"/>
        <v>0</v>
      </c>
      <c r="K191" s="72">
        <f t="shared" si="10"/>
        <v>-1232004.0241448691</v>
      </c>
    </row>
    <row r="192" spans="1:11" x14ac:dyDescent="0.25">
      <c r="A192" s="38">
        <f>Données!A189</f>
        <v>5718</v>
      </c>
      <c r="B192" s="172" t="str">
        <f>Données!B189</f>
        <v>Genolier</v>
      </c>
      <c r="C192" s="8">
        <f>Données!Z189</f>
        <v>1996</v>
      </c>
      <c r="D192" s="8">
        <f t="shared" si="12"/>
        <v>1000</v>
      </c>
      <c r="E192" s="227">
        <f t="shared" si="11"/>
        <v>996</v>
      </c>
      <c r="F192" s="8">
        <f t="shared" si="11"/>
        <v>0</v>
      </c>
      <c r="G192" s="227">
        <f t="shared" si="11"/>
        <v>0</v>
      </c>
      <c r="H192" s="31">
        <f t="shared" si="11"/>
        <v>0</v>
      </c>
      <c r="I192" s="8">
        <f t="shared" si="11"/>
        <v>0</v>
      </c>
      <c r="J192" s="8">
        <f t="shared" si="9"/>
        <v>0</v>
      </c>
      <c r="K192" s="72">
        <f t="shared" si="10"/>
        <v>-469788.3299798792</v>
      </c>
    </row>
    <row r="193" spans="1:11" x14ac:dyDescent="0.25">
      <c r="A193" s="38">
        <f>Données!A190</f>
        <v>5719</v>
      </c>
      <c r="B193" s="172" t="str">
        <f>Données!B190</f>
        <v>Gingins</v>
      </c>
      <c r="C193" s="8">
        <f>Données!Z190</f>
        <v>1257</v>
      </c>
      <c r="D193" s="8">
        <f t="shared" si="12"/>
        <v>1000</v>
      </c>
      <c r="E193" s="227">
        <f t="shared" si="11"/>
        <v>257</v>
      </c>
      <c r="F193" s="8">
        <f t="shared" si="11"/>
        <v>0</v>
      </c>
      <c r="G193" s="227">
        <f t="shared" si="11"/>
        <v>0</v>
      </c>
      <c r="H193" s="31">
        <f t="shared" si="11"/>
        <v>0</v>
      </c>
      <c r="I193" s="8">
        <f t="shared" si="11"/>
        <v>0</v>
      </c>
      <c r="J193" s="8">
        <f t="shared" si="9"/>
        <v>0</v>
      </c>
      <c r="K193" s="72">
        <f t="shared" si="10"/>
        <v>-213220.02012072431</v>
      </c>
    </row>
    <row r="194" spans="1:11" x14ac:dyDescent="0.25">
      <c r="A194" s="38">
        <f>Données!A191</f>
        <v>5720</v>
      </c>
      <c r="B194" s="172" t="str">
        <f>Données!B191</f>
        <v>Givrins</v>
      </c>
      <c r="C194" s="8">
        <f>Données!Z191</f>
        <v>1031</v>
      </c>
      <c r="D194" s="8">
        <f t="shared" si="12"/>
        <v>1000</v>
      </c>
      <c r="E194" s="227">
        <f t="shared" si="11"/>
        <v>31</v>
      </c>
      <c r="F194" s="8">
        <f t="shared" si="11"/>
        <v>0</v>
      </c>
      <c r="G194" s="227">
        <f t="shared" si="11"/>
        <v>0</v>
      </c>
      <c r="H194" s="31">
        <f t="shared" si="11"/>
        <v>0</v>
      </c>
      <c r="I194" s="8">
        <f t="shared" si="11"/>
        <v>0</v>
      </c>
      <c r="J194" s="8">
        <f t="shared" si="9"/>
        <v>0</v>
      </c>
      <c r="K194" s="72">
        <f t="shared" si="10"/>
        <v>-134756.63983903418</v>
      </c>
    </row>
    <row r="195" spans="1:11" x14ac:dyDescent="0.25">
      <c r="A195" s="38">
        <f>Données!A192</f>
        <v>5721</v>
      </c>
      <c r="B195" s="172" t="str">
        <f>Données!B192</f>
        <v>Gland</v>
      </c>
      <c r="C195" s="8">
        <f>Données!Z192</f>
        <v>13243</v>
      </c>
      <c r="D195" s="8">
        <f t="shared" si="12"/>
        <v>1000</v>
      </c>
      <c r="E195" s="227">
        <f t="shared" si="11"/>
        <v>2000</v>
      </c>
      <c r="F195" s="8">
        <f t="shared" si="11"/>
        <v>2000</v>
      </c>
      <c r="G195" s="227">
        <f t="shared" si="11"/>
        <v>4000</v>
      </c>
      <c r="H195" s="31">
        <f t="shared" si="11"/>
        <v>3000</v>
      </c>
      <c r="I195" s="8">
        <f t="shared" si="11"/>
        <v>1243</v>
      </c>
      <c r="J195" s="8">
        <f t="shared" si="9"/>
        <v>0</v>
      </c>
      <c r="K195" s="72">
        <f t="shared" si="10"/>
        <v>-7953468.812877262</v>
      </c>
    </row>
    <row r="196" spans="1:11" x14ac:dyDescent="0.25">
      <c r="A196" s="38">
        <f>Données!A193</f>
        <v>5722</v>
      </c>
      <c r="B196" s="172" t="str">
        <f>Données!B193</f>
        <v>Grens</v>
      </c>
      <c r="C196" s="8">
        <f>Données!Z193</f>
        <v>405</v>
      </c>
      <c r="D196" s="8">
        <f t="shared" si="12"/>
        <v>405</v>
      </c>
      <c r="E196" s="227">
        <f t="shared" si="11"/>
        <v>0</v>
      </c>
      <c r="F196" s="8">
        <f t="shared" si="11"/>
        <v>0</v>
      </c>
      <c r="G196" s="227">
        <f t="shared" si="11"/>
        <v>0</v>
      </c>
      <c r="H196" s="31">
        <f t="shared" si="11"/>
        <v>0</v>
      </c>
      <c r="I196" s="8">
        <f t="shared" si="11"/>
        <v>0</v>
      </c>
      <c r="J196" s="8">
        <f t="shared" si="9"/>
        <v>0</v>
      </c>
      <c r="K196" s="72">
        <f t="shared" si="10"/>
        <v>-50217.555331991942</v>
      </c>
    </row>
    <row r="197" spans="1:11" x14ac:dyDescent="0.25">
      <c r="A197" s="38">
        <f>Données!A194</f>
        <v>5723</v>
      </c>
      <c r="B197" s="172" t="str">
        <f>Données!B194</f>
        <v>Mies</v>
      </c>
      <c r="C197" s="8">
        <f>Données!Z194</f>
        <v>2172</v>
      </c>
      <c r="D197" s="8">
        <f t="shared" si="12"/>
        <v>1000</v>
      </c>
      <c r="E197" s="227">
        <f t="shared" si="11"/>
        <v>1172</v>
      </c>
      <c r="F197" s="8">
        <f t="shared" si="11"/>
        <v>0</v>
      </c>
      <c r="G197" s="227">
        <f t="shared" si="11"/>
        <v>0</v>
      </c>
      <c r="H197" s="31">
        <f t="shared" si="11"/>
        <v>0</v>
      </c>
      <c r="I197" s="8">
        <f t="shared" si="11"/>
        <v>0</v>
      </c>
      <c r="J197" s="8">
        <f t="shared" si="9"/>
        <v>0</v>
      </c>
      <c r="K197" s="72">
        <f t="shared" si="10"/>
        <v>-530892.55533199187</v>
      </c>
    </row>
    <row r="198" spans="1:11" x14ac:dyDescent="0.25">
      <c r="A198" s="38">
        <f>Données!A195</f>
        <v>5724</v>
      </c>
      <c r="B198" s="172" t="str">
        <f>Données!B195</f>
        <v>Nyon</v>
      </c>
      <c r="C198" s="8">
        <f>Données!Z195</f>
        <v>21743</v>
      </c>
      <c r="D198" s="8">
        <f t="shared" si="12"/>
        <v>1000</v>
      </c>
      <c r="E198" s="227">
        <f t="shared" si="11"/>
        <v>2000</v>
      </c>
      <c r="F198" s="8">
        <f t="shared" si="11"/>
        <v>2000</v>
      </c>
      <c r="G198" s="227">
        <f t="shared" si="11"/>
        <v>4000</v>
      </c>
      <c r="H198" s="31">
        <f t="shared" si="11"/>
        <v>3000</v>
      </c>
      <c r="I198" s="8">
        <f t="shared" si="11"/>
        <v>3000</v>
      </c>
      <c r="J198" s="8">
        <f t="shared" si="9"/>
        <v>6743</v>
      </c>
      <c r="K198" s="72">
        <f t="shared" si="10"/>
        <v>-16719494.869215289</v>
      </c>
    </row>
    <row r="199" spans="1:11" x14ac:dyDescent="0.25">
      <c r="A199" s="38">
        <f>Données!A196</f>
        <v>5725</v>
      </c>
      <c r="B199" s="172" t="str">
        <f>Données!B196</f>
        <v>Prangins</v>
      </c>
      <c r="C199" s="8">
        <f>Données!Z196</f>
        <v>4101</v>
      </c>
      <c r="D199" s="8">
        <f t="shared" si="12"/>
        <v>1000</v>
      </c>
      <c r="E199" s="227">
        <f t="shared" si="11"/>
        <v>2000</v>
      </c>
      <c r="F199" s="8">
        <f t="shared" si="11"/>
        <v>1101</v>
      </c>
      <c r="G199" s="227">
        <f t="shared" si="11"/>
        <v>0</v>
      </c>
      <c r="H199" s="31">
        <f t="shared" si="11"/>
        <v>0</v>
      </c>
      <c r="I199" s="8">
        <f t="shared" si="11"/>
        <v>0</v>
      </c>
      <c r="J199" s="8">
        <f t="shared" si="9"/>
        <v>0</v>
      </c>
      <c r="K199" s="72">
        <f t="shared" si="10"/>
        <v>-1364429.5774647887</v>
      </c>
    </row>
    <row r="200" spans="1:11" x14ac:dyDescent="0.25">
      <c r="A200" s="38">
        <f>Données!A197</f>
        <v>5726</v>
      </c>
      <c r="B200" s="172" t="str">
        <f>Données!B197</f>
        <v>La Rippe</v>
      </c>
      <c r="C200" s="8">
        <f>Données!Z197</f>
        <v>1131</v>
      </c>
      <c r="D200" s="8">
        <f t="shared" si="12"/>
        <v>1000</v>
      </c>
      <c r="E200" s="227">
        <f t="shared" si="11"/>
        <v>131</v>
      </c>
      <c r="F200" s="8">
        <f t="shared" si="11"/>
        <v>0</v>
      </c>
      <c r="G200" s="227">
        <f t="shared" si="11"/>
        <v>0</v>
      </c>
      <c r="H200" s="31">
        <f t="shared" si="11"/>
        <v>0</v>
      </c>
      <c r="I200" s="8">
        <f t="shared" si="11"/>
        <v>0</v>
      </c>
      <c r="J200" s="8">
        <f t="shared" si="9"/>
        <v>0</v>
      </c>
      <c r="K200" s="72">
        <f t="shared" si="10"/>
        <v>-169474.9496981891</v>
      </c>
    </row>
    <row r="201" spans="1:11" x14ac:dyDescent="0.25">
      <c r="A201" s="38">
        <f>Données!A198</f>
        <v>5727</v>
      </c>
      <c r="B201" s="172" t="str">
        <f>Données!B198</f>
        <v>Saint-Cergue</v>
      </c>
      <c r="C201" s="8">
        <f>Données!Z198</f>
        <v>2674</v>
      </c>
      <c r="D201" s="8">
        <f t="shared" si="12"/>
        <v>1000</v>
      </c>
      <c r="E201" s="227">
        <f t="shared" si="11"/>
        <v>1674</v>
      </c>
      <c r="F201" s="8">
        <f t="shared" si="11"/>
        <v>0</v>
      </c>
      <c r="G201" s="227">
        <f t="shared" si="11"/>
        <v>0</v>
      </c>
      <c r="H201" s="31">
        <f t="shared" si="11"/>
        <v>0</v>
      </c>
      <c r="I201" s="8">
        <f t="shared" si="11"/>
        <v>0</v>
      </c>
      <c r="J201" s="8">
        <f t="shared" si="9"/>
        <v>0</v>
      </c>
      <c r="K201" s="72">
        <f t="shared" si="10"/>
        <v>-705178.47082494968</v>
      </c>
    </row>
    <row r="202" spans="1:11" x14ac:dyDescent="0.25">
      <c r="A202" s="38">
        <f>Données!A199</f>
        <v>5728</v>
      </c>
      <c r="B202" s="172" t="str">
        <f>Données!B199</f>
        <v>Signy-Avenex</v>
      </c>
      <c r="C202" s="8">
        <f>Données!Z199</f>
        <v>581</v>
      </c>
      <c r="D202" s="8">
        <f t="shared" si="12"/>
        <v>581</v>
      </c>
      <c r="E202" s="227">
        <f t="shared" si="11"/>
        <v>0</v>
      </c>
      <c r="F202" s="8">
        <f t="shared" si="11"/>
        <v>0</v>
      </c>
      <c r="G202" s="227">
        <f t="shared" si="11"/>
        <v>0</v>
      </c>
      <c r="H202" s="31">
        <f t="shared" si="11"/>
        <v>0</v>
      </c>
      <c r="I202" s="8">
        <f t="shared" si="11"/>
        <v>0</v>
      </c>
      <c r="J202" s="8">
        <f t="shared" ref="J202:J265" si="13">IF(C202&gt;$J$5,C202-$J$5,0)</f>
        <v>0</v>
      </c>
      <c r="K202" s="72">
        <f t="shared" ref="K202:K265" si="14">-((D202*D$8)+(E202*E$8)+(F202*F$8)+(G202*G$8)+(H202*H$8)+(I202*I$8)+(J202*J$8))</f>
        <v>-72040.492957746465</v>
      </c>
    </row>
    <row r="203" spans="1:11" x14ac:dyDescent="0.25">
      <c r="A203" s="38">
        <f>Données!A200</f>
        <v>5729</v>
      </c>
      <c r="B203" s="172" t="str">
        <f>Données!B200</f>
        <v>Tannay</v>
      </c>
      <c r="C203" s="8">
        <f>Données!Z200</f>
        <v>1636</v>
      </c>
      <c r="D203" s="8">
        <f t="shared" si="12"/>
        <v>1000</v>
      </c>
      <c r="E203" s="227">
        <f t="shared" si="11"/>
        <v>636</v>
      </c>
      <c r="F203" s="8">
        <f t="shared" si="11"/>
        <v>0</v>
      </c>
      <c r="G203" s="227">
        <f t="shared" si="11"/>
        <v>0</v>
      </c>
      <c r="H203" s="31">
        <f t="shared" si="11"/>
        <v>0</v>
      </c>
      <c r="I203" s="8">
        <f t="shared" si="11"/>
        <v>0</v>
      </c>
      <c r="J203" s="8">
        <f t="shared" si="13"/>
        <v>0</v>
      </c>
      <c r="K203" s="72">
        <f t="shared" si="14"/>
        <v>-344802.41448692151</v>
      </c>
    </row>
    <row r="204" spans="1:11" x14ac:dyDescent="0.25">
      <c r="A204" s="38">
        <f>Données!A201</f>
        <v>5730</v>
      </c>
      <c r="B204" s="172" t="str">
        <f>Données!B201</f>
        <v>Trélex</v>
      </c>
      <c r="C204" s="8">
        <f>Données!Z201</f>
        <v>1445</v>
      </c>
      <c r="D204" s="8">
        <f t="shared" si="12"/>
        <v>1000</v>
      </c>
      <c r="E204" s="227">
        <f t="shared" si="11"/>
        <v>445</v>
      </c>
      <c r="F204" s="8">
        <f t="shared" si="11"/>
        <v>0</v>
      </c>
      <c r="G204" s="227">
        <f t="shared" si="11"/>
        <v>0</v>
      </c>
      <c r="H204" s="31">
        <f t="shared" si="11"/>
        <v>0</v>
      </c>
      <c r="I204" s="8">
        <f t="shared" si="11"/>
        <v>0</v>
      </c>
      <c r="J204" s="8">
        <f t="shared" si="13"/>
        <v>0</v>
      </c>
      <c r="K204" s="72">
        <f t="shared" si="14"/>
        <v>-278490.44265593559</v>
      </c>
    </row>
    <row r="205" spans="1:11" x14ac:dyDescent="0.25">
      <c r="A205" s="38">
        <f>Données!A202</f>
        <v>5731</v>
      </c>
      <c r="B205" s="172" t="str">
        <f>Données!B202</f>
        <v>Le Vaud</v>
      </c>
      <c r="C205" s="8">
        <f>Données!Z202</f>
        <v>1366</v>
      </c>
      <c r="D205" s="8">
        <f t="shared" si="12"/>
        <v>1000</v>
      </c>
      <c r="E205" s="227">
        <f t="shared" si="11"/>
        <v>366</v>
      </c>
      <c r="F205" s="8">
        <f t="shared" si="11"/>
        <v>0</v>
      </c>
      <c r="G205" s="227">
        <f t="shared" si="11"/>
        <v>0</v>
      </c>
      <c r="H205" s="31">
        <f t="shared" si="11"/>
        <v>0</v>
      </c>
      <c r="I205" s="8">
        <f t="shared" si="11"/>
        <v>0</v>
      </c>
      <c r="J205" s="8">
        <f t="shared" si="13"/>
        <v>0</v>
      </c>
      <c r="K205" s="72">
        <f t="shared" si="14"/>
        <v>-251062.97786720318</v>
      </c>
    </row>
    <row r="206" spans="1:11" x14ac:dyDescent="0.25">
      <c r="A206" s="38">
        <f>Données!A203</f>
        <v>5732</v>
      </c>
      <c r="B206" s="172" t="str">
        <f>Données!B203</f>
        <v>Vich</v>
      </c>
      <c r="C206" s="8">
        <f>Données!Z203</f>
        <v>1156</v>
      </c>
      <c r="D206" s="8">
        <f t="shared" si="12"/>
        <v>1000</v>
      </c>
      <c r="E206" s="227">
        <f t="shared" si="11"/>
        <v>156</v>
      </c>
      <c r="F206" s="8">
        <f t="shared" si="11"/>
        <v>0</v>
      </c>
      <c r="G206" s="227">
        <f t="shared" si="11"/>
        <v>0</v>
      </c>
      <c r="H206" s="31">
        <f t="shared" si="11"/>
        <v>0</v>
      </c>
      <c r="I206" s="8">
        <f t="shared" si="11"/>
        <v>0</v>
      </c>
      <c r="J206" s="8">
        <f t="shared" si="13"/>
        <v>0</v>
      </c>
      <c r="K206" s="72">
        <f t="shared" si="14"/>
        <v>-178154.52716297784</v>
      </c>
    </row>
    <row r="207" spans="1:11" x14ac:dyDescent="0.25">
      <c r="A207" s="38">
        <f>Données!A204</f>
        <v>5741</v>
      </c>
      <c r="B207" s="172" t="str">
        <f>Données!B204</f>
        <v>L'Abergement</v>
      </c>
      <c r="C207" s="8">
        <f>Données!Z204</f>
        <v>256</v>
      </c>
      <c r="D207" s="8">
        <f t="shared" si="12"/>
        <v>256</v>
      </c>
      <c r="E207" s="227">
        <f t="shared" si="11"/>
        <v>0</v>
      </c>
      <c r="F207" s="8">
        <f t="shared" si="11"/>
        <v>0</v>
      </c>
      <c r="G207" s="227">
        <f t="shared" si="11"/>
        <v>0</v>
      </c>
      <c r="H207" s="31">
        <f t="shared" si="11"/>
        <v>0</v>
      </c>
      <c r="I207" s="8">
        <f t="shared" si="11"/>
        <v>0</v>
      </c>
      <c r="J207" s="8">
        <f t="shared" si="13"/>
        <v>0</v>
      </c>
      <c r="K207" s="72">
        <f t="shared" si="14"/>
        <v>-31742.454728370216</v>
      </c>
    </row>
    <row r="208" spans="1:11" x14ac:dyDescent="0.25">
      <c r="A208" s="38">
        <f>Données!A205</f>
        <v>5742</v>
      </c>
      <c r="B208" s="172" t="str">
        <f>Données!B205</f>
        <v>Agiez</v>
      </c>
      <c r="C208" s="8">
        <f>Données!Z205</f>
        <v>377</v>
      </c>
      <c r="D208" s="8">
        <f t="shared" si="12"/>
        <v>377</v>
      </c>
      <c r="E208" s="227">
        <f t="shared" si="11"/>
        <v>0</v>
      </c>
      <c r="F208" s="8">
        <f t="shared" si="11"/>
        <v>0</v>
      </c>
      <c r="G208" s="227">
        <f t="shared" si="11"/>
        <v>0</v>
      </c>
      <c r="H208" s="31">
        <f t="shared" si="11"/>
        <v>0</v>
      </c>
      <c r="I208" s="8">
        <f t="shared" si="11"/>
        <v>0</v>
      </c>
      <c r="J208" s="8">
        <f t="shared" si="13"/>
        <v>0</v>
      </c>
      <c r="K208" s="72">
        <f t="shared" si="14"/>
        <v>-46745.724346076451</v>
      </c>
    </row>
    <row r="209" spans="1:11" x14ac:dyDescent="0.25">
      <c r="A209" s="38">
        <f>Données!A206</f>
        <v>5743</v>
      </c>
      <c r="B209" s="172" t="str">
        <f>Données!B206</f>
        <v>Arnex-sur-Orbe</v>
      </c>
      <c r="C209" s="8">
        <f>Données!Z206</f>
        <v>637</v>
      </c>
      <c r="D209" s="8">
        <f t="shared" si="12"/>
        <v>637</v>
      </c>
      <c r="E209" s="227">
        <f t="shared" si="11"/>
        <v>0</v>
      </c>
      <c r="F209" s="8">
        <f t="shared" si="11"/>
        <v>0</v>
      </c>
      <c r="G209" s="227">
        <f t="shared" ref="E209:I260" si="15">IF($C209&gt;G$5,IF($C209&lt;G$6,$C209-G$5,G$6-G$5),0)</f>
        <v>0</v>
      </c>
      <c r="H209" s="31">
        <f t="shared" si="15"/>
        <v>0</v>
      </c>
      <c r="I209" s="8">
        <f t="shared" si="15"/>
        <v>0</v>
      </c>
      <c r="J209" s="8">
        <f t="shared" si="13"/>
        <v>0</v>
      </c>
      <c r="K209" s="72">
        <f t="shared" si="14"/>
        <v>-78984.154929577446</v>
      </c>
    </row>
    <row r="210" spans="1:11" x14ac:dyDescent="0.25">
      <c r="A210" s="38">
        <f>Données!A207</f>
        <v>5744</v>
      </c>
      <c r="B210" s="172" t="str">
        <f>Données!B207</f>
        <v>Ballaigues</v>
      </c>
      <c r="C210" s="8">
        <f>Données!Z207</f>
        <v>1143</v>
      </c>
      <c r="D210" s="8">
        <f t="shared" si="12"/>
        <v>1000</v>
      </c>
      <c r="E210" s="227">
        <f t="shared" si="15"/>
        <v>143</v>
      </c>
      <c r="F210" s="8">
        <f t="shared" si="15"/>
        <v>0</v>
      </c>
      <c r="G210" s="227">
        <f t="shared" si="15"/>
        <v>0</v>
      </c>
      <c r="H210" s="31">
        <f t="shared" si="15"/>
        <v>0</v>
      </c>
      <c r="I210" s="8">
        <f t="shared" si="15"/>
        <v>0</v>
      </c>
      <c r="J210" s="8">
        <f t="shared" si="13"/>
        <v>0</v>
      </c>
      <c r="K210" s="72">
        <f t="shared" si="14"/>
        <v>-173641.14688128768</v>
      </c>
    </row>
    <row r="211" spans="1:11" x14ac:dyDescent="0.25">
      <c r="A211" s="38">
        <f>Données!A208</f>
        <v>5745</v>
      </c>
      <c r="B211" s="172" t="str">
        <f>Données!B208</f>
        <v>Baulmes</v>
      </c>
      <c r="C211" s="8">
        <f>Données!Z208</f>
        <v>1074</v>
      </c>
      <c r="D211" s="8">
        <f t="shared" si="12"/>
        <v>1000</v>
      </c>
      <c r="E211" s="227">
        <f t="shared" si="15"/>
        <v>74</v>
      </c>
      <c r="F211" s="8">
        <f t="shared" si="15"/>
        <v>0</v>
      </c>
      <c r="G211" s="227">
        <f t="shared" si="15"/>
        <v>0</v>
      </c>
      <c r="H211" s="31">
        <f t="shared" si="15"/>
        <v>0</v>
      </c>
      <c r="I211" s="8">
        <f t="shared" si="15"/>
        <v>0</v>
      </c>
      <c r="J211" s="8">
        <f t="shared" si="13"/>
        <v>0</v>
      </c>
      <c r="K211" s="72">
        <f t="shared" si="14"/>
        <v>-149685.5130784708</v>
      </c>
    </row>
    <row r="212" spans="1:11" x14ac:dyDescent="0.25">
      <c r="A212" s="38">
        <f>Données!A209</f>
        <v>5746</v>
      </c>
      <c r="B212" s="172" t="str">
        <f>Données!B209</f>
        <v>Bavois</v>
      </c>
      <c r="C212" s="8">
        <f>Données!Z209</f>
        <v>994</v>
      </c>
      <c r="D212" s="8">
        <f t="shared" si="12"/>
        <v>994</v>
      </c>
      <c r="E212" s="227">
        <f t="shared" si="15"/>
        <v>0</v>
      </c>
      <c r="F212" s="8">
        <f t="shared" si="15"/>
        <v>0</v>
      </c>
      <c r="G212" s="227">
        <f t="shared" si="15"/>
        <v>0</v>
      </c>
      <c r="H212" s="31">
        <f t="shared" si="15"/>
        <v>0</v>
      </c>
      <c r="I212" s="8">
        <f t="shared" si="15"/>
        <v>0</v>
      </c>
      <c r="J212" s="8">
        <f t="shared" si="13"/>
        <v>0</v>
      </c>
      <c r="K212" s="72">
        <f t="shared" si="14"/>
        <v>-123249.99999999999</v>
      </c>
    </row>
    <row r="213" spans="1:11" x14ac:dyDescent="0.25">
      <c r="A213" s="38">
        <f>Données!A210</f>
        <v>5747</v>
      </c>
      <c r="B213" s="172" t="str">
        <f>Données!B210</f>
        <v>Bofflens</v>
      </c>
      <c r="C213" s="8">
        <f>Données!Z210</f>
        <v>206</v>
      </c>
      <c r="D213" s="8">
        <f t="shared" si="12"/>
        <v>206</v>
      </c>
      <c r="E213" s="227">
        <f t="shared" si="15"/>
        <v>0</v>
      </c>
      <c r="F213" s="8">
        <f t="shared" si="15"/>
        <v>0</v>
      </c>
      <c r="G213" s="227">
        <f t="shared" si="15"/>
        <v>0</v>
      </c>
      <c r="H213" s="31">
        <f t="shared" si="15"/>
        <v>0</v>
      </c>
      <c r="I213" s="8">
        <f t="shared" si="15"/>
        <v>0</v>
      </c>
      <c r="J213" s="8">
        <f t="shared" si="13"/>
        <v>0</v>
      </c>
      <c r="K213" s="72">
        <f t="shared" si="14"/>
        <v>-25542.756539235408</v>
      </c>
    </row>
    <row r="214" spans="1:11" x14ac:dyDescent="0.25">
      <c r="A214" s="38">
        <f>Données!A211</f>
        <v>5748</v>
      </c>
      <c r="B214" s="172" t="str">
        <f>Données!B211</f>
        <v>Bretonnières</v>
      </c>
      <c r="C214" s="8">
        <f>Données!Z211</f>
        <v>268</v>
      </c>
      <c r="D214" s="8">
        <f t="shared" si="12"/>
        <v>268</v>
      </c>
      <c r="E214" s="227">
        <f t="shared" si="15"/>
        <v>0</v>
      </c>
      <c r="F214" s="8">
        <f t="shared" si="15"/>
        <v>0</v>
      </c>
      <c r="G214" s="227">
        <f t="shared" si="15"/>
        <v>0</v>
      </c>
      <c r="H214" s="31">
        <f t="shared" si="15"/>
        <v>0</v>
      </c>
      <c r="I214" s="8">
        <f t="shared" si="15"/>
        <v>0</v>
      </c>
      <c r="J214" s="8">
        <f t="shared" si="13"/>
        <v>0</v>
      </c>
      <c r="K214" s="72">
        <f t="shared" si="14"/>
        <v>-33230.382293762566</v>
      </c>
    </row>
    <row r="215" spans="1:11" x14ac:dyDescent="0.25">
      <c r="A215" s="38">
        <f>Données!A212</f>
        <v>5749</v>
      </c>
      <c r="B215" s="172" t="str">
        <f>Données!B212</f>
        <v>Chavornay</v>
      </c>
      <c r="C215" s="8">
        <f>Données!Z212</f>
        <v>5227</v>
      </c>
      <c r="D215" s="8">
        <f t="shared" si="12"/>
        <v>1000</v>
      </c>
      <c r="E215" s="227">
        <f t="shared" si="15"/>
        <v>2000</v>
      </c>
      <c r="F215" s="8">
        <f t="shared" si="15"/>
        <v>2000</v>
      </c>
      <c r="G215" s="227">
        <f t="shared" si="15"/>
        <v>227</v>
      </c>
      <c r="H215" s="31">
        <f t="shared" si="15"/>
        <v>0</v>
      </c>
      <c r="I215" s="8">
        <f t="shared" si="15"/>
        <v>0</v>
      </c>
      <c r="J215" s="8">
        <f t="shared" si="13"/>
        <v>0</v>
      </c>
      <c r="K215" s="72">
        <f t="shared" si="14"/>
        <v>-1945415.6941649897</v>
      </c>
    </row>
    <row r="216" spans="1:11" x14ac:dyDescent="0.25">
      <c r="A216" s="38">
        <f>Données!A213</f>
        <v>5750</v>
      </c>
      <c r="B216" s="172" t="str">
        <f>Données!B213</f>
        <v>Les Clées</v>
      </c>
      <c r="C216" s="8">
        <f>Données!Z213</f>
        <v>187</v>
      </c>
      <c r="D216" s="8">
        <f t="shared" si="12"/>
        <v>187</v>
      </c>
      <c r="E216" s="227">
        <f t="shared" si="15"/>
        <v>0</v>
      </c>
      <c r="F216" s="8">
        <f t="shared" si="15"/>
        <v>0</v>
      </c>
      <c r="G216" s="227">
        <f t="shared" si="15"/>
        <v>0</v>
      </c>
      <c r="H216" s="31">
        <f t="shared" si="15"/>
        <v>0</v>
      </c>
      <c r="I216" s="8">
        <f t="shared" si="15"/>
        <v>0</v>
      </c>
      <c r="J216" s="8">
        <f t="shared" si="13"/>
        <v>0</v>
      </c>
      <c r="K216" s="72">
        <f t="shared" si="14"/>
        <v>-23186.87122736418</v>
      </c>
    </row>
    <row r="217" spans="1:11" x14ac:dyDescent="0.25">
      <c r="A217" s="38">
        <f>Données!A214</f>
        <v>5752</v>
      </c>
      <c r="B217" s="172" t="str">
        <f>Données!B214</f>
        <v>Croy</v>
      </c>
      <c r="C217" s="8">
        <f>Données!Z214</f>
        <v>397</v>
      </c>
      <c r="D217" s="8">
        <f t="shared" si="12"/>
        <v>397</v>
      </c>
      <c r="E217" s="227">
        <f t="shared" si="15"/>
        <v>0</v>
      </c>
      <c r="F217" s="8">
        <f t="shared" si="15"/>
        <v>0</v>
      </c>
      <c r="G217" s="227">
        <f t="shared" si="15"/>
        <v>0</v>
      </c>
      <c r="H217" s="31">
        <f t="shared" si="15"/>
        <v>0</v>
      </c>
      <c r="I217" s="8">
        <f t="shared" si="15"/>
        <v>0</v>
      </c>
      <c r="J217" s="8">
        <f t="shared" si="13"/>
        <v>0</v>
      </c>
      <c r="K217" s="72">
        <f t="shared" si="14"/>
        <v>-49225.603621730377</v>
      </c>
    </row>
    <row r="218" spans="1:11" x14ac:dyDescent="0.25">
      <c r="A218" s="38">
        <f>Données!A215</f>
        <v>5754</v>
      </c>
      <c r="B218" s="172" t="str">
        <f>Données!B215</f>
        <v>Juriens</v>
      </c>
      <c r="C218" s="8">
        <f>Données!Z215</f>
        <v>336</v>
      </c>
      <c r="D218" s="8">
        <f t="shared" si="12"/>
        <v>336</v>
      </c>
      <c r="E218" s="227">
        <f t="shared" si="15"/>
        <v>0</v>
      </c>
      <c r="F218" s="8">
        <f t="shared" si="15"/>
        <v>0</v>
      </c>
      <c r="G218" s="227">
        <f t="shared" si="15"/>
        <v>0</v>
      </c>
      <c r="H218" s="31">
        <f t="shared" si="15"/>
        <v>0</v>
      </c>
      <c r="I218" s="8">
        <f t="shared" si="15"/>
        <v>0</v>
      </c>
      <c r="J218" s="8">
        <f t="shared" si="13"/>
        <v>0</v>
      </c>
      <c r="K218" s="72">
        <f t="shared" si="14"/>
        <v>-41661.971830985909</v>
      </c>
    </row>
    <row r="219" spans="1:11" x14ac:dyDescent="0.25">
      <c r="A219" s="38">
        <f>Données!A216</f>
        <v>5755</v>
      </c>
      <c r="B219" s="172" t="str">
        <f>Données!B216</f>
        <v>Lignerolle</v>
      </c>
      <c r="C219" s="8">
        <f>Données!Z216</f>
        <v>435</v>
      </c>
      <c r="D219" s="8">
        <f t="shared" si="12"/>
        <v>435</v>
      </c>
      <c r="E219" s="227">
        <f t="shared" si="15"/>
        <v>0</v>
      </c>
      <c r="F219" s="8">
        <f t="shared" si="15"/>
        <v>0</v>
      </c>
      <c r="G219" s="227">
        <f t="shared" si="15"/>
        <v>0</v>
      </c>
      <c r="H219" s="31">
        <f t="shared" si="15"/>
        <v>0</v>
      </c>
      <c r="I219" s="8">
        <f t="shared" si="15"/>
        <v>0</v>
      </c>
      <c r="J219" s="8">
        <f t="shared" si="13"/>
        <v>0</v>
      </c>
      <c r="K219" s="72">
        <f t="shared" si="14"/>
        <v>-53937.374245472827</v>
      </c>
    </row>
    <row r="220" spans="1:11" x14ac:dyDescent="0.25">
      <c r="A220" s="38">
        <f>Données!A217</f>
        <v>5756</v>
      </c>
      <c r="B220" s="172" t="str">
        <f>Données!B217</f>
        <v>Montcherand</v>
      </c>
      <c r="C220" s="8">
        <f>Données!Z217</f>
        <v>506</v>
      </c>
      <c r="D220" s="8">
        <f t="shared" si="12"/>
        <v>506</v>
      </c>
      <c r="E220" s="227">
        <f t="shared" si="15"/>
        <v>0</v>
      </c>
      <c r="F220" s="8">
        <f t="shared" si="15"/>
        <v>0</v>
      </c>
      <c r="G220" s="227">
        <f t="shared" si="15"/>
        <v>0</v>
      </c>
      <c r="H220" s="31">
        <f t="shared" si="15"/>
        <v>0</v>
      </c>
      <c r="I220" s="8">
        <f t="shared" si="15"/>
        <v>0</v>
      </c>
      <c r="J220" s="8">
        <f t="shared" si="13"/>
        <v>0</v>
      </c>
      <c r="K220" s="72">
        <f t="shared" si="14"/>
        <v>-62740.945674044255</v>
      </c>
    </row>
    <row r="221" spans="1:11" x14ac:dyDescent="0.25">
      <c r="A221" s="38">
        <f>Données!A218</f>
        <v>5757</v>
      </c>
      <c r="B221" s="172" t="str">
        <f>Données!B218</f>
        <v>Orbe</v>
      </c>
      <c r="C221" s="8">
        <f>Données!Z218</f>
        <v>7124</v>
      </c>
      <c r="D221" s="8">
        <f t="shared" si="12"/>
        <v>1000</v>
      </c>
      <c r="E221" s="227">
        <f t="shared" si="15"/>
        <v>2000</v>
      </c>
      <c r="F221" s="8">
        <f t="shared" si="15"/>
        <v>2000</v>
      </c>
      <c r="G221" s="227">
        <f t="shared" si="15"/>
        <v>2124</v>
      </c>
      <c r="H221" s="31">
        <f t="shared" si="15"/>
        <v>0</v>
      </c>
      <c r="I221" s="8">
        <f t="shared" si="15"/>
        <v>0</v>
      </c>
      <c r="J221" s="8">
        <f t="shared" si="13"/>
        <v>0</v>
      </c>
      <c r="K221" s="72">
        <f t="shared" si="14"/>
        <v>-3074455.1307847081</v>
      </c>
    </row>
    <row r="222" spans="1:11" x14ac:dyDescent="0.25">
      <c r="A222" s="38">
        <f>Données!A219</f>
        <v>5758</v>
      </c>
      <c r="B222" s="172" t="str">
        <f>Données!B219</f>
        <v>La Praz</v>
      </c>
      <c r="C222" s="8">
        <f>Données!Z219</f>
        <v>175</v>
      </c>
      <c r="D222" s="8">
        <f t="shared" si="12"/>
        <v>175</v>
      </c>
      <c r="E222" s="227">
        <f t="shared" si="15"/>
        <v>0</v>
      </c>
      <c r="F222" s="8">
        <f t="shared" si="15"/>
        <v>0</v>
      </c>
      <c r="G222" s="227">
        <f t="shared" si="15"/>
        <v>0</v>
      </c>
      <c r="H222" s="31">
        <f t="shared" si="15"/>
        <v>0</v>
      </c>
      <c r="I222" s="8">
        <f t="shared" si="15"/>
        <v>0</v>
      </c>
      <c r="J222" s="8">
        <f t="shared" si="13"/>
        <v>0</v>
      </c>
      <c r="K222" s="72">
        <f t="shared" si="14"/>
        <v>-21698.943661971829</v>
      </c>
    </row>
    <row r="223" spans="1:11" x14ac:dyDescent="0.25">
      <c r="A223" s="38">
        <f>Données!A220</f>
        <v>5759</v>
      </c>
      <c r="B223" s="172" t="str">
        <f>Données!B220</f>
        <v>Premier</v>
      </c>
      <c r="C223" s="8">
        <f>Données!Z220</f>
        <v>218</v>
      </c>
      <c r="D223" s="8">
        <f t="shared" si="12"/>
        <v>218</v>
      </c>
      <c r="E223" s="227">
        <f t="shared" si="15"/>
        <v>0</v>
      </c>
      <c r="F223" s="8">
        <f t="shared" si="15"/>
        <v>0</v>
      </c>
      <c r="G223" s="227">
        <f t="shared" si="15"/>
        <v>0</v>
      </c>
      <c r="H223" s="31">
        <f t="shared" si="15"/>
        <v>0</v>
      </c>
      <c r="I223" s="8">
        <f t="shared" si="15"/>
        <v>0</v>
      </c>
      <c r="J223" s="8">
        <f t="shared" si="13"/>
        <v>0</v>
      </c>
      <c r="K223" s="72">
        <f t="shared" si="14"/>
        <v>-27030.684104627762</v>
      </c>
    </row>
    <row r="224" spans="1:11" x14ac:dyDescent="0.25">
      <c r="A224" s="38">
        <f>Données!A221</f>
        <v>5760</v>
      </c>
      <c r="B224" s="172" t="str">
        <f>Données!B221</f>
        <v>Rances</v>
      </c>
      <c r="C224" s="8">
        <f>Données!Z221</f>
        <v>513</v>
      </c>
      <c r="D224" s="8">
        <f t="shared" si="12"/>
        <v>513</v>
      </c>
      <c r="E224" s="227">
        <f t="shared" si="15"/>
        <v>0</v>
      </c>
      <c r="F224" s="8">
        <f t="shared" si="15"/>
        <v>0</v>
      </c>
      <c r="G224" s="227">
        <f t="shared" si="15"/>
        <v>0</v>
      </c>
      <c r="H224" s="31">
        <f t="shared" si="15"/>
        <v>0</v>
      </c>
      <c r="I224" s="8">
        <f t="shared" si="15"/>
        <v>0</v>
      </c>
      <c r="J224" s="8">
        <f t="shared" si="13"/>
        <v>0</v>
      </c>
      <c r="K224" s="72">
        <f t="shared" si="14"/>
        <v>-63608.903420523129</v>
      </c>
    </row>
    <row r="225" spans="1:11" x14ac:dyDescent="0.25">
      <c r="A225" s="38">
        <f>Données!A222</f>
        <v>5761</v>
      </c>
      <c r="B225" s="172" t="str">
        <f>Données!B222</f>
        <v>Romainmôtier-Envy</v>
      </c>
      <c r="C225" s="8">
        <f>Données!Z222</f>
        <v>525</v>
      </c>
      <c r="D225" s="8">
        <f t="shared" si="12"/>
        <v>525</v>
      </c>
      <c r="E225" s="227">
        <f t="shared" si="15"/>
        <v>0</v>
      </c>
      <c r="F225" s="8">
        <f t="shared" si="15"/>
        <v>0</v>
      </c>
      <c r="G225" s="227">
        <f t="shared" si="15"/>
        <v>0</v>
      </c>
      <c r="H225" s="31">
        <f t="shared" si="15"/>
        <v>0</v>
      </c>
      <c r="I225" s="8">
        <f t="shared" si="15"/>
        <v>0</v>
      </c>
      <c r="J225" s="8">
        <f t="shared" si="13"/>
        <v>0</v>
      </c>
      <c r="K225" s="72">
        <f t="shared" si="14"/>
        <v>-65096.830985915483</v>
      </c>
    </row>
    <row r="226" spans="1:11" x14ac:dyDescent="0.25">
      <c r="A226" s="38">
        <f>Données!A223</f>
        <v>5762</v>
      </c>
      <c r="B226" s="172" t="str">
        <f>Données!B223</f>
        <v>Sergey</v>
      </c>
      <c r="C226" s="8">
        <f>Données!Z223</f>
        <v>145</v>
      </c>
      <c r="D226" s="8">
        <f t="shared" si="12"/>
        <v>145</v>
      </c>
      <c r="E226" s="227">
        <f t="shared" si="15"/>
        <v>0</v>
      </c>
      <c r="F226" s="8">
        <f t="shared" si="15"/>
        <v>0</v>
      </c>
      <c r="G226" s="227">
        <f t="shared" si="15"/>
        <v>0</v>
      </c>
      <c r="H226" s="31">
        <f t="shared" si="15"/>
        <v>0</v>
      </c>
      <c r="I226" s="8">
        <f t="shared" si="15"/>
        <v>0</v>
      </c>
      <c r="J226" s="8">
        <f t="shared" si="13"/>
        <v>0</v>
      </c>
      <c r="K226" s="72">
        <f t="shared" si="14"/>
        <v>-17979.124748490944</v>
      </c>
    </row>
    <row r="227" spans="1:11" x14ac:dyDescent="0.25">
      <c r="A227" s="38">
        <f>Données!A224</f>
        <v>5763</v>
      </c>
      <c r="B227" s="172" t="str">
        <f>Données!B224</f>
        <v>Valeyres-sous-Rances</v>
      </c>
      <c r="C227" s="8">
        <f>Données!Z224</f>
        <v>609</v>
      </c>
      <c r="D227" s="8">
        <f t="shared" si="12"/>
        <v>609</v>
      </c>
      <c r="E227" s="227">
        <f t="shared" si="15"/>
        <v>0</v>
      </c>
      <c r="F227" s="8">
        <f t="shared" si="15"/>
        <v>0</v>
      </c>
      <c r="G227" s="227">
        <f t="shared" si="15"/>
        <v>0</v>
      </c>
      <c r="H227" s="31">
        <f t="shared" si="15"/>
        <v>0</v>
      </c>
      <c r="I227" s="8">
        <f t="shared" si="15"/>
        <v>0</v>
      </c>
      <c r="J227" s="8">
        <f t="shared" si="13"/>
        <v>0</v>
      </c>
      <c r="K227" s="72">
        <f t="shared" si="14"/>
        <v>-75512.323943661962</v>
      </c>
    </row>
    <row r="228" spans="1:11" x14ac:dyDescent="0.25">
      <c r="A228" s="38">
        <f>Données!A225</f>
        <v>5764</v>
      </c>
      <c r="B228" s="172" t="str">
        <f>Données!B225</f>
        <v>Vallorbe</v>
      </c>
      <c r="C228" s="8">
        <f>Données!Z225</f>
        <v>3874</v>
      </c>
      <c r="D228" s="8">
        <f t="shared" si="12"/>
        <v>1000</v>
      </c>
      <c r="E228" s="227">
        <f t="shared" si="15"/>
        <v>2000</v>
      </c>
      <c r="F228" s="8">
        <f t="shared" si="15"/>
        <v>874</v>
      </c>
      <c r="G228" s="227">
        <f t="shared" si="15"/>
        <v>0</v>
      </c>
      <c r="H228" s="31">
        <f t="shared" si="15"/>
        <v>0</v>
      </c>
      <c r="I228" s="8">
        <f t="shared" si="15"/>
        <v>0</v>
      </c>
      <c r="J228" s="8">
        <f t="shared" si="13"/>
        <v>0</v>
      </c>
      <c r="K228" s="72">
        <f t="shared" si="14"/>
        <v>-1251843.0583501004</v>
      </c>
    </row>
    <row r="229" spans="1:11" x14ac:dyDescent="0.25">
      <c r="A229" s="38">
        <f>Données!A226</f>
        <v>5765</v>
      </c>
      <c r="B229" s="172" t="str">
        <f>Données!B226</f>
        <v>Vaulion</v>
      </c>
      <c r="C229" s="8">
        <f>Données!Z226</f>
        <v>506</v>
      </c>
      <c r="D229" s="8">
        <f t="shared" si="12"/>
        <v>506</v>
      </c>
      <c r="E229" s="227">
        <f t="shared" si="15"/>
        <v>0</v>
      </c>
      <c r="F229" s="8">
        <f t="shared" si="15"/>
        <v>0</v>
      </c>
      <c r="G229" s="227">
        <f t="shared" si="15"/>
        <v>0</v>
      </c>
      <c r="H229" s="31">
        <f t="shared" si="15"/>
        <v>0</v>
      </c>
      <c r="I229" s="8">
        <f t="shared" si="15"/>
        <v>0</v>
      </c>
      <c r="J229" s="8">
        <f t="shared" si="13"/>
        <v>0</v>
      </c>
      <c r="K229" s="72">
        <f t="shared" si="14"/>
        <v>-62740.945674044255</v>
      </c>
    </row>
    <row r="230" spans="1:11" x14ac:dyDescent="0.25">
      <c r="A230" s="38">
        <f>Données!A227</f>
        <v>5766</v>
      </c>
      <c r="B230" s="172" t="str">
        <f>Données!B227</f>
        <v>Vuiteboeuf</v>
      </c>
      <c r="C230" s="8">
        <f>Données!Z227</f>
        <v>584</v>
      </c>
      <c r="D230" s="8">
        <f t="shared" si="12"/>
        <v>584</v>
      </c>
      <c r="E230" s="227">
        <f t="shared" si="15"/>
        <v>0</v>
      </c>
      <c r="F230" s="8">
        <f t="shared" si="15"/>
        <v>0</v>
      </c>
      <c r="G230" s="227">
        <f t="shared" si="15"/>
        <v>0</v>
      </c>
      <c r="H230" s="31">
        <f t="shared" si="15"/>
        <v>0</v>
      </c>
      <c r="I230" s="8">
        <f t="shared" si="15"/>
        <v>0</v>
      </c>
      <c r="J230" s="8">
        <f t="shared" si="13"/>
        <v>0</v>
      </c>
      <c r="K230" s="72">
        <f t="shared" si="14"/>
        <v>-72412.474849094549</v>
      </c>
    </row>
    <row r="231" spans="1:11" x14ac:dyDescent="0.25">
      <c r="A231" s="38">
        <f>Données!A228</f>
        <v>5785</v>
      </c>
      <c r="B231" s="172" t="str">
        <f>Données!B228</f>
        <v>Corcelles-le-Jorat</v>
      </c>
      <c r="C231" s="8">
        <f>Données!Z228</f>
        <v>451</v>
      </c>
      <c r="D231" s="8">
        <f t="shared" si="12"/>
        <v>451</v>
      </c>
      <c r="E231" s="227">
        <f t="shared" si="15"/>
        <v>0</v>
      </c>
      <c r="F231" s="8">
        <f t="shared" si="15"/>
        <v>0</v>
      </c>
      <c r="G231" s="227">
        <f t="shared" si="15"/>
        <v>0</v>
      </c>
      <c r="H231" s="31">
        <f t="shared" si="15"/>
        <v>0</v>
      </c>
      <c r="I231" s="8">
        <f t="shared" si="15"/>
        <v>0</v>
      </c>
      <c r="J231" s="8">
        <f t="shared" si="13"/>
        <v>0</v>
      </c>
      <c r="K231" s="72">
        <f t="shared" si="14"/>
        <v>-55921.277665995964</v>
      </c>
    </row>
    <row r="232" spans="1:11" x14ac:dyDescent="0.25">
      <c r="A232" s="38">
        <f>Données!A229</f>
        <v>5790</v>
      </c>
      <c r="B232" s="172" t="str">
        <f>Données!B229</f>
        <v>Maracon</v>
      </c>
      <c r="C232" s="8">
        <f>Données!Z229</f>
        <v>538</v>
      </c>
      <c r="D232" s="8">
        <f t="shared" si="12"/>
        <v>538</v>
      </c>
      <c r="E232" s="227">
        <f t="shared" si="15"/>
        <v>0</v>
      </c>
      <c r="F232" s="8">
        <f t="shared" si="15"/>
        <v>0</v>
      </c>
      <c r="G232" s="227">
        <f t="shared" si="15"/>
        <v>0</v>
      </c>
      <c r="H232" s="31">
        <f t="shared" si="15"/>
        <v>0</v>
      </c>
      <c r="I232" s="8">
        <f t="shared" si="15"/>
        <v>0</v>
      </c>
      <c r="J232" s="8">
        <f t="shared" si="13"/>
        <v>0</v>
      </c>
      <c r="K232" s="72">
        <f t="shared" si="14"/>
        <v>-66708.752515090528</v>
      </c>
    </row>
    <row r="233" spans="1:11" x14ac:dyDescent="0.25">
      <c r="A233" s="38">
        <f>Données!A230</f>
        <v>5792</v>
      </c>
      <c r="B233" s="172" t="str">
        <f>Données!B230</f>
        <v>Montpreveyres</v>
      </c>
      <c r="C233" s="8">
        <f>Données!Z230</f>
        <v>653</v>
      </c>
      <c r="D233" s="8">
        <f t="shared" si="12"/>
        <v>653</v>
      </c>
      <c r="E233" s="227">
        <f t="shared" si="15"/>
        <v>0</v>
      </c>
      <c r="F233" s="8">
        <f t="shared" si="15"/>
        <v>0</v>
      </c>
      <c r="G233" s="227">
        <f t="shared" si="15"/>
        <v>0</v>
      </c>
      <c r="H233" s="31">
        <f t="shared" si="15"/>
        <v>0</v>
      </c>
      <c r="I233" s="8">
        <f t="shared" si="15"/>
        <v>0</v>
      </c>
      <c r="J233" s="8">
        <f t="shared" si="13"/>
        <v>0</v>
      </c>
      <c r="K233" s="72">
        <f t="shared" si="14"/>
        <v>-80968.058350100589</v>
      </c>
    </row>
    <row r="234" spans="1:11" x14ac:dyDescent="0.25">
      <c r="A234" s="38">
        <f>Données!A231</f>
        <v>5798</v>
      </c>
      <c r="B234" s="172" t="str">
        <f>Données!B231</f>
        <v>Ropraz</v>
      </c>
      <c r="C234" s="8">
        <f>Données!Z231</f>
        <v>528</v>
      </c>
      <c r="D234" s="8">
        <f t="shared" si="12"/>
        <v>528</v>
      </c>
      <c r="E234" s="227">
        <f t="shared" si="15"/>
        <v>0</v>
      </c>
      <c r="F234" s="8">
        <f t="shared" si="15"/>
        <v>0</v>
      </c>
      <c r="G234" s="227">
        <f t="shared" si="15"/>
        <v>0</v>
      </c>
      <c r="H234" s="31">
        <f t="shared" si="15"/>
        <v>0</v>
      </c>
      <c r="I234" s="8">
        <f t="shared" si="15"/>
        <v>0</v>
      </c>
      <c r="J234" s="8">
        <f t="shared" si="13"/>
        <v>0</v>
      </c>
      <c r="K234" s="72">
        <f t="shared" si="14"/>
        <v>-65468.812877263568</v>
      </c>
    </row>
    <row r="235" spans="1:11" x14ac:dyDescent="0.25">
      <c r="A235" s="38">
        <f>Données!A232</f>
        <v>5799</v>
      </c>
      <c r="B235" s="172" t="str">
        <f>Données!B232</f>
        <v>Servion</v>
      </c>
      <c r="C235" s="8">
        <f>Données!Z232</f>
        <v>2076</v>
      </c>
      <c r="D235" s="8">
        <f t="shared" si="12"/>
        <v>1000</v>
      </c>
      <c r="E235" s="227">
        <f t="shared" si="15"/>
        <v>1076</v>
      </c>
      <c r="F235" s="8">
        <f t="shared" si="15"/>
        <v>0</v>
      </c>
      <c r="G235" s="227">
        <f t="shared" si="15"/>
        <v>0</v>
      </c>
      <c r="H235" s="31">
        <f t="shared" si="15"/>
        <v>0</v>
      </c>
      <c r="I235" s="8">
        <f t="shared" si="15"/>
        <v>0</v>
      </c>
      <c r="J235" s="8">
        <f t="shared" si="13"/>
        <v>0</v>
      </c>
      <c r="K235" s="72">
        <f t="shared" si="14"/>
        <v>-497562.97786720318</v>
      </c>
    </row>
    <row r="236" spans="1:11" x14ac:dyDescent="0.25">
      <c r="A236" s="38">
        <f>Données!A233</f>
        <v>5803</v>
      </c>
      <c r="B236" s="172" t="str">
        <f>Données!B233</f>
        <v>Vulliens</v>
      </c>
      <c r="C236" s="8">
        <f>Données!Z233</f>
        <v>624</v>
      </c>
      <c r="D236" s="8">
        <f t="shared" ref="D236:D299" si="16">IF($C236&gt;D$5,IF($C236&lt;D$6,$C236-D$5,D$6-D$5),0)</f>
        <v>624</v>
      </c>
      <c r="E236" s="227">
        <f t="shared" si="15"/>
        <v>0</v>
      </c>
      <c r="F236" s="8">
        <f t="shared" si="15"/>
        <v>0</v>
      </c>
      <c r="G236" s="227">
        <f t="shared" si="15"/>
        <v>0</v>
      </c>
      <c r="H236" s="31">
        <f t="shared" si="15"/>
        <v>0</v>
      </c>
      <c r="I236" s="8">
        <f t="shared" si="15"/>
        <v>0</v>
      </c>
      <c r="J236" s="8">
        <f t="shared" si="13"/>
        <v>0</v>
      </c>
      <c r="K236" s="72">
        <f t="shared" si="14"/>
        <v>-77372.233400402401</v>
      </c>
    </row>
    <row r="237" spans="1:11" x14ac:dyDescent="0.25">
      <c r="A237" s="38">
        <f>Données!A234</f>
        <v>5804</v>
      </c>
      <c r="B237" s="172" t="str">
        <f>Données!B234</f>
        <v>Jorat-Menthue</v>
      </c>
      <c r="C237" s="8">
        <f>Données!Z234</f>
        <v>1602</v>
      </c>
      <c r="D237" s="8">
        <f t="shared" si="16"/>
        <v>1000</v>
      </c>
      <c r="E237" s="227">
        <f t="shared" si="15"/>
        <v>602</v>
      </c>
      <c r="F237" s="8">
        <f t="shared" si="15"/>
        <v>0</v>
      </c>
      <c r="G237" s="227">
        <f t="shared" si="15"/>
        <v>0</v>
      </c>
      <c r="H237" s="31">
        <f t="shared" si="15"/>
        <v>0</v>
      </c>
      <c r="I237" s="8">
        <f t="shared" si="15"/>
        <v>0</v>
      </c>
      <c r="J237" s="8">
        <f t="shared" si="13"/>
        <v>0</v>
      </c>
      <c r="K237" s="72">
        <f t="shared" si="14"/>
        <v>-332998.18913480878</v>
      </c>
    </row>
    <row r="238" spans="1:11" x14ac:dyDescent="0.25">
      <c r="A238" s="38">
        <f>Données!A235</f>
        <v>5805</v>
      </c>
      <c r="B238" s="172" t="str">
        <f>Données!B235</f>
        <v>Oron</v>
      </c>
      <c r="C238" s="8">
        <f>Données!Z235</f>
        <v>6052</v>
      </c>
      <c r="D238" s="8">
        <f t="shared" si="16"/>
        <v>1000</v>
      </c>
      <c r="E238" s="227">
        <f t="shared" si="15"/>
        <v>2000</v>
      </c>
      <c r="F238" s="8">
        <f t="shared" si="15"/>
        <v>2000</v>
      </c>
      <c r="G238" s="227">
        <f t="shared" si="15"/>
        <v>1052</v>
      </c>
      <c r="H238" s="31">
        <f t="shared" si="15"/>
        <v>0</v>
      </c>
      <c r="I238" s="8">
        <f t="shared" si="15"/>
        <v>0</v>
      </c>
      <c r="J238" s="8">
        <f t="shared" si="13"/>
        <v>0</v>
      </c>
      <c r="K238" s="72">
        <f t="shared" si="14"/>
        <v>-2436431.7907444667</v>
      </c>
    </row>
    <row r="239" spans="1:11" x14ac:dyDescent="0.25">
      <c r="A239" s="38">
        <f>Données!A236</f>
        <v>5806</v>
      </c>
      <c r="B239" s="172" t="str">
        <f>Données!B236</f>
        <v>Jorat-Mézières</v>
      </c>
      <c r="C239" s="8">
        <f>Données!Z236</f>
        <v>2966</v>
      </c>
      <c r="D239" s="8">
        <f t="shared" si="16"/>
        <v>1000</v>
      </c>
      <c r="E239" s="227">
        <f t="shared" si="15"/>
        <v>1966</v>
      </c>
      <c r="F239" s="8">
        <f t="shared" si="15"/>
        <v>0</v>
      </c>
      <c r="G239" s="227">
        <f t="shared" si="15"/>
        <v>0</v>
      </c>
      <c r="H239" s="31">
        <f t="shared" si="15"/>
        <v>0</v>
      </c>
      <c r="I239" s="8">
        <f t="shared" si="15"/>
        <v>0</v>
      </c>
      <c r="J239" s="8">
        <f t="shared" si="13"/>
        <v>0</v>
      </c>
      <c r="K239" s="72">
        <f t="shared" si="14"/>
        <v>-806555.93561368203</v>
      </c>
    </row>
    <row r="240" spans="1:11" x14ac:dyDescent="0.25">
      <c r="A240" s="38">
        <f>Données!A237</f>
        <v>5812</v>
      </c>
      <c r="B240" s="172" t="str">
        <f>Données!B237</f>
        <v>Champtauroz</v>
      </c>
      <c r="C240" s="8">
        <f>Données!Z237</f>
        <v>144</v>
      </c>
      <c r="D240" s="8">
        <f t="shared" si="16"/>
        <v>144</v>
      </c>
      <c r="E240" s="227">
        <f t="shared" si="15"/>
        <v>0</v>
      </c>
      <c r="F240" s="8">
        <f t="shared" si="15"/>
        <v>0</v>
      </c>
      <c r="G240" s="227">
        <f t="shared" si="15"/>
        <v>0</v>
      </c>
      <c r="H240" s="31">
        <f t="shared" si="15"/>
        <v>0</v>
      </c>
      <c r="I240" s="8">
        <f t="shared" si="15"/>
        <v>0</v>
      </c>
      <c r="J240" s="8">
        <f t="shared" si="13"/>
        <v>0</v>
      </c>
      <c r="K240" s="72">
        <f t="shared" si="14"/>
        <v>-17855.130784708246</v>
      </c>
    </row>
    <row r="241" spans="1:11" x14ac:dyDescent="0.25">
      <c r="A241" s="38">
        <f>Données!A238</f>
        <v>5813</v>
      </c>
      <c r="B241" s="172" t="str">
        <f>Données!B238</f>
        <v>Chevroux</v>
      </c>
      <c r="C241" s="8">
        <f>Données!Z238</f>
        <v>495</v>
      </c>
      <c r="D241" s="8">
        <f t="shared" si="16"/>
        <v>495</v>
      </c>
      <c r="E241" s="227">
        <f t="shared" si="15"/>
        <v>0</v>
      </c>
      <c r="F241" s="8">
        <f t="shared" si="15"/>
        <v>0</v>
      </c>
      <c r="G241" s="227">
        <f t="shared" si="15"/>
        <v>0</v>
      </c>
      <c r="H241" s="31">
        <f t="shared" si="15"/>
        <v>0</v>
      </c>
      <c r="I241" s="8">
        <f t="shared" si="15"/>
        <v>0</v>
      </c>
      <c r="J241" s="8">
        <f t="shared" si="13"/>
        <v>0</v>
      </c>
      <c r="K241" s="72">
        <f t="shared" si="14"/>
        <v>-61377.012072434598</v>
      </c>
    </row>
    <row r="242" spans="1:11" x14ac:dyDescent="0.25">
      <c r="A242" s="38">
        <f>Données!A239</f>
        <v>5816</v>
      </c>
      <c r="B242" s="172" t="str">
        <f>Données!B239</f>
        <v>Corcelles-près-Payerne</v>
      </c>
      <c r="C242" s="8">
        <f>Données!Z239</f>
        <v>2681</v>
      </c>
      <c r="D242" s="8">
        <f t="shared" si="16"/>
        <v>1000</v>
      </c>
      <c r="E242" s="227">
        <f t="shared" si="15"/>
        <v>1681</v>
      </c>
      <c r="F242" s="8">
        <f t="shared" si="15"/>
        <v>0</v>
      </c>
      <c r="G242" s="227">
        <f t="shared" si="15"/>
        <v>0</v>
      </c>
      <c r="H242" s="31">
        <f t="shared" si="15"/>
        <v>0</v>
      </c>
      <c r="I242" s="8">
        <f t="shared" si="15"/>
        <v>0</v>
      </c>
      <c r="J242" s="8">
        <f t="shared" si="13"/>
        <v>0</v>
      </c>
      <c r="K242" s="72">
        <f t="shared" si="14"/>
        <v>-707608.75251509051</v>
      </c>
    </row>
    <row r="243" spans="1:11" x14ac:dyDescent="0.25">
      <c r="A243" s="38">
        <f>Données!A240</f>
        <v>5817</v>
      </c>
      <c r="B243" s="172" t="str">
        <f>Données!B240</f>
        <v>Grandcour</v>
      </c>
      <c r="C243" s="8">
        <f>Données!Z240</f>
        <v>967</v>
      </c>
      <c r="D243" s="8">
        <f t="shared" si="16"/>
        <v>967</v>
      </c>
      <c r="E243" s="227">
        <f t="shared" si="15"/>
        <v>0</v>
      </c>
      <c r="F243" s="8">
        <f t="shared" si="15"/>
        <v>0</v>
      </c>
      <c r="G243" s="227">
        <f t="shared" si="15"/>
        <v>0</v>
      </c>
      <c r="H243" s="31">
        <f t="shared" si="15"/>
        <v>0</v>
      </c>
      <c r="I243" s="8">
        <f t="shared" si="15"/>
        <v>0</v>
      </c>
      <c r="J243" s="8">
        <f t="shared" si="13"/>
        <v>0</v>
      </c>
      <c r="K243" s="72">
        <f t="shared" si="14"/>
        <v>-119902.16297786718</v>
      </c>
    </row>
    <row r="244" spans="1:11" x14ac:dyDescent="0.25">
      <c r="A244" s="38">
        <f>Données!A241</f>
        <v>5819</v>
      </c>
      <c r="B244" s="172" t="str">
        <f>Données!B241</f>
        <v>Henniez</v>
      </c>
      <c r="C244" s="8">
        <f>Données!Z241</f>
        <v>396</v>
      </c>
      <c r="D244" s="8">
        <f t="shared" si="16"/>
        <v>396</v>
      </c>
      <c r="E244" s="227">
        <f t="shared" si="15"/>
        <v>0</v>
      </c>
      <c r="F244" s="8">
        <f t="shared" si="15"/>
        <v>0</v>
      </c>
      <c r="G244" s="227">
        <f t="shared" si="15"/>
        <v>0</v>
      </c>
      <c r="H244" s="31">
        <f t="shared" si="15"/>
        <v>0</v>
      </c>
      <c r="I244" s="8">
        <f t="shared" si="15"/>
        <v>0</v>
      </c>
      <c r="J244" s="8">
        <f t="shared" si="13"/>
        <v>0</v>
      </c>
      <c r="K244" s="72">
        <f t="shared" si="14"/>
        <v>-49101.60965794768</v>
      </c>
    </row>
    <row r="245" spans="1:11" x14ac:dyDescent="0.25">
      <c r="A245" s="38">
        <f>Données!A242</f>
        <v>5821</v>
      </c>
      <c r="B245" s="172" t="str">
        <f>Données!B242</f>
        <v>Missy</v>
      </c>
      <c r="C245" s="8">
        <f>Données!Z242</f>
        <v>368</v>
      </c>
      <c r="D245" s="8">
        <f t="shared" si="16"/>
        <v>368</v>
      </c>
      <c r="E245" s="227">
        <f t="shared" si="15"/>
        <v>0</v>
      </c>
      <c r="F245" s="8">
        <f t="shared" si="15"/>
        <v>0</v>
      </c>
      <c r="G245" s="227">
        <f t="shared" si="15"/>
        <v>0</v>
      </c>
      <c r="H245" s="31">
        <f t="shared" si="15"/>
        <v>0</v>
      </c>
      <c r="I245" s="8">
        <f t="shared" si="15"/>
        <v>0</v>
      </c>
      <c r="J245" s="8">
        <f t="shared" si="13"/>
        <v>0</v>
      </c>
      <c r="K245" s="72">
        <f t="shared" si="14"/>
        <v>-45629.778672032182</v>
      </c>
    </row>
    <row r="246" spans="1:11" x14ac:dyDescent="0.25">
      <c r="A246" s="38">
        <f>Données!A243</f>
        <v>5822</v>
      </c>
      <c r="B246" s="172" t="str">
        <f>Données!B243</f>
        <v>Payerne</v>
      </c>
      <c r="C246" s="8">
        <f>Données!Z243</f>
        <v>10108</v>
      </c>
      <c r="D246" s="8">
        <f t="shared" si="16"/>
        <v>1000</v>
      </c>
      <c r="E246" s="227">
        <f t="shared" si="15"/>
        <v>2000</v>
      </c>
      <c r="F246" s="8">
        <f t="shared" si="15"/>
        <v>2000</v>
      </c>
      <c r="G246" s="227">
        <f t="shared" si="15"/>
        <v>4000</v>
      </c>
      <c r="H246" s="31">
        <f t="shared" si="15"/>
        <v>1108</v>
      </c>
      <c r="I246" s="8">
        <f t="shared" si="15"/>
        <v>0</v>
      </c>
      <c r="J246" s="8">
        <f t="shared" si="13"/>
        <v>0</v>
      </c>
      <c r="K246" s="72">
        <f t="shared" si="14"/>
        <v>-5125216.0965794763</v>
      </c>
    </row>
    <row r="247" spans="1:11" x14ac:dyDescent="0.25">
      <c r="A247" s="38">
        <f>Données!A244</f>
        <v>5827</v>
      </c>
      <c r="B247" s="172" t="str">
        <f>Données!B244</f>
        <v>Trey</v>
      </c>
      <c r="C247" s="8">
        <f>Données!Z244</f>
        <v>302</v>
      </c>
      <c r="D247" s="8">
        <f t="shared" si="16"/>
        <v>302</v>
      </c>
      <c r="E247" s="227">
        <f t="shared" si="15"/>
        <v>0</v>
      </c>
      <c r="F247" s="8">
        <f t="shared" si="15"/>
        <v>0</v>
      </c>
      <c r="G247" s="227">
        <f t="shared" si="15"/>
        <v>0</v>
      </c>
      <c r="H247" s="31">
        <f t="shared" si="15"/>
        <v>0</v>
      </c>
      <c r="I247" s="8">
        <f t="shared" si="15"/>
        <v>0</v>
      </c>
      <c r="J247" s="8">
        <f t="shared" si="13"/>
        <v>0</v>
      </c>
      <c r="K247" s="72">
        <f t="shared" si="14"/>
        <v>-37446.177062374241</v>
      </c>
    </row>
    <row r="248" spans="1:11" x14ac:dyDescent="0.25">
      <c r="A248" s="38">
        <f>Données!A245</f>
        <v>5828</v>
      </c>
      <c r="B248" s="172" t="str">
        <f>Données!B245</f>
        <v>Treytorrens (Payerne)</v>
      </c>
      <c r="C248" s="8">
        <f>Données!Z245</f>
        <v>114</v>
      </c>
      <c r="D248" s="8">
        <f t="shared" si="16"/>
        <v>114</v>
      </c>
      <c r="E248" s="227">
        <f t="shared" si="15"/>
        <v>0</v>
      </c>
      <c r="F248" s="8">
        <f t="shared" si="15"/>
        <v>0</v>
      </c>
      <c r="G248" s="227">
        <f t="shared" si="15"/>
        <v>0</v>
      </c>
      <c r="H248" s="31">
        <f t="shared" si="15"/>
        <v>0</v>
      </c>
      <c r="I248" s="8">
        <f t="shared" si="15"/>
        <v>0</v>
      </c>
      <c r="J248" s="8">
        <f t="shared" si="13"/>
        <v>0</v>
      </c>
      <c r="K248" s="72">
        <f t="shared" si="14"/>
        <v>-14135.311871227363</v>
      </c>
    </row>
    <row r="249" spans="1:11" x14ac:dyDescent="0.25">
      <c r="A249" s="38">
        <f>Données!A246</f>
        <v>5830</v>
      </c>
      <c r="B249" s="172" t="str">
        <f>Données!B246</f>
        <v>Villarzel</v>
      </c>
      <c r="C249" s="8">
        <f>Données!Z246</f>
        <v>477</v>
      </c>
      <c r="D249" s="8">
        <f t="shared" si="16"/>
        <v>477</v>
      </c>
      <c r="E249" s="227">
        <f t="shared" si="15"/>
        <v>0</v>
      </c>
      <c r="F249" s="8">
        <f t="shared" si="15"/>
        <v>0</v>
      </c>
      <c r="G249" s="227">
        <f t="shared" si="15"/>
        <v>0</v>
      </c>
      <c r="H249" s="31">
        <f t="shared" si="15"/>
        <v>0</v>
      </c>
      <c r="I249" s="8">
        <f t="shared" si="15"/>
        <v>0</v>
      </c>
      <c r="J249" s="8">
        <f t="shared" si="13"/>
        <v>0</v>
      </c>
      <c r="K249" s="72">
        <f t="shared" si="14"/>
        <v>-59145.120724346067</v>
      </c>
    </row>
    <row r="250" spans="1:11" x14ac:dyDescent="0.25">
      <c r="A250" s="38">
        <f>Données!A247</f>
        <v>5831</v>
      </c>
      <c r="B250" s="172" t="str">
        <f>Données!B247</f>
        <v>Valbroye</v>
      </c>
      <c r="C250" s="8">
        <f>Données!Z247</f>
        <v>3373</v>
      </c>
      <c r="D250" s="8">
        <f t="shared" si="16"/>
        <v>1000</v>
      </c>
      <c r="E250" s="227">
        <f t="shared" si="15"/>
        <v>2000</v>
      </c>
      <c r="F250" s="8">
        <f t="shared" si="15"/>
        <v>373</v>
      </c>
      <c r="G250" s="227">
        <f t="shared" si="15"/>
        <v>0</v>
      </c>
      <c r="H250" s="31">
        <f t="shared" si="15"/>
        <v>0</v>
      </c>
      <c r="I250" s="8">
        <f t="shared" si="15"/>
        <v>0</v>
      </c>
      <c r="J250" s="8">
        <f t="shared" si="13"/>
        <v>0</v>
      </c>
      <c r="K250" s="72">
        <f t="shared" si="14"/>
        <v>-1003359.1549295774</v>
      </c>
    </row>
    <row r="251" spans="1:11" x14ac:dyDescent="0.25">
      <c r="A251" s="38">
        <f>Données!A248</f>
        <v>5841</v>
      </c>
      <c r="B251" s="172" t="str">
        <f>Données!B248</f>
        <v>Château-d'Oex</v>
      </c>
      <c r="C251" s="8">
        <f>Données!Z248</f>
        <v>3494</v>
      </c>
      <c r="D251" s="8">
        <f t="shared" si="16"/>
        <v>1000</v>
      </c>
      <c r="E251" s="227">
        <f t="shared" si="15"/>
        <v>2000</v>
      </c>
      <c r="F251" s="8">
        <f t="shared" si="15"/>
        <v>494</v>
      </c>
      <c r="G251" s="227">
        <f t="shared" si="15"/>
        <v>0</v>
      </c>
      <c r="H251" s="31">
        <f t="shared" si="15"/>
        <v>0</v>
      </c>
      <c r="I251" s="8">
        <f t="shared" si="15"/>
        <v>0</v>
      </c>
      <c r="J251" s="8">
        <f t="shared" si="13"/>
        <v>0</v>
      </c>
      <c r="K251" s="72">
        <f t="shared" si="14"/>
        <v>-1063372.2334004024</v>
      </c>
    </row>
    <row r="252" spans="1:11" x14ac:dyDescent="0.25">
      <c r="A252" s="38">
        <f>Données!A249</f>
        <v>5842</v>
      </c>
      <c r="B252" s="172" t="str">
        <f>Données!B249</f>
        <v>Rossinière</v>
      </c>
      <c r="C252" s="8">
        <f>Données!Z249</f>
        <v>537</v>
      </c>
      <c r="D252" s="8">
        <f t="shared" si="16"/>
        <v>537</v>
      </c>
      <c r="E252" s="227">
        <f t="shared" si="15"/>
        <v>0</v>
      </c>
      <c r="F252" s="8">
        <f t="shared" si="15"/>
        <v>0</v>
      </c>
      <c r="G252" s="227">
        <f t="shared" si="15"/>
        <v>0</v>
      </c>
      <c r="H252" s="31">
        <f t="shared" si="15"/>
        <v>0</v>
      </c>
      <c r="I252" s="8">
        <f t="shared" si="15"/>
        <v>0</v>
      </c>
      <c r="J252" s="8">
        <f t="shared" si="13"/>
        <v>0</v>
      </c>
      <c r="K252" s="72">
        <f t="shared" si="14"/>
        <v>-66584.758551307837</v>
      </c>
    </row>
    <row r="253" spans="1:11" x14ac:dyDescent="0.25">
      <c r="A253" s="38">
        <f>Données!A250</f>
        <v>5843</v>
      </c>
      <c r="B253" s="172" t="str">
        <f>Données!B250</f>
        <v>Rougemont</v>
      </c>
      <c r="C253" s="8">
        <f>Données!Z250</f>
        <v>863</v>
      </c>
      <c r="D253" s="8">
        <f t="shared" si="16"/>
        <v>863</v>
      </c>
      <c r="E253" s="227">
        <f t="shared" si="15"/>
        <v>0</v>
      </c>
      <c r="F253" s="8">
        <f t="shared" si="15"/>
        <v>0</v>
      </c>
      <c r="G253" s="227">
        <f t="shared" si="15"/>
        <v>0</v>
      </c>
      <c r="H253" s="31">
        <f t="shared" si="15"/>
        <v>0</v>
      </c>
      <c r="I253" s="8">
        <f t="shared" si="15"/>
        <v>0</v>
      </c>
      <c r="J253" s="8">
        <f t="shared" si="13"/>
        <v>0</v>
      </c>
      <c r="K253" s="72">
        <f t="shared" si="14"/>
        <v>-107006.79074446678</v>
      </c>
    </row>
    <row r="254" spans="1:11" x14ac:dyDescent="0.25">
      <c r="A254" s="38">
        <f>Données!A251</f>
        <v>5851</v>
      </c>
      <c r="B254" s="172" t="str">
        <f>Données!B251</f>
        <v>Allaman</v>
      </c>
      <c r="C254" s="8">
        <f>Données!Z251</f>
        <v>443</v>
      </c>
      <c r="D254" s="8">
        <f t="shared" si="16"/>
        <v>443</v>
      </c>
      <c r="E254" s="227">
        <f t="shared" si="15"/>
        <v>0</v>
      </c>
      <c r="F254" s="8">
        <f t="shared" si="15"/>
        <v>0</v>
      </c>
      <c r="G254" s="227">
        <f t="shared" si="15"/>
        <v>0</v>
      </c>
      <c r="H254" s="31">
        <f t="shared" si="15"/>
        <v>0</v>
      </c>
      <c r="I254" s="8">
        <f t="shared" si="15"/>
        <v>0</v>
      </c>
      <c r="J254" s="8">
        <f t="shared" si="13"/>
        <v>0</v>
      </c>
      <c r="K254" s="72">
        <f t="shared" si="14"/>
        <v>-54929.325955734399</v>
      </c>
    </row>
    <row r="255" spans="1:11" x14ac:dyDescent="0.25">
      <c r="A255" s="38">
        <f>Données!A252</f>
        <v>5852</v>
      </c>
      <c r="B255" s="172" t="str">
        <f>Données!B252</f>
        <v>Bursinel</v>
      </c>
      <c r="C255" s="8">
        <f>Données!Z252</f>
        <v>491</v>
      </c>
      <c r="D255" s="8">
        <f t="shared" si="16"/>
        <v>491</v>
      </c>
      <c r="E255" s="227">
        <f t="shared" si="15"/>
        <v>0</v>
      </c>
      <c r="F255" s="8">
        <f t="shared" si="15"/>
        <v>0</v>
      </c>
      <c r="G255" s="227">
        <f t="shared" si="15"/>
        <v>0</v>
      </c>
      <c r="H255" s="31">
        <f t="shared" si="15"/>
        <v>0</v>
      </c>
      <c r="I255" s="8">
        <f t="shared" si="15"/>
        <v>0</v>
      </c>
      <c r="J255" s="8">
        <f t="shared" si="13"/>
        <v>0</v>
      </c>
      <c r="K255" s="72">
        <f t="shared" si="14"/>
        <v>-60881.036217303816</v>
      </c>
    </row>
    <row r="256" spans="1:11" x14ac:dyDescent="0.25">
      <c r="A256" s="38">
        <f>Données!A253</f>
        <v>5853</v>
      </c>
      <c r="B256" s="172" t="str">
        <f>Données!B253</f>
        <v>Bursins</v>
      </c>
      <c r="C256" s="8">
        <f>Données!Z253</f>
        <v>773</v>
      </c>
      <c r="D256" s="8">
        <f t="shared" si="16"/>
        <v>773</v>
      </c>
      <c r="E256" s="227">
        <f t="shared" si="15"/>
        <v>0</v>
      </c>
      <c r="F256" s="8">
        <f t="shared" si="15"/>
        <v>0</v>
      </c>
      <c r="G256" s="227">
        <f t="shared" si="15"/>
        <v>0</v>
      </c>
      <c r="H256" s="31">
        <f t="shared" si="15"/>
        <v>0</v>
      </c>
      <c r="I256" s="8">
        <f t="shared" si="15"/>
        <v>0</v>
      </c>
      <c r="J256" s="8">
        <f t="shared" si="13"/>
        <v>0</v>
      </c>
      <c r="K256" s="72">
        <f t="shared" si="14"/>
        <v>-95847.334004024131</v>
      </c>
    </row>
    <row r="257" spans="1:11" x14ac:dyDescent="0.25">
      <c r="A257" s="38">
        <f>Données!A254</f>
        <v>5854</v>
      </c>
      <c r="B257" s="172" t="str">
        <f>Données!B254</f>
        <v>Burtigny</v>
      </c>
      <c r="C257" s="8">
        <f>Données!Z254</f>
        <v>404</v>
      </c>
      <c r="D257" s="8">
        <f t="shared" si="16"/>
        <v>404</v>
      </c>
      <c r="E257" s="227">
        <f t="shared" si="15"/>
        <v>0</v>
      </c>
      <c r="F257" s="8">
        <f t="shared" si="15"/>
        <v>0</v>
      </c>
      <c r="G257" s="227">
        <f t="shared" si="15"/>
        <v>0</v>
      </c>
      <c r="H257" s="31">
        <f t="shared" si="15"/>
        <v>0</v>
      </c>
      <c r="I257" s="8">
        <f t="shared" si="15"/>
        <v>0</v>
      </c>
      <c r="J257" s="8">
        <f t="shared" si="13"/>
        <v>0</v>
      </c>
      <c r="K257" s="72">
        <f t="shared" si="14"/>
        <v>-50093.561368209244</v>
      </c>
    </row>
    <row r="258" spans="1:11" x14ac:dyDescent="0.25">
      <c r="A258" s="38">
        <f>Données!A255</f>
        <v>5855</v>
      </c>
      <c r="B258" s="172" t="str">
        <f>Données!B255</f>
        <v>Dully</v>
      </c>
      <c r="C258" s="8">
        <f>Données!Z255</f>
        <v>628</v>
      </c>
      <c r="D258" s="8">
        <f t="shared" si="16"/>
        <v>628</v>
      </c>
      <c r="E258" s="227">
        <f t="shared" si="15"/>
        <v>0</v>
      </c>
      <c r="F258" s="8">
        <f t="shared" si="15"/>
        <v>0</v>
      </c>
      <c r="G258" s="227">
        <f t="shared" si="15"/>
        <v>0</v>
      </c>
      <c r="H258" s="31">
        <f t="shared" si="15"/>
        <v>0</v>
      </c>
      <c r="I258" s="8">
        <f t="shared" si="15"/>
        <v>0</v>
      </c>
      <c r="J258" s="8">
        <f t="shared" si="13"/>
        <v>0</v>
      </c>
      <c r="K258" s="72">
        <f t="shared" si="14"/>
        <v>-77868.209255533191</v>
      </c>
    </row>
    <row r="259" spans="1:11" x14ac:dyDescent="0.25">
      <c r="A259" s="38">
        <f>Données!A256</f>
        <v>5856</v>
      </c>
      <c r="B259" s="172" t="str">
        <f>Données!B256</f>
        <v>Essertines-sur-Rolle</v>
      </c>
      <c r="C259" s="8">
        <f>Données!Z256</f>
        <v>740</v>
      </c>
      <c r="D259" s="8">
        <f t="shared" si="16"/>
        <v>740</v>
      </c>
      <c r="E259" s="227">
        <f t="shared" si="15"/>
        <v>0</v>
      </c>
      <c r="F259" s="8">
        <f t="shared" si="15"/>
        <v>0</v>
      </c>
      <c r="G259" s="227">
        <f t="shared" si="15"/>
        <v>0</v>
      </c>
      <c r="H259" s="31">
        <f t="shared" si="15"/>
        <v>0</v>
      </c>
      <c r="I259" s="8">
        <f t="shared" si="15"/>
        <v>0</v>
      </c>
      <c r="J259" s="8">
        <f t="shared" si="13"/>
        <v>0</v>
      </c>
      <c r="K259" s="72">
        <f t="shared" si="14"/>
        <v>-91755.533199195153</v>
      </c>
    </row>
    <row r="260" spans="1:11" x14ac:dyDescent="0.25">
      <c r="A260" s="38">
        <f>Données!A257</f>
        <v>5857</v>
      </c>
      <c r="B260" s="172" t="str">
        <f>Données!B257</f>
        <v>Gilly</v>
      </c>
      <c r="C260" s="8">
        <f>Données!Z257</f>
        <v>1428</v>
      </c>
      <c r="D260" s="8">
        <f t="shared" si="16"/>
        <v>1000</v>
      </c>
      <c r="E260" s="227">
        <f t="shared" si="15"/>
        <v>428</v>
      </c>
      <c r="F260" s="8">
        <f t="shared" si="15"/>
        <v>0</v>
      </c>
      <c r="G260" s="227">
        <f t="shared" ref="E260:I308" si="17">IF($C260&gt;G$5,IF($C260&lt;G$6,$C260-G$5,G$6-G$5),0)</f>
        <v>0</v>
      </c>
      <c r="H260" s="31">
        <f t="shared" si="17"/>
        <v>0</v>
      </c>
      <c r="I260" s="8">
        <f t="shared" si="17"/>
        <v>0</v>
      </c>
      <c r="J260" s="8">
        <f t="shared" si="13"/>
        <v>0</v>
      </c>
      <c r="K260" s="72">
        <f t="shared" si="14"/>
        <v>-272588.32997987926</v>
      </c>
    </row>
    <row r="261" spans="1:11" x14ac:dyDescent="0.25">
      <c r="A261" s="38">
        <f>Données!A258</f>
        <v>5858</v>
      </c>
      <c r="B261" s="172" t="str">
        <f>Données!B258</f>
        <v>Luins</v>
      </c>
      <c r="C261" s="8">
        <f>Données!Z258</f>
        <v>619</v>
      </c>
      <c r="D261" s="8">
        <f t="shared" si="16"/>
        <v>619</v>
      </c>
      <c r="E261" s="227">
        <f t="shared" si="17"/>
        <v>0</v>
      </c>
      <c r="F261" s="8">
        <f t="shared" si="17"/>
        <v>0</v>
      </c>
      <c r="G261" s="227">
        <f t="shared" si="17"/>
        <v>0</v>
      </c>
      <c r="H261" s="31">
        <f t="shared" si="17"/>
        <v>0</v>
      </c>
      <c r="I261" s="8">
        <f t="shared" si="17"/>
        <v>0</v>
      </c>
      <c r="J261" s="8">
        <f t="shared" si="13"/>
        <v>0</v>
      </c>
      <c r="K261" s="72">
        <f t="shared" si="14"/>
        <v>-76752.263581488922</v>
      </c>
    </row>
    <row r="262" spans="1:11" x14ac:dyDescent="0.25">
      <c r="A262" s="38">
        <f>Données!A259</f>
        <v>5859</v>
      </c>
      <c r="B262" s="172" t="str">
        <f>Données!B259</f>
        <v>Mont-sur-Rolle</v>
      </c>
      <c r="C262" s="8">
        <f>Données!Z259</f>
        <v>2646</v>
      </c>
      <c r="D262" s="8">
        <f t="shared" si="16"/>
        <v>1000</v>
      </c>
      <c r="E262" s="227">
        <f t="shared" si="17"/>
        <v>1646</v>
      </c>
      <c r="F262" s="8">
        <f t="shared" si="17"/>
        <v>0</v>
      </c>
      <c r="G262" s="227">
        <f t="shared" si="17"/>
        <v>0</v>
      </c>
      <c r="H262" s="31">
        <f t="shared" si="17"/>
        <v>0</v>
      </c>
      <c r="I262" s="8">
        <f t="shared" si="17"/>
        <v>0</v>
      </c>
      <c r="J262" s="8">
        <f t="shared" si="13"/>
        <v>0</v>
      </c>
      <c r="K262" s="72">
        <f t="shared" si="14"/>
        <v>-695457.34406438621</v>
      </c>
    </row>
    <row r="263" spans="1:11" x14ac:dyDescent="0.25">
      <c r="A263" s="38">
        <f>Données!A260</f>
        <v>5860</v>
      </c>
      <c r="B263" s="172" t="str">
        <f>Données!B260</f>
        <v>Perroy</v>
      </c>
      <c r="C263" s="8">
        <f>Données!Z260</f>
        <v>1518</v>
      </c>
      <c r="D263" s="8">
        <f t="shared" si="16"/>
        <v>1000</v>
      </c>
      <c r="E263" s="227">
        <f t="shared" si="17"/>
        <v>518</v>
      </c>
      <c r="F263" s="8">
        <f t="shared" si="17"/>
        <v>0</v>
      </c>
      <c r="G263" s="227">
        <f t="shared" si="17"/>
        <v>0</v>
      </c>
      <c r="H263" s="31">
        <f t="shared" si="17"/>
        <v>0</v>
      </c>
      <c r="I263" s="8">
        <f t="shared" si="17"/>
        <v>0</v>
      </c>
      <c r="J263" s="8">
        <f t="shared" si="13"/>
        <v>0</v>
      </c>
      <c r="K263" s="72">
        <f t="shared" si="14"/>
        <v>-303834.80885311868</v>
      </c>
    </row>
    <row r="264" spans="1:11" x14ac:dyDescent="0.25">
      <c r="A264" s="38">
        <f>Données!A261</f>
        <v>5861</v>
      </c>
      <c r="B264" s="172" t="str">
        <f>Données!B261</f>
        <v>Rolle</v>
      </c>
      <c r="C264" s="8">
        <f>Données!Z261</f>
        <v>6259</v>
      </c>
      <c r="D264" s="8">
        <f t="shared" si="16"/>
        <v>1000</v>
      </c>
      <c r="E264" s="227">
        <f t="shared" si="17"/>
        <v>2000</v>
      </c>
      <c r="F264" s="8">
        <f t="shared" si="17"/>
        <v>2000</v>
      </c>
      <c r="G264" s="227">
        <f t="shared" si="17"/>
        <v>1259</v>
      </c>
      <c r="H264" s="31">
        <f t="shared" si="17"/>
        <v>0</v>
      </c>
      <c r="I264" s="8">
        <f t="shared" si="17"/>
        <v>0</v>
      </c>
      <c r="J264" s="8">
        <f t="shared" si="13"/>
        <v>0</v>
      </c>
      <c r="K264" s="72">
        <f t="shared" si="14"/>
        <v>-2559632.1931589535</v>
      </c>
    </row>
    <row r="265" spans="1:11" x14ac:dyDescent="0.25">
      <c r="A265" s="38">
        <f>Données!A262</f>
        <v>5862</v>
      </c>
      <c r="B265" s="172" t="str">
        <f>Données!B262</f>
        <v>Tartegnin</v>
      </c>
      <c r="C265" s="8">
        <f>Données!Z262</f>
        <v>236</v>
      </c>
      <c r="D265" s="8">
        <f t="shared" si="16"/>
        <v>236</v>
      </c>
      <c r="E265" s="227">
        <f t="shared" si="17"/>
        <v>0</v>
      </c>
      <c r="F265" s="8">
        <f t="shared" si="17"/>
        <v>0</v>
      </c>
      <c r="G265" s="227">
        <f t="shared" si="17"/>
        <v>0</v>
      </c>
      <c r="H265" s="31">
        <f t="shared" si="17"/>
        <v>0</v>
      </c>
      <c r="I265" s="8">
        <f t="shared" si="17"/>
        <v>0</v>
      </c>
      <c r="J265" s="8">
        <f t="shared" si="13"/>
        <v>0</v>
      </c>
      <c r="K265" s="72">
        <f t="shared" si="14"/>
        <v>-29262.575452716294</v>
      </c>
    </row>
    <row r="266" spans="1:11" x14ac:dyDescent="0.25">
      <c r="A266" s="38">
        <f>Données!A263</f>
        <v>5863</v>
      </c>
      <c r="B266" s="172" t="str">
        <f>Données!B263</f>
        <v>Vinzel</v>
      </c>
      <c r="C266" s="8">
        <f>Données!Z263</f>
        <v>385</v>
      </c>
      <c r="D266" s="8">
        <f t="shared" si="16"/>
        <v>385</v>
      </c>
      <c r="E266" s="227">
        <f t="shared" si="17"/>
        <v>0</v>
      </c>
      <c r="F266" s="8">
        <f t="shared" si="17"/>
        <v>0</v>
      </c>
      <c r="G266" s="227">
        <f t="shared" si="17"/>
        <v>0</v>
      </c>
      <c r="H266" s="31">
        <f t="shared" si="17"/>
        <v>0</v>
      </c>
      <c r="I266" s="8">
        <f t="shared" si="17"/>
        <v>0</v>
      </c>
      <c r="J266" s="8">
        <f t="shared" ref="J266:J308" si="18">IF(C266&gt;$J$5,C266-$J$5,0)</f>
        <v>0</v>
      </c>
      <c r="K266" s="72">
        <f t="shared" ref="K266:K308" si="19">-((D266*D$8)+(E266*E$8)+(F266*F$8)+(G266*G$8)+(H266*H$8)+(I266*I$8)+(J266*J$8))</f>
        <v>-47737.676056338023</v>
      </c>
    </row>
    <row r="267" spans="1:11" x14ac:dyDescent="0.25">
      <c r="A267" s="38">
        <f>Données!A264</f>
        <v>5871</v>
      </c>
      <c r="B267" s="172" t="str">
        <f>Données!B264</f>
        <v>L'Abbaye</v>
      </c>
      <c r="C267" s="8">
        <f>Données!Z264</f>
        <v>1473</v>
      </c>
      <c r="D267" s="8">
        <f t="shared" si="16"/>
        <v>1000</v>
      </c>
      <c r="E267" s="227">
        <f t="shared" si="17"/>
        <v>473</v>
      </c>
      <c r="F267" s="8">
        <f t="shared" si="17"/>
        <v>0</v>
      </c>
      <c r="G267" s="227">
        <f t="shared" si="17"/>
        <v>0</v>
      </c>
      <c r="H267" s="31">
        <f t="shared" si="17"/>
        <v>0</v>
      </c>
      <c r="I267" s="8">
        <f t="shared" si="17"/>
        <v>0</v>
      </c>
      <c r="J267" s="8">
        <f t="shared" si="18"/>
        <v>0</v>
      </c>
      <c r="K267" s="72">
        <f t="shared" si="19"/>
        <v>-288211.56941649894</v>
      </c>
    </row>
    <row r="268" spans="1:11" x14ac:dyDescent="0.25">
      <c r="A268" s="38">
        <f>Données!A265</f>
        <v>5872</v>
      </c>
      <c r="B268" s="172" t="str">
        <f>Données!B265</f>
        <v>Le Chenit</v>
      </c>
      <c r="C268" s="8">
        <f>Données!Z265</f>
        <v>4600</v>
      </c>
      <c r="D268" s="8">
        <f t="shared" si="16"/>
        <v>1000</v>
      </c>
      <c r="E268" s="227">
        <f t="shared" si="17"/>
        <v>2000</v>
      </c>
      <c r="F268" s="8">
        <f t="shared" si="17"/>
        <v>1600</v>
      </c>
      <c r="G268" s="227">
        <f t="shared" si="17"/>
        <v>0</v>
      </c>
      <c r="H268" s="31">
        <f t="shared" si="17"/>
        <v>0</v>
      </c>
      <c r="I268" s="8">
        <f t="shared" si="17"/>
        <v>0</v>
      </c>
      <c r="J268" s="8">
        <f t="shared" si="18"/>
        <v>0</v>
      </c>
      <c r="K268" s="72">
        <f t="shared" si="19"/>
        <v>-1611921.5291750501</v>
      </c>
    </row>
    <row r="269" spans="1:11" x14ac:dyDescent="0.25">
      <c r="A269" s="38">
        <f>Données!A266</f>
        <v>5873</v>
      </c>
      <c r="B269" s="172" t="str">
        <f>Données!B266</f>
        <v>Le Lieu</v>
      </c>
      <c r="C269" s="8">
        <f>Données!Z266</f>
        <v>888</v>
      </c>
      <c r="D269" s="8">
        <f t="shared" si="16"/>
        <v>888</v>
      </c>
      <c r="E269" s="227">
        <f t="shared" si="17"/>
        <v>0</v>
      </c>
      <c r="F269" s="8">
        <f t="shared" si="17"/>
        <v>0</v>
      </c>
      <c r="G269" s="227">
        <f t="shared" si="17"/>
        <v>0</v>
      </c>
      <c r="H269" s="31">
        <f t="shared" si="17"/>
        <v>0</v>
      </c>
      <c r="I269" s="8">
        <f t="shared" si="17"/>
        <v>0</v>
      </c>
      <c r="J269" s="8">
        <f t="shared" si="18"/>
        <v>0</v>
      </c>
      <c r="K269" s="72">
        <f t="shared" si="19"/>
        <v>-110106.63983903419</v>
      </c>
    </row>
    <row r="270" spans="1:11" x14ac:dyDescent="0.25">
      <c r="A270" s="38">
        <f>Données!A267</f>
        <v>5882</v>
      </c>
      <c r="B270" s="172" t="str">
        <f>Données!B267</f>
        <v>Chardonne</v>
      </c>
      <c r="C270" s="8">
        <f>Données!Z267</f>
        <v>3093</v>
      </c>
      <c r="D270" s="8">
        <f t="shared" si="16"/>
        <v>1000</v>
      </c>
      <c r="E270" s="227">
        <f t="shared" si="17"/>
        <v>2000</v>
      </c>
      <c r="F270" s="8">
        <f t="shared" si="17"/>
        <v>93</v>
      </c>
      <c r="G270" s="227">
        <f t="shared" si="17"/>
        <v>0</v>
      </c>
      <c r="H270" s="31">
        <f t="shared" si="17"/>
        <v>0</v>
      </c>
      <c r="I270" s="8">
        <f t="shared" si="17"/>
        <v>0</v>
      </c>
      <c r="J270" s="8">
        <f t="shared" si="18"/>
        <v>0</v>
      </c>
      <c r="K270" s="72">
        <f t="shared" si="19"/>
        <v>-864485.91549295769</v>
      </c>
    </row>
    <row r="271" spans="1:11" x14ac:dyDescent="0.25">
      <c r="A271" s="38">
        <f>Données!A268</f>
        <v>5883</v>
      </c>
      <c r="B271" s="172" t="str">
        <f>Données!B268</f>
        <v>Corseaux</v>
      </c>
      <c r="C271" s="8">
        <f>Données!Z268</f>
        <v>2311</v>
      </c>
      <c r="D271" s="8">
        <f t="shared" si="16"/>
        <v>1000</v>
      </c>
      <c r="E271" s="227">
        <f t="shared" si="17"/>
        <v>1311</v>
      </c>
      <c r="F271" s="8">
        <f t="shared" si="17"/>
        <v>0</v>
      </c>
      <c r="G271" s="227">
        <f t="shared" si="17"/>
        <v>0</v>
      </c>
      <c r="H271" s="31">
        <f t="shared" si="17"/>
        <v>0</v>
      </c>
      <c r="I271" s="8">
        <f t="shared" si="17"/>
        <v>0</v>
      </c>
      <c r="J271" s="8">
        <f t="shared" si="18"/>
        <v>0</v>
      </c>
      <c r="K271" s="72">
        <f t="shared" si="19"/>
        <v>-579151.00603621721</v>
      </c>
    </row>
    <row r="272" spans="1:11" x14ac:dyDescent="0.25">
      <c r="A272" s="38">
        <f>Données!A269</f>
        <v>5884</v>
      </c>
      <c r="B272" s="172" t="str">
        <f>Données!B269</f>
        <v>Corsier-sur-Vevey</v>
      </c>
      <c r="C272" s="8">
        <f>Données!Z269</f>
        <v>3420</v>
      </c>
      <c r="D272" s="8">
        <f t="shared" si="16"/>
        <v>1000</v>
      </c>
      <c r="E272" s="227">
        <f t="shared" si="17"/>
        <v>2000</v>
      </c>
      <c r="F272" s="8">
        <f t="shared" si="17"/>
        <v>420</v>
      </c>
      <c r="G272" s="227">
        <f t="shared" si="17"/>
        <v>0</v>
      </c>
      <c r="H272" s="31">
        <f t="shared" si="17"/>
        <v>0</v>
      </c>
      <c r="I272" s="8">
        <f t="shared" si="17"/>
        <v>0</v>
      </c>
      <c r="J272" s="8">
        <f t="shared" si="18"/>
        <v>0</v>
      </c>
      <c r="K272" s="72">
        <f t="shared" si="19"/>
        <v>-1026670.0201207242</v>
      </c>
    </row>
    <row r="273" spans="1:11" x14ac:dyDescent="0.25">
      <c r="A273" s="38">
        <f>Données!A270</f>
        <v>5885</v>
      </c>
      <c r="B273" s="172" t="str">
        <f>Données!B270</f>
        <v>Jongny</v>
      </c>
      <c r="C273" s="8">
        <f>Données!Z270</f>
        <v>1670</v>
      </c>
      <c r="D273" s="8">
        <f t="shared" si="16"/>
        <v>1000</v>
      </c>
      <c r="E273" s="227">
        <f t="shared" si="17"/>
        <v>670</v>
      </c>
      <c r="F273" s="8">
        <f t="shared" si="17"/>
        <v>0</v>
      </c>
      <c r="G273" s="227">
        <f t="shared" si="17"/>
        <v>0</v>
      </c>
      <c r="H273" s="31">
        <f t="shared" si="17"/>
        <v>0</v>
      </c>
      <c r="I273" s="8">
        <f t="shared" si="17"/>
        <v>0</v>
      </c>
      <c r="J273" s="8">
        <f t="shared" si="18"/>
        <v>0</v>
      </c>
      <c r="K273" s="72">
        <f t="shared" si="19"/>
        <v>-356606.63983903418</v>
      </c>
    </row>
    <row r="274" spans="1:11" x14ac:dyDescent="0.25">
      <c r="A274" s="38">
        <f>Données!A271</f>
        <v>5886</v>
      </c>
      <c r="B274" s="172" t="str">
        <f>Données!B271</f>
        <v>Montreux</v>
      </c>
      <c r="C274" s="8">
        <f>Données!Z271</f>
        <v>26180</v>
      </c>
      <c r="D274" s="8">
        <f t="shared" si="16"/>
        <v>1000</v>
      </c>
      <c r="E274" s="227">
        <f t="shared" si="17"/>
        <v>2000</v>
      </c>
      <c r="F274" s="8">
        <f t="shared" si="17"/>
        <v>2000</v>
      </c>
      <c r="G274" s="227">
        <f t="shared" si="17"/>
        <v>4000</v>
      </c>
      <c r="H274" s="31">
        <f t="shared" si="17"/>
        <v>3000</v>
      </c>
      <c r="I274" s="8">
        <f t="shared" si="17"/>
        <v>3000</v>
      </c>
      <c r="J274" s="8">
        <f t="shared" si="18"/>
        <v>11180</v>
      </c>
      <c r="K274" s="72">
        <f t="shared" si="19"/>
        <v>-21340849.094567403</v>
      </c>
    </row>
    <row r="275" spans="1:11" x14ac:dyDescent="0.25">
      <c r="A275" s="38">
        <f>Données!A272</f>
        <v>5889</v>
      </c>
      <c r="B275" s="172" t="str">
        <f>Données!B272</f>
        <v>La Tour-de-Peilz</v>
      </c>
      <c r="C275" s="8">
        <f>Données!Z272</f>
        <v>12088</v>
      </c>
      <c r="D275" s="8">
        <f t="shared" si="16"/>
        <v>1000</v>
      </c>
      <c r="E275" s="227">
        <f t="shared" si="17"/>
        <v>2000</v>
      </c>
      <c r="F275" s="8">
        <f t="shared" si="17"/>
        <v>2000</v>
      </c>
      <c r="G275" s="227">
        <f t="shared" si="17"/>
        <v>4000</v>
      </c>
      <c r="H275" s="31">
        <f t="shared" si="17"/>
        <v>3000</v>
      </c>
      <c r="I275" s="8">
        <f t="shared" si="17"/>
        <v>88</v>
      </c>
      <c r="J275" s="8">
        <f t="shared" si="18"/>
        <v>0</v>
      </c>
      <c r="K275" s="72">
        <f t="shared" si="19"/>
        <v>-6807764.5875251498</v>
      </c>
    </row>
    <row r="276" spans="1:11" x14ac:dyDescent="0.25">
      <c r="A276" s="38">
        <f>Données!A273</f>
        <v>5890</v>
      </c>
      <c r="B276" s="172" t="str">
        <f>Données!B273</f>
        <v>Vevey</v>
      </c>
      <c r="C276" s="8">
        <f>Données!Z273</f>
        <v>19780</v>
      </c>
      <c r="D276" s="8">
        <f t="shared" si="16"/>
        <v>1000</v>
      </c>
      <c r="E276" s="227">
        <f t="shared" si="17"/>
        <v>2000</v>
      </c>
      <c r="F276" s="8">
        <f t="shared" si="17"/>
        <v>2000</v>
      </c>
      <c r="G276" s="227">
        <f t="shared" si="17"/>
        <v>4000</v>
      </c>
      <c r="H276" s="31">
        <f t="shared" si="17"/>
        <v>3000</v>
      </c>
      <c r="I276" s="8">
        <f t="shared" si="17"/>
        <v>3000</v>
      </c>
      <c r="J276" s="8">
        <f t="shared" si="18"/>
        <v>4780</v>
      </c>
      <c r="K276" s="72">
        <f t="shared" si="19"/>
        <v>-14674933.601609655</v>
      </c>
    </row>
    <row r="277" spans="1:11" x14ac:dyDescent="0.25">
      <c r="A277" s="38">
        <f>Données!A274</f>
        <v>5891</v>
      </c>
      <c r="B277" s="172" t="str">
        <f>Données!B274</f>
        <v>Veytaux</v>
      </c>
      <c r="C277" s="8">
        <f>Données!Z274</f>
        <v>956</v>
      </c>
      <c r="D277" s="8">
        <f t="shared" si="16"/>
        <v>956</v>
      </c>
      <c r="E277" s="227">
        <f t="shared" si="17"/>
        <v>0</v>
      </c>
      <c r="F277" s="8">
        <f t="shared" si="17"/>
        <v>0</v>
      </c>
      <c r="G277" s="227">
        <f t="shared" si="17"/>
        <v>0</v>
      </c>
      <c r="H277" s="31">
        <f t="shared" si="17"/>
        <v>0</v>
      </c>
      <c r="I277" s="8">
        <f t="shared" si="17"/>
        <v>0</v>
      </c>
      <c r="J277" s="8">
        <f t="shared" si="18"/>
        <v>0</v>
      </c>
      <c r="K277" s="72">
        <f t="shared" si="19"/>
        <v>-118538.22937625753</v>
      </c>
    </row>
    <row r="278" spans="1:11" x14ac:dyDescent="0.25">
      <c r="A278" s="38">
        <f>Données!A275</f>
        <v>5892</v>
      </c>
      <c r="B278" s="172" t="str">
        <f>Données!B275</f>
        <v>Blonay-Saint-Légier</v>
      </c>
      <c r="C278" s="8">
        <f>Données!Z275</f>
        <v>11737</v>
      </c>
      <c r="D278" s="8">
        <f t="shared" si="16"/>
        <v>1000</v>
      </c>
      <c r="E278" s="227">
        <f t="shared" si="17"/>
        <v>2000</v>
      </c>
      <c r="F278" s="8">
        <f t="shared" si="17"/>
        <v>2000</v>
      </c>
      <c r="G278" s="227">
        <f t="shared" si="17"/>
        <v>4000</v>
      </c>
      <c r="H278" s="31">
        <f t="shared" si="17"/>
        <v>2737</v>
      </c>
      <c r="I278" s="8">
        <f t="shared" si="17"/>
        <v>0</v>
      </c>
      <c r="J278" s="8">
        <f t="shared" si="18"/>
        <v>0</v>
      </c>
      <c r="K278" s="72">
        <f t="shared" si="19"/>
        <v>-6498722.0321931578</v>
      </c>
    </row>
    <row r="279" spans="1:11" x14ac:dyDescent="0.25">
      <c r="A279" s="38">
        <f>Données!A276</f>
        <v>5902</v>
      </c>
      <c r="B279" s="172" t="str">
        <f>Données!B276</f>
        <v>Belmont-sur-Yverdon</v>
      </c>
      <c r="C279" s="8">
        <f>Données!Z276</f>
        <v>396</v>
      </c>
      <c r="D279" s="8">
        <f t="shared" si="16"/>
        <v>396</v>
      </c>
      <c r="E279" s="227">
        <f t="shared" si="17"/>
        <v>0</v>
      </c>
      <c r="F279" s="8">
        <f t="shared" si="17"/>
        <v>0</v>
      </c>
      <c r="G279" s="227">
        <f t="shared" si="17"/>
        <v>0</v>
      </c>
      <c r="H279" s="31">
        <f t="shared" si="17"/>
        <v>0</v>
      </c>
      <c r="I279" s="8">
        <f t="shared" si="17"/>
        <v>0</v>
      </c>
      <c r="J279" s="8">
        <f t="shared" si="18"/>
        <v>0</v>
      </c>
      <c r="K279" s="72">
        <f t="shared" si="19"/>
        <v>-49101.60965794768</v>
      </c>
    </row>
    <row r="280" spans="1:11" x14ac:dyDescent="0.25">
      <c r="A280" s="38">
        <f>Données!A277</f>
        <v>5903</v>
      </c>
      <c r="B280" s="172" t="str">
        <f>Données!B277</f>
        <v>Bioley-Magnoux</v>
      </c>
      <c r="C280" s="8">
        <f>Données!Z277</f>
        <v>230</v>
      </c>
      <c r="D280" s="8">
        <f t="shared" si="16"/>
        <v>230</v>
      </c>
      <c r="E280" s="227">
        <f t="shared" si="17"/>
        <v>0</v>
      </c>
      <c r="F280" s="8">
        <f t="shared" si="17"/>
        <v>0</v>
      </c>
      <c r="G280" s="227">
        <f t="shared" si="17"/>
        <v>0</v>
      </c>
      <c r="H280" s="31">
        <f t="shared" si="17"/>
        <v>0</v>
      </c>
      <c r="I280" s="8">
        <f t="shared" si="17"/>
        <v>0</v>
      </c>
      <c r="J280" s="8">
        <f t="shared" si="18"/>
        <v>0</v>
      </c>
      <c r="K280" s="72">
        <f t="shared" si="19"/>
        <v>-28518.611670020116</v>
      </c>
    </row>
    <row r="281" spans="1:11" x14ac:dyDescent="0.25">
      <c r="A281" s="38">
        <f>Données!A278</f>
        <v>5904</v>
      </c>
      <c r="B281" s="172" t="str">
        <f>Données!B278</f>
        <v>Chamblon</v>
      </c>
      <c r="C281" s="8">
        <f>Données!Z278</f>
        <v>559</v>
      </c>
      <c r="D281" s="8">
        <f t="shared" si="16"/>
        <v>559</v>
      </c>
      <c r="E281" s="227">
        <f t="shared" si="17"/>
        <v>0</v>
      </c>
      <c r="F281" s="8">
        <f t="shared" si="17"/>
        <v>0</v>
      </c>
      <c r="G281" s="227">
        <f t="shared" si="17"/>
        <v>0</v>
      </c>
      <c r="H281" s="31">
        <f t="shared" si="17"/>
        <v>0</v>
      </c>
      <c r="I281" s="8">
        <f t="shared" si="17"/>
        <v>0</v>
      </c>
      <c r="J281" s="8">
        <f t="shared" si="18"/>
        <v>0</v>
      </c>
      <c r="K281" s="72">
        <f t="shared" si="19"/>
        <v>-69312.625754527151</v>
      </c>
    </row>
    <row r="282" spans="1:11" x14ac:dyDescent="0.25">
      <c r="A282" s="38">
        <f>Données!A279</f>
        <v>5905</v>
      </c>
      <c r="B282" s="172" t="str">
        <f>Données!B279</f>
        <v>Champvent</v>
      </c>
      <c r="C282" s="8">
        <f>Données!Z279</f>
        <v>696</v>
      </c>
      <c r="D282" s="8">
        <f t="shared" si="16"/>
        <v>696</v>
      </c>
      <c r="E282" s="227">
        <f t="shared" si="17"/>
        <v>0</v>
      </c>
      <c r="F282" s="8">
        <f t="shared" si="17"/>
        <v>0</v>
      </c>
      <c r="G282" s="227">
        <f t="shared" si="17"/>
        <v>0</v>
      </c>
      <c r="H282" s="31">
        <f t="shared" si="17"/>
        <v>0</v>
      </c>
      <c r="I282" s="8">
        <f t="shared" si="17"/>
        <v>0</v>
      </c>
      <c r="J282" s="8">
        <f t="shared" si="18"/>
        <v>0</v>
      </c>
      <c r="K282" s="72">
        <f t="shared" si="19"/>
        <v>-86299.798792756526</v>
      </c>
    </row>
    <row r="283" spans="1:11" x14ac:dyDescent="0.25">
      <c r="A283" s="38">
        <f>Données!A280</f>
        <v>5907</v>
      </c>
      <c r="B283" s="172" t="str">
        <f>Données!B280</f>
        <v>Chavannes-le-Chêne</v>
      </c>
      <c r="C283" s="8">
        <f>Données!Z280</f>
        <v>324</v>
      </c>
      <c r="D283" s="8">
        <f t="shared" si="16"/>
        <v>324</v>
      </c>
      <c r="E283" s="227">
        <f t="shared" si="17"/>
        <v>0</v>
      </c>
      <c r="F283" s="8">
        <f t="shared" si="17"/>
        <v>0</v>
      </c>
      <c r="G283" s="227">
        <f t="shared" si="17"/>
        <v>0</v>
      </c>
      <c r="H283" s="31">
        <f t="shared" si="17"/>
        <v>0</v>
      </c>
      <c r="I283" s="8">
        <f t="shared" si="17"/>
        <v>0</v>
      </c>
      <c r="J283" s="8">
        <f t="shared" si="18"/>
        <v>0</v>
      </c>
      <c r="K283" s="72">
        <f t="shared" si="19"/>
        <v>-40174.044265593555</v>
      </c>
    </row>
    <row r="284" spans="1:11" x14ac:dyDescent="0.25">
      <c r="A284" s="38">
        <f>Données!A281</f>
        <v>5908</v>
      </c>
      <c r="B284" s="172" t="str">
        <f>Données!B281</f>
        <v>Chêne-Pâquier</v>
      </c>
      <c r="C284" s="8">
        <f>Données!Z281</f>
        <v>144</v>
      </c>
      <c r="D284" s="8">
        <f t="shared" si="16"/>
        <v>144</v>
      </c>
      <c r="E284" s="227">
        <f t="shared" si="17"/>
        <v>0</v>
      </c>
      <c r="F284" s="8">
        <f t="shared" si="17"/>
        <v>0</v>
      </c>
      <c r="G284" s="227">
        <f t="shared" si="17"/>
        <v>0</v>
      </c>
      <c r="H284" s="31">
        <f t="shared" si="17"/>
        <v>0</v>
      </c>
      <c r="I284" s="8">
        <f t="shared" si="17"/>
        <v>0</v>
      </c>
      <c r="J284" s="8">
        <f t="shared" si="18"/>
        <v>0</v>
      </c>
      <c r="K284" s="72">
        <f t="shared" si="19"/>
        <v>-17855.130784708246</v>
      </c>
    </row>
    <row r="285" spans="1:11" x14ac:dyDescent="0.25">
      <c r="A285" s="38">
        <f>Données!A282</f>
        <v>5909</v>
      </c>
      <c r="B285" s="172" t="str">
        <f>Données!B282</f>
        <v>Cheseaux-Noréaz</v>
      </c>
      <c r="C285" s="8">
        <f>Données!Z282</f>
        <v>741</v>
      </c>
      <c r="D285" s="8">
        <f t="shared" si="16"/>
        <v>741</v>
      </c>
      <c r="E285" s="227">
        <f t="shared" si="17"/>
        <v>0</v>
      </c>
      <c r="F285" s="8">
        <f t="shared" si="17"/>
        <v>0</v>
      </c>
      <c r="G285" s="227">
        <f t="shared" si="17"/>
        <v>0</v>
      </c>
      <c r="H285" s="31">
        <f t="shared" si="17"/>
        <v>0</v>
      </c>
      <c r="I285" s="8">
        <f t="shared" si="17"/>
        <v>0</v>
      </c>
      <c r="J285" s="8">
        <f t="shared" si="18"/>
        <v>0</v>
      </c>
      <c r="K285" s="72">
        <f t="shared" si="19"/>
        <v>-91879.527162977858</v>
      </c>
    </row>
    <row r="286" spans="1:11" x14ac:dyDescent="0.25">
      <c r="A286" s="38">
        <f>Données!A283</f>
        <v>5910</v>
      </c>
      <c r="B286" s="172" t="str">
        <f>Données!B283</f>
        <v>Cronay</v>
      </c>
      <c r="C286" s="8">
        <f>Données!Z283</f>
        <v>393</v>
      </c>
      <c r="D286" s="8">
        <f t="shared" si="16"/>
        <v>393</v>
      </c>
      <c r="E286" s="227">
        <f t="shared" si="17"/>
        <v>0</v>
      </c>
      <c r="F286" s="8">
        <f t="shared" si="17"/>
        <v>0</v>
      </c>
      <c r="G286" s="227">
        <f t="shared" si="17"/>
        <v>0</v>
      </c>
      <c r="H286" s="31">
        <f t="shared" si="17"/>
        <v>0</v>
      </c>
      <c r="I286" s="8">
        <f t="shared" si="17"/>
        <v>0</v>
      </c>
      <c r="J286" s="8">
        <f t="shared" si="18"/>
        <v>0</v>
      </c>
      <c r="K286" s="72">
        <f t="shared" si="19"/>
        <v>-48729.627766599588</v>
      </c>
    </row>
    <row r="287" spans="1:11" x14ac:dyDescent="0.25">
      <c r="A287" s="38">
        <f>Données!A284</f>
        <v>5911</v>
      </c>
      <c r="B287" s="172" t="str">
        <f>Données!B284</f>
        <v>Cuarny</v>
      </c>
      <c r="C287" s="8">
        <f>Données!Z284</f>
        <v>234</v>
      </c>
      <c r="D287" s="8">
        <f t="shared" si="16"/>
        <v>234</v>
      </c>
      <c r="E287" s="227">
        <f t="shared" si="17"/>
        <v>0</v>
      </c>
      <c r="F287" s="8">
        <f t="shared" si="17"/>
        <v>0</v>
      </c>
      <c r="G287" s="227">
        <f t="shared" si="17"/>
        <v>0</v>
      </c>
      <c r="H287" s="31">
        <f t="shared" si="17"/>
        <v>0</v>
      </c>
      <c r="I287" s="8">
        <f t="shared" si="17"/>
        <v>0</v>
      </c>
      <c r="J287" s="8">
        <f t="shared" si="18"/>
        <v>0</v>
      </c>
      <c r="K287" s="72">
        <f t="shared" si="19"/>
        <v>-29014.587525150899</v>
      </c>
    </row>
    <row r="288" spans="1:11" x14ac:dyDescent="0.25">
      <c r="A288" s="38">
        <f>Données!A285</f>
        <v>5912</v>
      </c>
      <c r="B288" s="172" t="str">
        <f>Données!B285</f>
        <v>Démoret</v>
      </c>
      <c r="C288" s="8">
        <f>Données!Z285</f>
        <v>158</v>
      </c>
      <c r="D288" s="8">
        <f t="shared" si="16"/>
        <v>158</v>
      </c>
      <c r="E288" s="227">
        <f t="shared" si="17"/>
        <v>0</v>
      </c>
      <c r="F288" s="8">
        <f t="shared" si="17"/>
        <v>0</v>
      </c>
      <c r="G288" s="227">
        <f t="shared" si="17"/>
        <v>0</v>
      </c>
      <c r="H288" s="31">
        <f t="shared" si="17"/>
        <v>0</v>
      </c>
      <c r="I288" s="8">
        <f t="shared" si="17"/>
        <v>0</v>
      </c>
      <c r="J288" s="8">
        <f t="shared" si="18"/>
        <v>0</v>
      </c>
      <c r="K288" s="72">
        <f t="shared" si="19"/>
        <v>-19591.046277665992</v>
      </c>
    </row>
    <row r="289" spans="1:11" x14ac:dyDescent="0.25">
      <c r="A289" s="38">
        <f>Données!A286</f>
        <v>5913</v>
      </c>
      <c r="B289" s="172" t="str">
        <f>Données!B286</f>
        <v>Donneloye</v>
      </c>
      <c r="C289" s="8">
        <f>Données!Z286</f>
        <v>829</v>
      </c>
      <c r="D289" s="8">
        <f t="shared" si="16"/>
        <v>829</v>
      </c>
      <c r="E289" s="227">
        <f t="shared" si="17"/>
        <v>0</v>
      </c>
      <c r="F289" s="8">
        <f t="shared" si="17"/>
        <v>0</v>
      </c>
      <c r="G289" s="227">
        <f t="shared" si="17"/>
        <v>0</v>
      </c>
      <c r="H289" s="31">
        <f t="shared" si="17"/>
        <v>0</v>
      </c>
      <c r="I289" s="8">
        <f t="shared" si="17"/>
        <v>0</v>
      </c>
      <c r="J289" s="8">
        <f t="shared" si="18"/>
        <v>0</v>
      </c>
      <c r="K289" s="72">
        <f t="shared" si="19"/>
        <v>-102790.99597585511</v>
      </c>
    </row>
    <row r="290" spans="1:11" x14ac:dyDescent="0.25">
      <c r="A290" s="38">
        <f>Données!A287</f>
        <v>5914</v>
      </c>
      <c r="B290" s="172" t="str">
        <f>Données!B287</f>
        <v>Ependes</v>
      </c>
      <c r="C290" s="8">
        <f>Données!Z287</f>
        <v>388</v>
      </c>
      <c r="D290" s="8">
        <f t="shared" si="16"/>
        <v>388</v>
      </c>
      <c r="E290" s="227">
        <f t="shared" si="17"/>
        <v>0</v>
      </c>
      <c r="F290" s="8">
        <f t="shared" si="17"/>
        <v>0</v>
      </c>
      <c r="G290" s="227">
        <f t="shared" si="17"/>
        <v>0</v>
      </c>
      <c r="H290" s="31">
        <f t="shared" si="17"/>
        <v>0</v>
      </c>
      <c r="I290" s="8">
        <f t="shared" si="17"/>
        <v>0</v>
      </c>
      <c r="J290" s="8">
        <f t="shared" si="18"/>
        <v>0</v>
      </c>
      <c r="K290" s="72">
        <f t="shared" si="19"/>
        <v>-48109.657947686108</v>
      </c>
    </row>
    <row r="291" spans="1:11" x14ac:dyDescent="0.25">
      <c r="A291" s="38">
        <f>Données!A288</f>
        <v>5919</v>
      </c>
      <c r="B291" s="172" t="str">
        <f>Données!B288</f>
        <v>Mathod</v>
      </c>
      <c r="C291" s="8">
        <f>Données!Z288</f>
        <v>651</v>
      </c>
      <c r="D291" s="8">
        <f t="shared" si="16"/>
        <v>651</v>
      </c>
      <c r="E291" s="227">
        <f t="shared" si="17"/>
        <v>0</v>
      </c>
      <c r="F291" s="8">
        <f t="shared" si="17"/>
        <v>0</v>
      </c>
      <c r="G291" s="227">
        <f t="shared" si="17"/>
        <v>0</v>
      </c>
      <c r="H291" s="31">
        <f t="shared" si="17"/>
        <v>0</v>
      </c>
      <c r="I291" s="8">
        <f t="shared" si="17"/>
        <v>0</v>
      </c>
      <c r="J291" s="8">
        <f t="shared" si="18"/>
        <v>0</v>
      </c>
      <c r="K291" s="72">
        <f t="shared" si="19"/>
        <v>-80720.070422535195</v>
      </c>
    </row>
    <row r="292" spans="1:11" x14ac:dyDescent="0.25">
      <c r="A292" s="38">
        <f>Données!A289</f>
        <v>5921</v>
      </c>
      <c r="B292" s="172" t="str">
        <f>Données!B289</f>
        <v>Molondin</v>
      </c>
      <c r="C292" s="8">
        <f>Données!Z289</f>
        <v>252</v>
      </c>
      <c r="D292" s="8">
        <f t="shared" si="16"/>
        <v>252</v>
      </c>
      <c r="E292" s="227">
        <f t="shared" si="17"/>
        <v>0</v>
      </c>
      <c r="F292" s="8">
        <f t="shared" si="17"/>
        <v>0</v>
      </c>
      <c r="G292" s="227">
        <f t="shared" si="17"/>
        <v>0</v>
      </c>
      <c r="H292" s="31">
        <f t="shared" si="17"/>
        <v>0</v>
      </c>
      <c r="I292" s="8">
        <f t="shared" si="17"/>
        <v>0</v>
      </c>
      <c r="J292" s="8">
        <f t="shared" si="18"/>
        <v>0</v>
      </c>
      <c r="K292" s="72">
        <f t="shared" si="19"/>
        <v>-31246.47887323943</v>
      </c>
    </row>
    <row r="293" spans="1:11" x14ac:dyDescent="0.25">
      <c r="A293" s="38">
        <f>Données!A290</f>
        <v>5922</v>
      </c>
      <c r="B293" s="172" t="str">
        <f>Données!B290</f>
        <v>Montagny-près-Yverdon</v>
      </c>
      <c r="C293" s="8">
        <f>Données!Z290</f>
        <v>737</v>
      </c>
      <c r="D293" s="8">
        <f t="shared" si="16"/>
        <v>737</v>
      </c>
      <c r="E293" s="227">
        <f t="shared" si="17"/>
        <v>0</v>
      </c>
      <c r="F293" s="8">
        <f t="shared" si="17"/>
        <v>0</v>
      </c>
      <c r="G293" s="227">
        <f t="shared" si="17"/>
        <v>0</v>
      </c>
      <c r="H293" s="31">
        <f t="shared" si="17"/>
        <v>0</v>
      </c>
      <c r="I293" s="8">
        <f t="shared" si="17"/>
        <v>0</v>
      </c>
      <c r="J293" s="8">
        <f t="shared" si="18"/>
        <v>0</v>
      </c>
      <c r="K293" s="72">
        <f t="shared" si="19"/>
        <v>-91383.551307847069</v>
      </c>
    </row>
    <row r="294" spans="1:11" x14ac:dyDescent="0.25">
      <c r="A294" s="38">
        <f>Données!A291</f>
        <v>5923</v>
      </c>
      <c r="B294" s="172" t="str">
        <f>Données!B291</f>
        <v>Oppens</v>
      </c>
      <c r="C294" s="8">
        <f>Données!Z291</f>
        <v>201</v>
      </c>
      <c r="D294" s="8">
        <f t="shared" si="16"/>
        <v>201</v>
      </c>
      <c r="E294" s="227">
        <f t="shared" si="17"/>
        <v>0</v>
      </c>
      <c r="F294" s="8">
        <f t="shared" si="17"/>
        <v>0</v>
      </c>
      <c r="G294" s="227">
        <f t="shared" si="17"/>
        <v>0</v>
      </c>
      <c r="H294" s="31">
        <f t="shared" si="17"/>
        <v>0</v>
      </c>
      <c r="I294" s="8">
        <f t="shared" si="17"/>
        <v>0</v>
      </c>
      <c r="J294" s="8">
        <f t="shared" si="18"/>
        <v>0</v>
      </c>
      <c r="K294" s="72">
        <f t="shared" si="19"/>
        <v>-24922.786720321928</v>
      </c>
    </row>
    <row r="295" spans="1:11" x14ac:dyDescent="0.25">
      <c r="A295" s="38">
        <f>Données!A292</f>
        <v>5924</v>
      </c>
      <c r="B295" s="172" t="str">
        <f>Données!B292</f>
        <v>Orges</v>
      </c>
      <c r="C295" s="8">
        <f>Données!Z292</f>
        <v>343</v>
      </c>
      <c r="D295" s="8">
        <f t="shared" si="16"/>
        <v>343</v>
      </c>
      <c r="E295" s="227">
        <f t="shared" si="17"/>
        <v>0</v>
      </c>
      <c r="F295" s="8">
        <f t="shared" si="17"/>
        <v>0</v>
      </c>
      <c r="G295" s="227">
        <f t="shared" si="17"/>
        <v>0</v>
      </c>
      <c r="H295" s="31">
        <f t="shared" si="17"/>
        <v>0</v>
      </c>
      <c r="I295" s="8">
        <f t="shared" si="17"/>
        <v>0</v>
      </c>
      <c r="J295" s="8">
        <f t="shared" si="18"/>
        <v>0</v>
      </c>
      <c r="K295" s="72">
        <f t="shared" si="19"/>
        <v>-42529.929577464784</v>
      </c>
    </row>
    <row r="296" spans="1:11" x14ac:dyDescent="0.25">
      <c r="A296" s="38">
        <f>Données!A293</f>
        <v>5925</v>
      </c>
      <c r="B296" s="172" t="str">
        <f>Données!B293</f>
        <v>Orzens</v>
      </c>
      <c r="C296" s="8">
        <f>Données!Z293</f>
        <v>201</v>
      </c>
      <c r="D296" s="8">
        <f t="shared" si="16"/>
        <v>201</v>
      </c>
      <c r="E296" s="227">
        <f t="shared" si="17"/>
        <v>0</v>
      </c>
      <c r="F296" s="8">
        <f t="shared" si="17"/>
        <v>0</v>
      </c>
      <c r="G296" s="227">
        <f t="shared" si="17"/>
        <v>0</v>
      </c>
      <c r="H296" s="31">
        <f t="shared" si="17"/>
        <v>0</v>
      </c>
      <c r="I296" s="8">
        <f t="shared" si="17"/>
        <v>0</v>
      </c>
      <c r="J296" s="8">
        <f t="shared" si="18"/>
        <v>0</v>
      </c>
      <c r="K296" s="72">
        <f t="shared" si="19"/>
        <v>-24922.786720321928</v>
      </c>
    </row>
    <row r="297" spans="1:11" x14ac:dyDescent="0.25">
      <c r="A297" s="38">
        <f>Données!A294</f>
        <v>5926</v>
      </c>
      <c r="B297" s="172" t="str">
        <f>Données!B294</f>
        <v>Pomy</v>
      </c>
      <c r="C297" s="8">
        <f>Données!Z294</f>
        <v>803</v>
      </c>
      <c r="D297" s="8">
        <f t="shared" si="16"/>
        <v>803</v>
      </c>
      <c r="E297" s="227">
        <f t="shared" si="17"/>
        <v>0</v>
      </c>
      <c r="F297" s="8">
        <f t="shared" si="17"/>
        <v>0</v>
      </c>
      <c r="G297" s="227">
        <f t="shared" si="17"/>
        <v>0</v>
      </c>
      <c r="H297" s="31">
        <f t="shared" si="17"/>
        <v>0</v>
      </c>
      <c r="I297" s="8">
        <f t="shared" si="17"/>
        <v>0</v>
      </c>
      <c r="J297" s="8">
        <f t="shared" si="18"/>
        <v>0</v>
      </c>
      <c r="K297" s="72">
        <f t="shared" si="19"/>
        <v>-99567.152917505009</v>
      </c>
    </row>
    <row r="298" spans="1:11" x14ac:dyDescent="0.25">
      <c r="A298" s="38">
        <f>Données!A295</f>
        <v>5928</v>
      </c>
      <c r="B298" s="172" t="str">
        <f>Données!B295</f>
        <v>Rovray</v>
      </c>
      <c r="C298" s="8">
        <f>Données!Z295</f>
        <v>204</v>
      </c>
      <c r="D298" s="8">
        <f t="shared" si="16"/>
        <v>204</v>
      </c>
      <c r="E298" s="227">
        <f t="shared" si="17"/>
        <v>0</v>
      </c>
      <c r="F298" s="8">
        <f t="shared" si="17"/>
        <v>0</v>
      </c>
      <c r="G298" s="227">
        <f t="shared" si="17"/>
        <v>0</v>
      </c>
      <c r="H298" s="31">
        <f t="shared" si="17"/>
        <v>0</v>
      </c>
      <c r="I298" s="8">
        <f t="shared" si="17"/>
        <v>0</v>
      </c>
      <c r="J298" s="8">
        <f t="shared" si="18"/>
        <v>0</v>
      </c>
      <c r="K298" s="72">
        <f t="shared" si="19"/>
        <v>-25294.768611670017</v>
      </c>
    </row>
    <row r="299" spans="1:11" x14ac:dyDescent="0.25">
      <c r="A299" s="38">
        <f>Données!A296</f>
        <v>5929</v>
      </c>
      <c r="B299" s="172" t="str">
        <f>Données!B296</f>
        <v>Suchy</v>
      </c>
      <c r="C299" s="8">
        <f>Données!Z296</f>
        <v>656</v>
      </c>
      <c r="D299" s="8">
        <f t="shared" si="16"/>
        <v>656</v>
      </c>
      <c r="E299" s="227">
        <f t="shared" si="17"/>
        <v>0</v>
      </c>
      <c r="F299" s="8">
        <f t="shared" si="17"/>
        <v>0</v>
      </c>
      <c r="G299" s="227">
        <f t="shared" si="17"/>
        <v>0</v>
      </c>
      <c r="H299" s="31">
        <f t="shared" si="17"/>
        <v>0</v>
      </c>
      <c r="I299" s="8">
        <f t="shared" si="17"/>
        <v>0</v>
      </c>
      <c r="J299" s="8">
        <f t="shared" si="18"/>
        <v>0</v>
      </c>
      <c r="K299" s="72">
        <f t="shared" si="19"/>
        <v>-81340.040241448674</v>
      </c>
    </row>
    <row r="300" spans="1:11" x14ac:dyDescent="0.25">
      <c r="A300" s="38">
        <f>Données!A297</f>
        <v>5930</v>
      </c>
      <c r="B300" s="172" t="str">
        <f>Données!B297</f>
        <v>Suscévaz</v>
      </c>
      <c r="C300" s="8">
        <f>Données!Z297</f>
        <v>204</v>
      </c>
      <c r="D300" s="8">
        <f t="shared" ref="D300:D308" si="20">IF($C300&gt;D$5,IF($C300&lt;D$6,$C300-D$5,D$6-D$5),0)</f>
        <v>204</v>
      </c>
      <c r="E300" s="227">
        <f t="shared" si="17"/>
        <v>0</v>
      </c>
      <c r="F300" s="8">
        <f t="shared" si="17"/>
        <v>0</v>
      </c>
      <c r="G300" s="227">
        <f t="shared" si="17"/>
        <v>0</v>
      </c>
      <c r="H300" s="31">
        <f t="shared" si="17"/>
        <v>0</v>
      </c>
      <c r="I300" s="8">
        <f t="shared" si="17"/>
        <v>0</v>
      </c>
      <c r="J300" s="8">
        <f t="shared" si="18"/>
        <v>0</v>
      </c>
      <c r="K300" s="72">
        <f t="shared" si="19"/>
        <v>-25294.768611670017</v>
      </c>
    </row>
    <row r="301" spans="1:11" x14ac:dyDescent="0.25">
      <c r="A301" s="38">
        <f>Données!A298</f>
        <v>5931</v>
      </c>
      <c r="B301" s="172" t="str">
        <f>Données!B298</f>
        <v>Treycovagnes</v>
      </c>
      <c r="C301" s="8">
        <f>Données!Z298</f>
        <v>485</v>
      </c>
      <c r="D301" s="8">
        <f t="shared" si="20"/>
        <v>485</v>
      </c>
      <c r="E301" s="227">
        <f t="shared" si="17"/>
        <v>0</v>
      </c>
      <c r="F301" s="8">
        <f t="shared" si="17"/>
        <v>0</v>
      </c>
      <c r="G301" s="227">
        <f t="shared" si="17"/>
        <v>0</v>
      </c>
      <c r="H301" s="31">
        <f t="shared" si="17"/>
        <v>0</v>
      </c>
      <c r="I301" s="8">
        <f t="shared" si="17"/>
        <v>0</v>
      </c>
      <c r="J301" s="8">
        <f t="shared" si="18"/>
        <v>0</v>
      </c>
      <c r="K301" s="72">
        <f t="shared" si="19"/>
        <v>-60137.072434607639</v>
      </c>
    </row>
    <row r="302" spans="1:11" x14ac:dyDescent="0.25">
      <c r="A302" s="38">
        <f>Données!A299</f>
        <v>5932</v>
      </c>
      <c r="B302" s="172" t="str">
        <f>Données!B299</f>
        <v>Ursins</v>
      </c>
      <c r="C302" s="8">
        <f>Données!Z299</f>
        <v>238</v>
      </c>
      <c r="D302" s="8">
        <f t="shared" si="20"/>
        <v>238</v>
      </c>
      <c r="E302" s="227">
        <f t="shared" si="17"/>
        <v>0</v>
      </c>
      <c r="F302" s="8">
        <f t="shared" si="17"/>
        <v>0</v>
      </c>
      <c r="G302" s="227">
        <f t="shared" si="17"/>
        <v>0</v>
      </c>
      <c r="H302" s="31">
        <f t="shared" si="17"/>
        <v>0</v>
      </c>
      <c r="I302" s="8">
        <f t="shared" si="17"/>
        <v>0</v>
      </c>
      <c r="J302" s="8">
        <f t="shared" si="18"/>
        <v>0</v>
      </c>
      <c r="K302" s="72">
        <f t="shared" si="19"/>
        <v>-29510.563380281685</v>
      </c>
    </row>
    <row r="303" spans="1:11" x14ac:dyDescent="0.25">
      <c r="A303" s="38">
        <f>Données!A300</f>
        <v>5933</v>
      </c>
      <c r="B303" s="172" t="str">
        <f>Données!B300</f>
        <v>Valeyres-sous-Montagny</v>
      </c>
      <c r="C303" s="8">
        <f>Données!Z300</f>
        <v>714</v>
      </c>
      <c r="D303" s="8">
        <f t="shared" si="20"/>
        <v>714</v>
      </c>
      <c r="E303" s="227">
        <f t="shared" si="17"/>
        <v>0</v>
      </c>
      <c r="F303" s="8">
        <f t="shared" si="17"/>
        <v>0</v>
      </c>
      <c r="G303" s="227">
        <f t="shared" si="17"/>
        <v>0</v>
      </c>
      <c r="H303" s="31">
        <f t="shared" si="17"/>
        <v>0</v>
      </c>
      <c r="I303" s="8">
        <f t="shared" si="17"/>
        <v>0</v>
      </c>
      <c r="J303" s="8">
        <f t="shared" si="18"/>
        <v>0</v>
      </c>
      <c r="K303" s="72">
        <f t="shared" si="19"/>
        <v>-88531.69014084505</v>
      </c>
    </row>
    <row r="304" spans="1:11" x14ac:dyDescent="0.25">
      <c r="A304" s="38">
        <f>Données!A301</f>
        <v>5934</v>
      </c>
      <c r="B304" s="172" t="str">
        <f>Données!B301</f>
        <v>Valeyres-sous-Ursins</v>
      </c>
      <c r="C304" s="8">
        <f>Données!Z301</f>
        <v>241</v>
      </c>
      <c r="D304" s="8">
        <f t="shared" si="20"/>
        <v>241</v>
      </c>
      <c r="E304" s="227">
        <f t="shared" si="17"/>
        <v>0</v>
      </c>
      <c r="F304" s="8">
        <f t="shared" si="17"/>
        <v>0</v>
      </c>
      <c r="G304" s="227">
        <f t="shared" si="17"/>
        <v>0</v>
      </c>
      <c r="H304" s="31">
        <f t="shared" si="17"/>
        <v>0</v>
      </c>
      <c r="I304" s="8">
        <f t="shared" si="17"/>
        <v>0</v>
      </c>
      <c r="J304" s="8">
        <f t="shared" si="18"/>
        <v>0</v>
      </c>
      <c r="K304" s="72">
        <f t="shared" si="19"/>
        <v>-29882.545271629773</v>
      </c>
    </row>
    <row r="305" spans="1:11" x14ac:dyDescent="0.25">
      <c r="A305" s="38">
        <f>Données!A302</f>
        <v>5935</v>
      </c>
      <c r="B305" s="172" t="str">
        <f>Données!B302</f>
        <v>Villars-Epeney</v>
      </c>
      <c r="C305" s="8">
        <f>Données!Z302</f>
        <v>101</v>
      </c>
      <c r="D305" s="8">
        <f t="shared" si="20"/>
        <v>101</v>
      </c>
      <c r="E305" s="227">
        <f t="shared" si="17"/>
        <v>0</v>
      </c>
      <c r="F305" s="8">
        <f t="shared" si="17"/>
        <v>0</v>
      </c>
      <c r="G305" s="227">
        <f t="shared" si="17"/>
        <v>0</v>
      </c>
      <c r="H305" s="31">
        <f t="shared" si="17"/>
        <v>0</v>
      </c>
      <c r="I305" s="8">
        <f t="shared" si="17"/>
        <v>0</v>
      </c>
      <c r="J305" s="8">
        <f t="shared" si="18"/>
        <v>0</v>
      </c>
      <c r="K305" s="72">
        <f t="shared" si="19"/>
        <v>-12523.390342052311</v>
      </c>
    </row>
    <row r="306" spans="1:11" x14ac:dyDescent="0.25">
      <c r="A306" s="38">
        <f>Données!A303</f>
        <v>5937</v>
      </c>
      <c r="B306" s="172" t="str">
        <f>Données!B303</f>
        <v>Vugelles-La Mothe</v>
      </c>
      <c r="C306" s="8">
        <f>Données!Z303</f>
        <v>138</v>
      </c>
      <c r="D306" s="8">
        <f t="shared" si="20"/>
        <v>138</v>
      </c>
      <c r="E306" s="227">
        <f t="shared" si="17"/>
        <v>0</v>
      </c>
      <c r="F306" s="8">
        <f t="shared" si="17"/>
        <v>0</v>
      </c>
      <c r="G306" s="227">
        <f t="shared" si="17"/>
        <v>0</v>
      </c>
      <c r="H306" s="31">
        <f t="shared" si="17"/>
        <v>0</v>
      </c>
      <c r="I306" s="8">
        <f t="shared" si="17"/>
        <v>0</v>
      </c>
      <c r="J306" s="8">
        <f t="shared" si="18"/>
        <v>0</v>
      </c>
      <c r="K306" s="72">
        <f t="shared" si="19"/>
        <v>-17111.167002012069</v>
      </c>
    </row>
    <row r="307" spans="1:11" x14ac:dyDescent="0.25">
      <c r="A307" s="38">
        <f>Données!A304</f>
        <v>5938</v>
      </c>
      <c r="B307" s="172" t="str">
        <f>Données!B304</f>
        <v>Yverdon-les-Bains</v>
      </c>
      <c r="C307" s="8">
        <f>Données!Z304</f>
        <v>29981</v>
      </c>
      <c r="D307" s="8">
        <f t="shared" si="20"/>
        <v>1000</v>
      </c>
      <c r="E307" s="227">
        <f t="shared" si="17"/>
        <v>2000</v>
      </c>
      <c r="F307" s="8">
        <f t="shared" si="17"/>
        <v>2000</v>
      </c>
      <c r="G307" s="227">
        <f t="shared" si="17"/>
        <v>4000</v>
      </c>
      <c r="H307" s="31">
        <f t="shared" si="17"/>
        <v>3000</v>
      </c>
      <c r="I307" s="8">
        <f t="shared" si="17"/>
        <v>3000</v>
      </c>
      <c r="J307" s="8">
        <f t="shared" si="18"/>
        <v>14981</v>
      </c>
      <c r="K307" s="72">
        <f t="shared" si="19"/>
        <v>-25299777.967806838</v>
      </c>
    </row>
    <row r="308" spans="1:11" x14ac:dyDescent="0.25">
      <c r="A308" s="38">
        <f>Données!A305</f>
        <v>5939</v>
      </c>
      <c r="B308" s="172" t="str">
        <f>Données!B305</f>
        <v>Yvonand</v>
      </c>
      <c r="C308" s="228">
        <f>Données!Z305</f>
        <v>3467</v>
      </c>
      <c r="D308" s="8">
        <f t="shared" si="20"/>
        <v>1000</v>
      </c>
      <c r="E308" s="227">
        <f t="shared" si="17"/>
        <v>2000</v>
      </c>
      <c r="F308" s="8">
        <f t="shared" si="17"/>
        <v>467</v>
      </c>
      <c r="G308" s="227">
        <f t="shared" si="17"/>
        <v>0</v>
      </c>
      <c r="H308" s="31">
        <f t="shared" si="17"/>
        <v>0</v>
      </c>
      <c r="I308" s="8">
        <f t="shared" si="17"/>
        <v>0</v>
      </c>
      <c r="J308" s="8">
        <f t="shared" si="18"/>
        <v>0</v>
      </c>
      <c r="K308" s="72">
        <f t="shared" si="19"/>
        <v>-1049980.8853118711</v>
      </c>
    </row>
    <row r="309" spans="1:11" x14ac:dyDescent="0.25">
      <c r="A309" s="25"/>
      <c r="B309" s="74">
        <f>COUNTA(B9:B308)</f>
        <v>300</v>
      </c>
      <c r="C309" s="9">
        <f>SUM(C9:C308)</f>
        <v>815300</v>
      </c>
      <c r="D309" s="9">
        <f t="shared" ref="D309:J309" si="21">SUM(D9:D308)</f>
        <v>214305</v>
      </c>
      <c r="E309" s="9">
        <f t="shared" si="21"/>
        <v>171931</v>
      </c>
      <c r="F309" s="9">
        <f t="shared" si="21"/>
        <v>86620</v>
      </c>
      <c r="G309" s="9">
        <f t="shared" si="21"/>
        <v>97483</v>
      </c>
      <c r="H309" s="9">
        <f t="shared" si="21"/>
        <v>44323</v>
      </c>
      <c r="I309" s="9">
        <f t="shared" si="21"/>
        <v>26878</v>
      </c>
      <c r="J309" s="9">
        <f t="shared" si="21"/>
        <v>173760</v>
      </c>
      <c r="K309" s="30">
        <f>SUM(K9:K308)</f>
        <v>-432257167.45472836</v>
      </c>
    </row>
    <row r="310" spans="1:11" x14ac:dyDescent="0.25">
      <c r="C310" s="52"/>
      <c r="K310" s="5"/>
    </row>
    <row r="320" spans="1:11" x14ac:dyDescent="0.25">
      <c r="C320" s="45"/>
    </row>
  </sheetData>
  <sheetProtection sheet="1" objects="1" scenarios="1"/>
  <mergeCells count="6">
    <mergeCell ref="K7:K8"/>
    <mergeCell ref="C4:J4"/>
    <mergeCell ref="A7:A8"/>
    <mergeCell ref="B7:B8"/>
    <mergeCell ref="C7:C8"/>
    <mergeCell ref="D7:J7"/>
  </mergeCells>
  <phoneticPr fontId="21" type="noConversion"/>
  <hyperlinks>
    <hyperlink ref="G1" location="'Péréquation directe'!A1" display="← Précédent" xr:uid="{4A68310A-425D-4B7C-A602-B19E50C59698}"/>
    <hyperlink ref="H1" location="'Table des matières'!A1" display="Table des             matières" xr:uid="{45E00C4B-D76D-485B-A963-90DFF5ED91F9}"/>
    <hyperlink ref="I1" location="Solidarité!A1" display="Suivant →" xr:uid="{3CE52556-7647-4955-BB2C-AB3DA5B0FC22}"/>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11</vt:i4>
      </vt:variant>
    </vt:vector>
  </HeadingPairs>
  <TitlesOfParts>
    <vt:vector size="28" baseType="lpstr">
      <vt:lpstr>Table des matières</vt:lpstr>
      <vt:lpstr>Paramètres</vt:lpstr>
      <vt:lpstr>Recherche</vt:lpstr>
      <vt:lpstr>Données</vt:lpstr>
      <vt:lpstr>VPI</vt:lpstr>
      <vt:lpstr>PCS</vt:lpstr>
      <vt:lpstr>Ecrêtage</vt:lpstr>
      <vt:lpstr>Péréquation directe</vt:lpstr>
      <vt:lpstr>Population</vt:lpstr>
      <vt:lpstr>Solidarité</vt:lpstr>
      <vt:lpstr>DT</vt:lpstr>
      <vt:lpstr>Effort</vt:lpstr>
      <vt:lpstr>Aide</vt:lpstr>
      <vt:lpstr>Taux</vt:lpstr>
      <vt:lpstr>Facture policière</vt:lpstr>
      <vt:lpstr>Synthèse</vt:lpstr>
      <vt:lpstr>Décompte vs acomptes</vt:lpstr>
      <vt:lpstr>DT!Impression_des_titres</vt:lpstr>
      <vt:lpstr>Effort!Impression_des_titres</vt:lpstr>
      <vt:lpstr>'Facture policière'!Impression_des_titres</vt:lpstr>
      <vt:lpstr>PCS!Impression_des_titres</vt:lpstr>
      <vt:lpstr>Synthèse!Impression_des_titres</vt:lpstr>
      <vt:lpstr>Taux!Impression_des_titres</vt:lpstr>
      <vt:lpstr>'Facture policière'!Zone_d_impression</vt:lpstr>
      <vt:lpstr>'Péréquation directe'!Zone_d_impression</vt:lpstr>
      <vt:lpstr>Recherche!Zone_d_impression</vt:lpstr>
      <vt:lpstr>Synthèse!Zone_d_impression</vt:lpstr>
      <vt:lpstr>Taux!Zone_d_impression</vt:lpstr>
    </vt:vector>
  </TitlesOfParts>
  <Manager>fabio.cappelletti@vd.ch</Manager>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fabio.cappelletti@vd.ch</dc:creator>
  <cp:lastModifiedBy>Delija Sofia</cp:lastModifiedBy>
  <cp:lastPrinted>2021-09-22T13:07:35Z</cp:lastPrinted>
  <dcterms:created xsi:type="dcterms:W3CDTF">2005-06-06T00:37:42Z</dcterms:created>
  <dcterms:modified xsi:type="dcterms:W3CDTF">2021-10-06T11:27:34Z</dcterms:modified>
</cp:coreProperties>
</file>